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2760" yWindow="32760" windowWidth="28800" windowHeight="12225"/>
  </bookViews>
  <sheets>
    <sheet name="TDSheet" sheetId="1" r:id="rId1"/>
  </sheets>
  <definedNames>
    <definedName name="_xlnm._FilterDatabase" localSheetId="0" hidden="1">TDSheet!$A$5:$AM$5</definedName>
  </definedNames>
  <calcPr calcId="144525"/>
</workbook>
</file>

<file path=xl/calcChain.xml><?xml version="1.0" encoding="utf-8"?>
<calcChain xmlns="http://schemas.openxmlformats.org/spreadsheetml/2006/main">
  <c r="P11" i="1" l="1"/>
  <c r="R11" i="1"/>
  <c r="S11" i="1"/>
  <c r="T11" i="1"/>
  <c r="AC11" i="1"/>
  <c r="AK11" i="1"/>
  <c r="P12" i="1"/>
  <c r="R12" i="1"/>
  <c r="S12" i="1"/>
  <c r="T12" i="1"/>
  <c r="AC12" i="1"/>
  <c r="AK12" i="1"/>
  <c r="P13" i="1"/>
  <c r="R13" i="1"/>
  <c r="S13" i="1"/>
  <c r="T13" i="1"/>
  <c r="AC13" i="1"/>
  <c r="AK13" i="1"/>
  <c r="P14" i="1"/>
  <c r="R14" i="1" s="1"/>
  <c r="S14" i="1"/>
  <c r="T14" i="1"/>
  <c r="AC14" i="1"/>
  <c r="AK14" i="1"/>
  <c r="P15" i="1"/>
  <c r="R15" i="1" s="1"/>
  <c r="S15" i="1"/>
  <c r="T15" i="1"/>
  <c r="AC15" i="1"/>
  <c r="AK15" i="1"/>
  <c r="P16" i="1"/>
  <c r="R16" i="1" s="1"/>
  <c r="S16" i="1"/>
  <c r="T16" i="1"/>
  <c r="AC16" i="1"/>
  <c r="AK16" i="1"/>
  <c r="P17" i="1"/>
  <c r="R17" i="1" s="1"/>
  <c r="S17" i="1"/>
  <c r="T17" i="1"/>
  <c r="AC17" i="1"/>
  <c r="AK17" i="1"/>
  <c r="P18" i="1"/>
  <c r="R18" i="1"/>
  <c r="S18" i="1"/>
  <c r="T18" i="1"/>
  <c r="AC18" i="1"/>
  <c r="AK18" i="1"/>
  <c r="P19" i="1"/>
  <c r="R19" i="1" s="1"/>
  <c r="S19" i="1"/>
  <c r="T19" i="1"/>
  <c r="AC19" i="1"/>
  <c r="AK19" i="1"/>
  <c r="P20" i="1"/>
  <c r="R20" i="1" s="1"/>
  <c r="S20" i="1"/>
  <c r="T20" i="1"/>
  <c r="AC20" i="1"/>
  <c r="AK20" i="1"/>
  <c r="P22" i="1"/>
  <c r="R22" i="1" s="1"/>
  <c r="S22" i="1"/>
  <c r="T22" i="1"/>
  <c r="AC22" i="1"/>
  <c r="AK22" i="1"/>
  <c r="P24" i="1"/>
  <c r="R24" i="1"/>
  <c r="S24" i="1"/>
  <c r="T24" i="1"/>
  <c r="AC24" i="1"/>
  <c r="AK24" i="1"/>
  <c r="P25" i="1"/>
  <c r="R25" i="1" s="1"/>
  <c r="S25" i="1"/>
  <c r="T25" i="1"/>
  <c r="AC25" i="1"/>
  <c r="AK25" i="1"/>
  <c r="P26" i="1"/>
  <c r="R26" i="1" s="1"/>
  <c r="S26" i="1"/>
  <c r="T26" i="1"/>
  <c r="AC26" i="1"/>
  <c r="AK26" i="1"/>
  <c r="P27" i="1"/>
  <c r="R27" i="1" s="1"/>
  <c r="S27" i="1"/>
  <c r="T27" i="1"/>
  <c r="AC27" i="1"/>
  <c r="AK27" i="1"/>
  <c r="P28" i="1"/>
  <c r="R28" i="1" s="1"/>
  <c r="S28" i="1"/>
  <c r="T28" i="1"/>
  <c r="AC28" i="1"/>
  <c r="AK28" i="1"/>
  <c r="P29" i="1"/>
  <c r="R29" i="1" s="1"/>
  <c r="S29" i="1"/>
  <c r="T29" i="1"/>
  <c r="AC29" i="1"/>
  <c r="AK29" i="1"/>
  <c r="P31" i="1"/>
  <c r="R31" i="1"/>
  <c r="S31" i="1"/>
  <c r="T31" i="1"/>
  <c r="AC31" i="1"/>
  <c r="AK31" i="1"/>
  <c r="P32" i="1"/>
  <c r="R32" i="1" s="1"/>
  <c r="S32" i="1"/>
  <c r="T32" i="1"/>
  <c r="AC32" i="1"/>
  <c r="AK32" i="1"/>
  <c r="P34" i="1"/>
  <c r="R34" i="1"/>
  <c r="S34" i="1"/>
  <c r="T34" i="1"/>
  <c r="AC34" i="1"/>
  <c r="AK34" i="1"/>
  <c r="P36" i="1"/>
  <c r="R36" i="1" s="1"/>
  <c r="S36" i="1"/>
  <c r="T36" i="1"/>
  <c r="AC36" i="1"/>
  <c r="AK36" i="1"/>
  <c r="P38" i="1"/>
  <c r="R38" i="1" s="1"/>
  <c r="S38" i="1"/>
  <c r="T38" i="1"/>
  <c r="AC38" i="1"/>
  <c r="AK38" i="1"/>
  <c r="P41" i="1"/>
  <c r="R41" i="1" s="1"/>
  <c r="S41" i="1"/>
  <c r="T41" i="1"/>
  <c r="AC41" i="1"/>
  <c r="AK41" i="1"/>
  <c r="P42" i="1"/>
  <c r="R42" i="1" s="1"/>
  <c r="S42" i="1"/>
  <c r="T42" i="1"/>
  <c r="AC42" i="1"/>
  <c r="AK42" i="1"/>
  <c r="P43" i="1"/>
  <c r="R43" i="1" s="1"/>
  <c r="S43" i="1"/>
  <c r="T43" i="1"/>
  <c r="AC43" i="1"/>
  <c r="AK43" i="1"/>
  <c r="P44" i="1"/>
  <c r="R44" i="1"/>
  <c r="S44" i="1"/>
  <c r="T44" i="1"/>
  <c r="AC44" i="1"/>
  <c r="AK44" i="1"/>
  <c r="P45" i="1"/>
  <c r="R45" i="1" s="1"/>
  <c r="S45" i="1"/>
  <c r="T45" i="1"/>
  <c r="AC45" i="1"/>
  <c r="AK45" i="1"/>
  <c r="P46" i="1"/>
  <c r="R46" i="1"/>
  <c r="S46" i="1"/>
  <c r="T46" i="1"/>
  <c r="AC46" i="1"/>
  <c r="AK46" i="1"/>
  <c r="P47" i="1"/>
  <c r="R47" i="1" s="1"/>
  <c r="S47" i="1"/>
  <c r="T47" i="1"/>
  <c r="AC47" i="1"/>
  <c r="AK47" i="1"/>
  <c r="P48" i="1"/>
  <c r="R48" i="1" s="1"/>
  <c r="S48" i="1"/>
  <c r="T48" i="1"/>
  <c r="AC48" i="1"/>
  <c r="AK48" i="1"/>
  <c r="P50" i="1"/>
  <c r="R50" i="1" s="1"/>
  <c r="S50" i="1"/>
  <c r="T50" i="1"/>
  <c r="AC50" i="1"/>
  <c r="AK50" i="1"/>
  <c r="P51" i="1"/>
  <c r="R51" i="1" s="1"/>
  <c r="S51" i="1"/>
  <c r="T51" i="1"/>
  <c r="AC51" i="1"/>
  <c r="AK51" i="1"/>
  <c r="P52" i="1"/>
  <c r="R52" i="1" s="1"/>
  <c r="S52" i="1"/>
  <c r="T52" i="1"/>
  <c r="AC52" i="1"/>
  <c r="AK52" i="1"/>
  <c r="P53" i="1"/>
  <c r="R53" i="1"/>
  <c r="S53" i="1"/>
  <c r="T53" i="1"/>
  <c r="AC53" i="1"/>
  <c r="AK53" i="1"/>
  <c r="P55" i="1"/>
  <c r="R55" i="1" s="1"/>
  <c r="S55" i="1"/>
  <c r="T55" i="1"/>
  <c r="AC55" i="1"/>
  <c r="AK55" i="1"/>
  <c r="P56" i="1"/>
  <c r="R56" i="1"/>
  <c r="S56" i="1"/>
  <c r="T56" i="1"/>
  <c r="AC56" i="1"/>
  <c r="AK56" i="1"/>
  <c r="P57" i="1"/>
  <c r="R57" i="1" s="1"/>
  <c r="S57" i="1"/>
  <c r="T57" i="1"/>
  <c r="AC57" i="1"/>
  <c r="AK57" i="1"/>
  <c r="P58" i="1"/>
  <c r="R58" i="1" s="1"/>
  <c r="S58" i="1"/>
  <c r="T58" i="1"/>
  <c r="AC58" i="1"/>
  <c r="AK58" i="1"/>
  <c r="P59" i="1"/>
  <c r="R59" i="1" s="1"/>
  <c r="S59" i="1"/>
  <c r="T59" i="1"/>
  <c r="AC59" i="1"/>
  <c r="AK59" i="1"/>
  <c r="P60" i="1"/>
  <c r="R60" i="1" s="1"/>
  <c r="S60" i="1"/>
  <c r="T60" i="1"/>
  <c r="AC60" i="1"/>
  <c r="AK60" i="1"/>
  <c r="P61" i="1"/>
  <c r="R61" i="1" s="1"/>
  <c r="S61" i="1"/>
  <c r="T61" i="1"/>
  <c r="AC61" i="1"/>
  <c r="AK61" i="1"/>
  <c r="P63" i="1"/>
  <c r="R63" i="1"/>
  <c r="S63" i="1"/>
  <c r="T63" i="1"/>
  <c r="AC63" i="1"/>
  <c r="AK63" i="1"/>
  <c r="P64" i="1"/>
  <c r="R64" i="1" s="1"/>
  <c r="S64" i="1"/>
  <c r="T64" i="1"/>
  <c r="AC64" i="1"/>
  <c r="AK64" i="1"/>
  <c r="P65" i="1"/>
  <c r="R65" i="1"/>
  <c r="S65" i="1"/>
  <c r="T65" i="1"/>
  <c r="AC65" i="1"/>
  <c r="AK65" i="1"/>
  <c r="P66" i="1"/>
  <c r="R66" i="1" s="1"/>
  <c r="S66" i="1"/>
  <c r="T66" i="1"/>
  <c r="AC66" i="1"/>
  <c r="AK66" i="1"/>
  <c r="P67" i="1"/>
  <c r="R67" i="1" s="1"/>
  <c r="S67" i="1"/>
  <c r="T67" i="1"/>
  <c r="AC67" i="1"/>
  <c r="AK67" i="1"/>
  <c r="P68" i="1"/>
  <c r="R68" i="1" s="1"/>
  <c r="S68" i="1"/>
  <c r="T68" i="1"/>
  <c r="AC68" i="1"/>
  <c r="AK68" i="1"/>
  <c r="P69" i="1"/>
  <c r="R69" i="1" s="1"/>
  <c r="S69" i="1"/>
  <c r="T69" i="1"/>
  <c r="AC69" i="1"/>
  <c r="AK69" i="1"/>
  <c r="P70" i="1"/>
  <c r="R70" i="1" s="1"/>
  <c r="S70" i="1"/>
  <c r="T70" i="1"/>
  <c r="AC70" i="1"/>
  <c r="AK70" i="1"/>
  <c r="P71" i="1"/>
  <c r="R71" i="1"/>
  <c r="S71" i="1"/>
  <c r="T71" i="1"/>
  <c r="AC71" i="1"/>
  <c r="AK71" i="1"/>
  <c r="P72" i="1"/>
  <c r="R72" i="1" s="1"/>
  <c r="S72" i="1"/>
  <c r="T72" i="1"/>
  <c r="AC72" i="1"/>
  <c r="AK72" i="1"/>
  <c r="P73" i="1"/>
  <c r="R73" i="1"/>
  <c r="S73" i="1"/>
  <c r="T73" i="1"/>
  <c r="AC73" i="1"/>
  <c r="AK73" i="1"/>
  <c r="P74" i="1"/>
  <c r="R74" i="1" s="1"/>
  <c r="S74" i="1"/>
  <c r="T74" i="1"/>
  <c r="AC74" i="1"/>
  <c r="AK74" i="1"/>
  <c r="P75" i="1"/>
  <c r="R75" i="1" s="1"/>
  <c r="S75" i="1"/>
  <c r="T75" i="1"/>
  <c r="AC75" i="1"/>
  <c r="AK75" i="1"/>
  <c r="P77" i="1"/>
  <c r="R77" i="1" s="1"/>
  <c r="S77" i="1"/>
  <c r="T77" i="1"/>
  <c r="AC77" i="1"/>
  <c r="AK77" i="1"/>
  <c r="P78" i="1"/>
  <c r="R78" i="1" s="1"/>
  <c r="S78" i="1"/>
  <c r="T78" i="1"/>
  <c r="AC78" i="1"/>
  <c r="AK78" i="1"/>
  <c r="P79" i="1"/>
  <c r="R79" i="1" s="1"/>
  <c r="S79" i="1"/>
  <c r="T79" i="1"/>
  <c r="AC79" i="1"/>
  <c r="AK79" i="1"/>
  <c r="P80" i="1"/>
  <c r="R80" i="1"/>
  <c r="S80" i="1"/>
  <c r="T80" i="1"/>
  <c r="AC80" i="1"/>
  <c r="AK80" i="1"/>
  <c r="P81" i="1"/>
  <c r="R81" i="1" s="1"/>
  <c r="S81" i="1"/>
  <c r="T81" i="1"/>
  <c r="AC81" i="1"/>
  <c r="AK81" i="1"/>
  <c r="P82" i="1"/>
  <c r="R82" i="1"/>
  <c r="S82" i="1"/>
  <c r="T82" i="1"/>
  <c r="AC82" i="1"/>
  <c r="AK82" i="1"/>
  <c r="P83" i="1"/>
  <c r="R83" i="1" s="1"/>
  <c r="S83" i="1"/>
  <c r="T83" i="1"/>
  <c r="AC83" i="1"/>
  <c r="AK83" i="1"/>
  <c r="P85" i="1"/>
  <c r="R85" i="1" s="1"/>
  <c r="S85" i="1"/>
  <c r="T85" i="1"/>
  <c r="AC85" i="1"/>
  <c r="AK85" i="1"/>
  <c r="P86" i="1"/>
  <c r="R86" i="1" s="1"/>
  <c r="S86" i="1"/>
  <c r="T86" i="1"/>
  <c r="AC86" i="1"/>
  <c r="AK86" i="1"/>
  <c r="P87" i="1"/>
  <c r="R87" i="1" s="1"/>
  <c r="S87" i="1"/>
  <c r="T87" i="1"/>
  <c r="AC87" i="1"/>
  <c r="AK87" i="1"/>
  <c r="P88" i="1"/>
  <c r="R88" i="1" s="1"/>
  <c r="S88" i="1"/>
  <c r="T88" i="1"/>
  <c r="AC88" i="1"/>
  <c r="AK88" i="1"/>
  <c r="P90" i="1"/>
  <c r="R90" i="1"/>
  <c r="S90" i="1"/>
  <c r="T90" i="1"/>
  <c r="AC90" i="1"/>
  <c r="AK90" i="1"/>
  <c r="P91" i="1"/>
  <c r="R91" i="1" s="1"/>
  <c r="S91" i="1"/>
  <c r="T91" i="1"/>
  <c r="AC91" i="1"/>
  <c r="AK91" i="1"/>
  <c r="P92" i="1"/>
  <c r="R92" i="1"/>
  <c r="S92" i="1"/>
  <c r="T92" i="1"/>
  <c r="AC92" i="1"/>
  <c r="AK92" i="1"/>
  <c r="P93" i="1"/>
  <c r="R93" i="1" s="1"/>
  <c r="S93" i="1"/>
  <c r="T93" i="1"/>
  <c r="AC93" i="1"/>
  <c r="AK93" i="1"/>
  <c r="P94" i="1"/>
  <c r="R94" i="1" s="1"/>
  <c r="S94" i="1"/>
  <c r="T94" i="1"/>
  <c r="AC94" i="1"/>
  <c r="AK94" i="1"/>
  <c r="P95" i="1"/>
  <c r="R95" i="1" s="1"/>
  <c r="S95" i="1"/>
  <c r="T95" i="1"/>
  <c r="AC95" i="1"/>
  <c r="AK95" i="1"/>
  <c r="P97" i="1"/>
  <c r="R97" i="1" s="1"/>
  <c r="S97" i="1"/>
  <c r="T97" i="1"/>
  <c r="AC97" i="1"/>
  <c r="AK97" i="1"/>
  <c r="P98" i="1"/>
  <c r="R98" i="1" s="1"/>
  <c r="S98" i="1"/>
  <c r="T98" i="1"/>
  <c r="AC98" i="1"/>
  <c r="AK98" i="1"/>
  <c r="P99" i="1"/>
  <c r="R99" i="1"/>
  <c r="S99" i="1"/>
  <c r="T99" i="1"/>
  <c r="AC99" i="1"/>
  <c r="AK99" i="1"/>
  <c r="P100" i="1"/>
  <c r="R100" i="1" s="1"/>
  <c r="S100" i="1"/>
  <c r="T100" i="1"/>
  <c r="AC100" i="1"/>
  <c r="AK100" i="1"/>
  <c r="P102" i="1"/>
  <c r="R102" i="1"/>
  <c r="S102" i="1"/>
  <c r="T102" i="1"/>
  <c r="AC102" i="1"/>
  <c r="AK102" i="1"/>
  <c r="P103" i="1"/>
  <c r="R103" i="1" s="1"/>
  <c r="S103" i="1"/>
  <c r="T103" i="1"/>
  <c r="AC103" i="1"/>
  <c r="AK103" i="1"/>
  <c r="P105" i="1"/>
  <c r="R105" i="1" s="1"/>
  <c r="S105" i="1"/>
  <c r="T105" i="1"/>
  <c r="AC105" i="1"/>
  <c r="AK105" i="1"/>
  <c r="P106" i="1"/>
  <c r="R106" i="1" s="1"/>
  <c r="S106" i="1"/>
  <c r="T106" i="1"/>
  <c r="AC106" i="1"/>
  <c r="AK106" i="1"/>
  <c r="P107" i="1"/>
  <c r="R107" i="1" s="1"/>
  <c r="S107" i="1"/>
  <c r="T107" i="1"/>
  <c r="AC107" i="1"/>
  <c r="AK107" i="1"/>
  <c r="P108" i="1"/>
  <c r="R108" i="1" s="1"/>
  <c r="S108" i="1"/>
  <c r="T108" i="1"/>
  <c r="AC108" i="1"/>
  <c r="AK108" i="1"/>
  <c r="P110" i="1"/>
  <c r="R110" i="1"/>
  <c r="S110" i="1"/>
  <c r="T110" i="1"/>
  <c r="AC110" i="1"/>
  <c r="AK110" i="1"/>
  <c r="P112" i="1"/>
  <c r="R112" i="1" s="1"/>
  <c r="S112" i="1"/>
  <c r="T112" i="1"/>
  <c r="AC112" i="1"/>
  <c r="AK112" i="1"/>
  <c r="P114" i="1"/>
  <c r="R114" i="1"/>
  <c r="S114" i="1"/>
  <c r="T114" i="1"/>
  <c r="AC114" i="1"/>
  <c r="AK114" i="1"/>
  <c r="P115" i="1"/>
  <c r="R115" i="1" s="1"/>
  <c r="S115" i="1"/>
  <c r="T115" i="1"/>
  <c r="AC115" i="1"/>
  <c r="AK115" i="1"/>
  <c r="P117" i="1"/>
  <c r="R117" i="1" s="1"/>
  <c r="S117" i="1"/>
  <c r="T117" i="1"/>
  <c r="AC117" i="1"/>
  <c r="AK117" i="1"/>
  <c r="P119" i="1"/>
  <c r="R119" i="1" s="1"/>
  <c r="S119" i="1"/>
  <c r="T119" i="1"/>
  <c r="AC119" i="1"/>
  <c r="AK119" i="1"/>
  <c r="P121" i="1"/>
  <c r="R121" i="1" s="1"/>
  <c r="S121" i="1"/>
  <c r="T121" i="1"/>
  <c r="AC121" i="1"/>
  <c r="AK121" i="1"/>
  <c r="P123" i="1"/>
  <c r="R123" i="1" s="1"/>
  <c r="S123" i="1"/>
  <c r="T123" i="1"/>
  <c r="AC123" i="1"/>
  <c r="AK123" i="1"/>
  <c r="P124" i="1"/>
  <c r="R124" i="1"/>
  <c r="S124" i="1"/>
  <c r="T124" i="1"/>
  <c r="AC124" i="1"/>
  <c r="AK124" i="1"/>
  <c r="P125" i="1"/>
  <c r="R125" i="1" s="1"/>
  <c r="S125" i="1"/>
  <c r="T125" i="1"/>
  <c r="AC125" i="1"/>
  <c r="AK125" i="1"/>
  <c r="P126" i="1"/>
  <c r="R126" i="1"/>
  <c r="S126" i="1"/>
  <c r="T126" i="1"/>
  <c r="AC126" i="1"/>
  <c r="AK126" i="1"/>
  <c r="P128" i="1"/>
  <c r="R128" i="1" s="1"/>
  <c r="S128" i="1"/>
  <c r="T128" i="1"/>
  <c r="AC128" i="1"/>
  <c r="AK128" i="1"/>
  <c r="P130" i="1"/>
  <c r="R130" i="1" s="1"/>
  <c r="S130" i="1"/>
  <c r="T130" i="1"/>
  <c r="AC130" i="1"/>
  <c r="AK130" i="1"/>
  <c r="P132" i="1"/>
  <c r="R132" i="1" s="1"/>
  <c r="S132" i="1"/>
  <c r="T132" i="1"/>
  <c r="AC132" i="1"/>
  <c r="AK132" i="1"/>
  <c r="P133" i="1"/>
  <c r="R133" i="1" s="1"/>
  <c r="S133" i="1"/>
  <c r="T133" i="1"/>
  <c r="AC133" i="1"/>
  <c r="AK133" i="1"/>
  <c r="P134" i="1"/>
  <c r="R134" i="1" s="1"/>
  <c r="S134" i="1"/>
  <c r="T134" i="1"/>
  <c r="AC134" i="1"/>
  <c r="AK134" i="1"/>
  <c r="P136" i="1"/>
  <c r="R136" i="1"/>
  <c r="S136" i="1"/>
  <c r="T136" i="1"/>
  <c r="AC136" i="1"/>
  <c r="AK136" i="1"/>
  <c r="P137" i="1"/>
  <c r="R137" i="1" s="1"/>
  <c r="S137" i="1"/>
  <c r="T137" i="1"/>
  <c r="AC137" i="1"/>
  <c r="AK137" i="1"/>
  <c r="P138" i="1"/>
  <c r="R138" i="1"/>
  <c r="S138" i="1"/>
  <c r="T138" i="1"/>
  <c r="AC138" i="1"/>
  <c r="AK138" i="1"/>
  <c r="P139" i="1"/>
  <c r="R139" i="1" s="1"/>
  <c r="S139" i="1"/>
  <c r="T139" i="1"/>
  <c r="AC139" i="1"/>
  <c r="AK139" i="1"/>
  <c r="P141" i="1"/>
  <c r="R141" i="1" s="1"/>
  <c r="S141" i="1"/>
  <c r="T141" i="1"/>
  <c r="AC141" i="1"/>
  <c r="AK141" i="1"/>
  <c r="P142" i="1"/>
  <c r="R142" i="1" s="1"/>
  <c r="S142" i="1"/>
  <c r="T142" i="1"/>
  <c r="AC142" i="1"/>
  <c r="AK142" i="1"/>
  <c r="P143" i="1"/>
  <c r="R143" i="1" s="1"/>
  <c r="S143" i="1"/>
  <c r="T143" i="1"/>
  <c r="AC143" i="1"/>
  <c r="AK143" i="1"/>
  <c r="P144" i="1"/>
  <c r="R144" i="1" s="1"/>
  <c r="S144" i="1"/>
  <c r="T144" i="1"/>
  <c r="AC144" i="1"/>
  <c r="AK144" i="1"/>
  <c r="P146" i="1"/>
  <c r="R146" i="1" s="1"/>
  <c r="S146" i="1"/>
  <c r="T146" i="1"/>
  <c r="AC146" i="1"/>
  <c r="AK146" i="1"/>
  <c r="P147" i="1"/>
  <c r="R147" i="1"/>
  <c r="S147" i="1"/>
  <c r="T147" i="1"/>
  <c r="AC147" i="1"/>
  <c r="AK147" i="1"/>
  <c r="P149" i="1"/>
  <c r="R149" i="1" s="1"/>
  <c r="S149" i="1"/>
  <c r="T149" i="1"/>
  <c r="AC149" i="1"/>
  <c r="AK149" i="1"/>
  <c r="P150" i="1"/>
  <c r="R150" i="1"/>
  <c r="S150" i="1"/>
  <c r="T150" i="1"/>
  <c r="AC150" i="1"/>
  <c r="AK150" i="1"/>
  <c r="P151" i="1"/>
  <c r="R151" i="1" s="1"/>
  <c r="S151" i="1"/>
  <c r="T151" i="1"/>
  <c r="AC151" i="1"/>
  <c r="AK151" i="1"/>
  <c r="P152" i="1"/>
  <c r="R152" i="1" s="1"/>
  <c r="S152" i="1"/>
  <c r="T152" i="1"/>
  <c r="AC152" i="1"/>
  <c r="AK152" i="1"/>
  <c r="P154" i="1"/>
  <c r="R154" i="1" s="1"/>
  <c r="S154" i="1"/>
  <c r="T154" i="1"/>
  <c r="AC154" i="1"/>
  <c r="AK154" i="1"/>
  <c r="P155" i="1"/>
  <c r="R155" i="1" s="1"/>
  <c r="S155" i="1"/>
  <c r="T155" i="1"/>
  <c r="AC155" i="1"/>
  <c r="AK155" i="1"/>
  <c r="P156" i="1"/>
  <c r="R156" i="1"/>
  <c r="S156" i="1"/>
  <c r="T156" i="1"/>
  <c r="AC156" i="1"/>
  <c r="AK156" i="1"/>
  <c r="P158" i="1"/>
  <c r="R158" i="1" s="1"/>
  <c r="S158" i="1"/>
  <c r="T158" i="1"/>
  <c r="AC158" i="1"/>
  <c r="AK158" i="1"/>
  <c r="P159" i="1"/>
  <c r="R159" i="1"/>
  <c r="S159" i="1"/>
  <c r="T159" i="1"/>
  <c r="AC159" i="1"/>
  <c r="AK159" i="1"/>
  <c r="P161" i="1"/>
  <c r="R161" i="1" s="1"/>
  <c r="S161" i="1"/>
  <c r="T161" i="1"/>
  <c r="AC161" i="1"/>
  <c r="AK161" i="1"/>
  <c r="P162" i="1"/>
  <c r="R162" i="1"/>
  <c r="S162" i="1"/>
  <c r="T162" i="1"/>
  <c r="AC162" i="1"/>
  <c r="AK162" i="1"/>
  <c r="P164" i="1"/>
  <c r="R164" i="1" s="1"/>
  <c r="S164" i="1"/>
  <c r="T164" i="1"/>
  <c r="AC164" i="1"/>
  <c r="AK164" i="1"/>
  <c r="P167" i="1"/>
  <c r="R167" i="1"/>
  <c r="S167" i="1"/>
  <c r="T167" i="1"/>
  <c r="AC167" i="1"/>
  <c r="AK167" i="1"/>
  <c r="P168" i="1"/>
  <c r="R168" i="1" s="1"/>
  <c r="S168" i="1"/>
  <c r="T168" i="1"/>
  <c r="AC168" i="1"/>
  <c r="AK168" i="1"/>
  <c r="P169" i="1"/>
  <c r="R169" i="1"/>
  <c r="S169" i="1"/>
  <c r="T169" i="1"/>
  <c r="AC169" i="1"/>
  <c r="AK169" i="1"/>
  <c r="P170" i="1"/>
  <c r="R170" i="1" s="1"/>
  <c r="S170" i="1"/>
  <c r="T170" i="1"/>
  <c r="AC170" i="1"/>
  <c r="AK170" i="1"/>
  <c r="P171" i="1"/>
  <c r="R171" i="1"/>
  <c r="S171" i="1"/>
  <c r="T171" i="1"/>
  <c r="AC171" i="1"/>
  <c r="AK171" i="1"/>
  <c r="P172" i="1"/>
  <c r="R172" i="1" s="1"/>
  <c r="S172" i="1"/>
  <c r="T172" i="1"/>
  <c r="AC172" i="1"/>
  <c r="AK172" i="1"/>
  <c r="P174" i="1"/>
  <c r="R174" i="1"/>
  <c r="S174" i="1"/>
  <c r="T174" i="1"/>
  <c r="AC174" i="1"/>
  <c r="AK174" i="1"/>
  <c r="P175" i="1"/>
  <c r="R175" i="1" s="1"/>
  <c r="S175" i="1"/>
  <c r="T175" i="1"/>
  <c r="AC175" i="1"/>
  <c r="AK175" i="1"/>
  <c r="P176" i="1"/>
  <c r="R176" i="1" s="1"/>
  <c r="S176" i="1"/>
  <c r="T176" i="1"/>
  <c r="AC176" i="1"/>
  <c r="AK176" i="1"/>
  <c r="P177" i="1"/>
  <c r="R177" i="1"/>
  <c r="S177" i="1"/>
  <c r="T177" i="1"/>
  <c r="AC177" i="1"/>
  <c r="AK177" i="1"/>
  <c r="P179" i="1"/>
  <c r="R179" i="1" s="1"/>
  <c r="S179" i="1"/>
  <c r="T179" i="1"/>
  <c r="AC179" i="1"/>
  <c r="AK179" i="1"/>
  <c r="P180" i="1"/>
  <c r="R180" i="1"/>
  <c r="S180" i="1"/>
  <c r="T180" i="1"/>
  <c r="AC180" i="1"/>
  <c r="AK180" i="1"/>
  <c r="P181" i="1"/>
  <c r="R181" i="1" s="1"/>
  <c r="S181" i="1"/>
  <c r="T181" i="1"/>
  <c r="AC181" i="1"/>
  <c r="AK181" i="1"/>
  <c r="P182" i="1"/>
  <c r="R182" i="1" s="1"/>
  <c r="S182" i="1"/>
  <c r="T182" i="1"/>
  <c r="AC182" i="1"/>
  <c r="AK182" i="1"/>
  <c r="P183" i="1"/>
  <c r="R183" i="1" s="1"/>
  <c r="S183" i="1"/>
  <c r="T183" i="1"/>
  <c r="AC183" i="1"/>
  <c r="AK183" i="1"/>
  <c r="P184" i="1"/>
  <c r="R184" i="1" s="1"/>
  <c r="S184" i="1"/>
  <c r="T184" i="1"/>
  <c r="AC184" i="1"/>
  <c r="AK184" i="1"/>
  <c r="P186" i="1"/>
  <c r="R186" i="1"/>
  <c r="S186" i="1"/>
  <c r="T186" i="1"/>
  <c r="AC186" i="1"/>
  <c r="AK186" i="1"/>
  <c r="P187" i="1"/>
  <c r="R187" i="1" s="1"/>
  <c r="S187" i="1"/>
  <c r="T187" i="1"/>
  <c r="AC187" i="1"/>
  <c r="AK187" i="1"/>
  <c r="P190" i="1"/>
  <c r="R190" i="1"/>
  <c r="S190" i="1"/>
  <c r="T190" i="1"/>
  <c r="AC190" i="1"/>
  <c r="AK190" i="1"/>
  <c r="P191" i="1"/>
  <c r="R191" i="1" s="1"/>
  <c r="S191" i="1"/>
  <c r="T191" i="1"/>
  <c r="AC191" i="1"/>
  <c r="AK191" i="1"/>
  <c r="P192" i="1"/>
  <c r="R192" i="1"/>
  <c r="S192" i="1"/>
  <c r="T192" i="1"/>
  <c r="AC192" i="1"/>
  <c r="AK192" i="1"/>
  <c r="P195" i="1"/>
  <c r="R195" i="1" s="1"/>
  <c r="S195" i="1"/>
  <c r="T195" i="1"/>
  <c r="AC195" i="1"/>
  <c r="AK195" i="1"/>
  <c r="P196" i="1"/>
  <c r="R196" i="1"/>
  <c r="S196" i="1"/>
  <c r="T196" i="1"/>
  <c r="AC196" i="1"/>
  <c r="AK196" i="1"/>
  <c r="P197" i="1"/>
  <c r="R197" i="1" s="1"/>
  <c r="S197" i="1"/>
  <c r="T197" i="1"/>
  <c r="AC197" i="1"/>
  <c r="AK197" i="1"/>
  <c r="P198" i="1"/>
  <c r="R198" i="1" s="1"/>
  <c r="S198" i="1"/>
  <c r="T198" i="1"/>
  <c r="AC198" i="1"/>
  <c r="AK198" i="1"/>
  <c r="P200" i="1"/>
  <c r="R200" i="1" s="1"/>
  <c r="S200" i="1"/>
  <c r="T200" i="1"/>
  <c r="AC200" i="1"/>
  <c r="AK200" i="1"/>
  <c r="P201" i="1"/>
  <c r="R201" i="1" s="1"/>
  <c r="S201" i="1"/>
  <c r="T201" i="1"/>
  <c r="AC201" i="1"/>
  <c r="AK201" i="1"/>
  <c r="P202" i="1"/>
  <c r="R202" i="1" s="1"/>
  <c r="S202" i="1"/>
  <c r="T202" i="1"/>
  <c r="AC202" i="1"/>
  <c r="AK202" i="1"/>
  <c r="P203" i="1"/>
  <c r="R203" i="1" s="1"/>
  <c r="S203" i="1"/>
  <c r="T203" i="1"/>
  <c r="AC203" i="1"/>
  <c r="AK203" i="1"/>
  <c r="P204" i="1"/>
  <c r="R204" i="1" s="1"/>
  <c r="S204" i="1"/>
  <c r="T204" i="1"/>
  <c r="AC204" i="1"/>
  <c r="AK204" i="1"/>
  <c r="P206" i="1"/>
  <c r="R206" i="1" s="1"/>
  <c r="S206" i="1"/>
  <c r="T206" i="1"/>
  <c r="AC206" i="1"/>
  <c r="AK206" i="1"/>
  <c r="P208" i="1"/>
  <c r="R208" i="1" s="1"/>
  <c r="S208" i="1"/>
  <c r="T208" i="1"/>
  <c r="AC208" i="1"/>
  <c r="AK208" i="1"/>
  <c r="P211" i="1"/>
  <c r="R211" i="1" s="1"/>
  <c r="S211" i="1"/>
  <c r="T211" i="1"/>
  <c r="AC211" i="1"/>
  <c r="AK211" i="1"/>
  <c r="P212" i="1"/>
  <c r="R212" i="1" s="1"/>
  <c r="S212" i="1"/>
  <c r="T212" i="1"/>
  <c r="AC212" i="1"/>
  <c r="AK212" i="1"/>
  <c r="P213" i="1"/>
  <c r="R213" i="1" s="1"/>
  <c r="S213" i="1"/>
  <c r="T213" i="1"/>
  <c r="AC213" i="1"/>
  <c r="AK213" i="1"/>
  <c r="P214" i="1"/>
  <c r="R214" i="1"/>
  <c r="S214" i="1"/>
  <c r="T214" i="1"/>
  <c r="AC214" i="1"/>
  <c r="AK214" i="1"/>
  <c r="P215" i="1"/>
  <c r="R215" i="1" s="1"/>
  <c r="S215" i="1"/>
  <c r="T215" i="1"/>
  <c r="AC215" i="1"/>
  <c r="AK215" i="1"/>
  <c r="P216" i="1"/>
  <c r="R216" i="1"/>
  <c r="S216" i="1"/>
  <c r="T216" i="1"/>
  <c r="AC216" i="1"/>
  <c r="AK216" i="1"/>
  <c r="P218" i="1"/>
  <c r="R218" i="1"/>
  <c r="S218" i="1"/>
  <c r="T218" i="1"/>
  <c r="AC218" i="1"/>
  <c r="AK218" i="1"/>
  <c r="P219" i="1"/>
  <c r="R219" i="1"/>
  <c r="S219" i="1"/>
  <c r="T219" i="1"/>
  <c r="AC219" i="1"/>
  <c r="AK219" i="1"/>
  <c r="P220" i="1"/>
  <c r="R220" i="1" s="1"/>
  <c r="S220" i="1"/>
  <c r="T220" i="1"/>
  <c r="AC220" i="1"/>
  <c r="AK220" i="1"/>
  <c r="P221" i="1"/>
  <c r="R221" i="1" s="1"/>
  <c r="S221" i="1"/>
  <c r="T221" i="1"/>
  <c r="AC221" i="1"/>
  <c r="AK221" i="1"/>
  <c r="P222" i="1"/>
  <c r="R222" i="1"/>
  <c r="S222" i="1"/>
  <c r="T222" i="1"/>
  <c r="AC222" i="1"/>
  <c r="AK222" i="1"/>
  <c r="P224" i="1"/>
  <c r="R224" i="1" s="1"/>
  <c r="S224" i="1"/>
  <c r="T224" i="1"/>
  <c r="AC224" i="1"/>
  <c r="AK224" i="1"/>
  <c r="P225" i="1"/>
  <c r="R225" i="1" s="1"/>
  <c r="S225" i="1"/>
  <c r="T225" i="1"/>
  <c r="AC225" i="1"/>
  <c r="AK225" i="1"/>
  <c r="P226" i="1"/>
  <c r="R226" i="1" s="1"/>
  <c r="S226" i="1"/>
  <c r="T226" i="1"/>
  <c r="AC226" i="1"/>
  <c r="AK226" i="1"/>
  <c r="P227" i="1"/>
  <c r="R227" i="1"/>
  <c r="S227" i="1"/>
  <c r="AC227" i="1"/>
  <c r="AK227" i="1"/>
  <c r="P228" i="1"/>
  <c r="R228" i="1" s="1"/>
  <c r="S228" i="1"/>
  <c r="T228" i="1"/>
  <c r="AC228" i="1"/>
  <c r="AK228" i="1"/>
  <c r="P229" i="1"/>
  <c r="R229" i="1" s="1"/>
  <c r="S229" i="1"/>
  <c r="T229" i="1"/>
  <c r="AC229" i="1"/>
  <c r="AK229" i="1"/>
  <c r="P231" i="1"/>
  <c r="R231" i="1" s="1"/>
  <c r="S231" i="1"/>
  <c r="T231" i="1"/>
  <c r="AC231" i="1"/>
  <c r="AK231" i="1"/>
  <c r="P233" i="1"/>
  <c r="R233" i="1"/>
  <c r="S233" i="1"/>
  <c r="T233" i="1"/>
  <c r="AC233" i="1"/>
  <c r="AK233" i="1"/>
  <c r="P234" i="1"/>
  <c r="R234" i="1" s="1"/>
  <c r="S234" i="1"/>
  <c r="T234" i="1"/>
  <c r="AC234" i="1"/>
  <c r="AK234" i="1"/>
  <c r="P235" i="1"/>
  <c r="R235" i="1" s="1"/>
  <c r="S235" i="1"/>
  <c r="T235" i="1"/>
  <c r="AC235" i="1"/>
  <c r="AK235" i="1"/>
  <c r="P236" i="1"/>
  <c r="R236" i="1" s="1"/>
  <c r="S236" i="1"/>
  <c r="T236" i="1"/>
  <c r="AC236" i="1"/>
  <c r="AK236" i="1"/>
  <c r="P237" i="1"/>
  <c r="R237" i="1" s="1"/>
  <c r="S237" i="1"/>
  <c r="T237" i="1"/>
  <c r="AC237" i="1"/>
  <c r="AK237" i="1"/>
  <c r="P238" i="1"/>
  <c r="R238" i="1" s="1"/>
  <c r="S238" i="1"/>
  <c r="T238" i="1"/>
  <c r="AC238" i="1"/>
  <c r="AK238" i="1"/>
  <c r="P242" i="1"/>
  <c r="R242" i="1"/>
  <c r="S242" i="1"/>
  <c r="T242" i="1"/>
  <c r="AC242" i="1"/>
  <c r="AK242" i="1"/>
  <c r="P243" i="1"/>
  <c r="R243" i="1" s="1"/>
  <c r="S243" i="1"/>
  <c r="T243" i="1"/>
  <c r="AC243" i="1"/>
  <c r="AK243" i="1"/>
  <c r="P244" i="1"/>
  <c r="R244" i="1"/>
  <c r="S244" i="1"/>
  <c r="T244" i="1"/>
  <c r="AC244" i="1"/>
  <c r="AK244" i="1"/>
  <c r="P245" i="1"/>
  <c r="R245" i="1" s="1"/>
  <c r="S245" i="1"/>
  <c r="T245" i="1"/>
  <c r="AC245" i="1"/>
  <c r="AK245" i="1"/>
  <c r="P247" i="1"/>
  <c r="R247" i="1"/>
  <c r="S247" i="1"/>
  <c r="T247" i="1"/>
  <c r="AC247" i="1"/>
  <c r="AK247" i="1"/>
  <c r="P248" i="1"/>
  <c r="R248" i="1" s="1"/>
  <c r="S248" i="1"/>
  <c r="T248" i="1"/>
  <c r="AC248" i="1"/>
  <c r="AK248" i="1"/>
  <c r="P249" i="1"/>
  <c r="R249" i="1" s="1"/>
  <c r="AC249" i="1"/>
  <c r="AK249" i="1"/>
  <c r="P251" i="1"/>
  <c r="R251" i="1" s="1"/>
  <c r="S251" i="1"/>
  <c r="T251" i="1"/>
  <c r="AC251" i="1"/>
  <c r="AK251" i="1"/>
  <c r="P252" i="1"/>
  <c r="R252" i="1"/>
  <c r="S252" i="1"/>
  <c r="T252" i="1"/>
  <c r="AC252" i="1"/>
  <c r="AK252" i="1"/>
  <c r="P253" i="1"/>
  <c r="R253" i="1" s="1"/>
  <c r="S253" i="1"/>
  <c r="T253" i="1"/>
  <c r="AC253" i="1"/>
  <c r="AK253" i="1"/>
  <c r="P256" i="1"/>
  <c r="R256" i="1" s="1"/>
  <c r="S256" i="1"/>
  <c r="T256" i="1"/>
  <c r="AC256" i="1"/>
  <c r="AK256" i="1"/>
  <c r="P257" i="1"/>
  <c r="R257" i="1" s="1"/>
  <c r="S257" i="1"/>
  <c r="T257" i="1"/>
  <c r="AC257" i="1"/>
  <c r="AK257" i="1"/>
  <c r="P259" i="1"/>
  <c r="R259" i="1"/>
  <c r="S259" i="1"/>
  <c r="T259" i="1"/>
  <c r="AC259" i="1"/>
  <c r="AK259" i="1"/>
  <c r="P260" i="1"/>
  <c r="R260" i="1" s="1"/>
  <c r="S260" i="1"/>
  <c r="T260" i="1"/>
  <c r="AC260" i="1"/>
  <c r="AK260" i="1"/>
  <c r="P262" i="1"/>
  <c r="R262" i="1"/>
  <c r="S262" i="1"/>
  <c r="T262" i="1"/>
  <c r="AC262" i="1"/>
  <c r="AK262" i="1"/>
  <c r="P263" i="1"/>
  <c r="R263" i="1" s="1"/>
  <c r="S263" i="1"/>
  <c r="T263" i="1"/>
  <c r="AC263" i="1"/>
  <c r="AK263" i="1"/>
  <c r="P264" i="1"/>
  <c r="R264" i="1"/>
  <c r="S264" i="1"/>
  <c r="T264" i="1"/>
  <c r="AC264" i="1"/>
  <c r="AK264" i="1"/>
  <c r="P267" i="1"/>
  <c r="R267" i="1" s="1"/>
  <c r="S267" i="1"/>
  <c r="T267" i="1"/>
  <c r="AC267" i="1"/>
  <c r="AK267" i="1"/>
  <c r="P268" i="1"/>
  <c r="R268" i="1"/>
  <c r="S268" i="1"/>
  <c r="T268" i="1"/>
  <c r="AC268" i="1"/>
  <c r="AK268" i="1"/>
  <c r="P269" i="1"/>
  <c r="R269" i="1" s="1"/>
  <c r="S269" i="1"/>
  <c r="T269" i="1"/>
  <c r="AC269" i="1"/>
  <c r="AK269" i="1"/>
  <c r="P270" i="1"/>
  <c r="R270" i="1" s="1"/>
  <c r="S270" i="1"/>
  <c r="T270" i="1"/>
  <c r="AC270" i="1"/>
  <c r="AK270" i="1"/>
  <c r="P273" i="1"/>
  <c r="R273" i="1" s="1"/>
  <c r="S273" i="1"/>
  <c r="T273" i="1"/>
  <c r="AC273" i="1"/>
  <c r="AK273" i="1"/>
  <c r="P274" i="1"/>
  <c r="R274" i="1"/>
  <c r="S274" i="1"/>
  <c r="T274" i="1"/>
  <c r="AC274" i="1"/>
  <c r="AK274" i="1"/>
  <c r="P275" i="1"/>
  <c r="R275" i="1" s="1"/>
  <c r="S275" i="1"/>
  <c r="T275" i="1"/>
  <c r="AC275" i="1"/>
  <c r="AK275" i="1"/>
  <c r="P276" i="1"/>
  <c r="R276" i="1" s="1"/>
  <c r="S276" i="1"/>
  <c r="T276" i="1"/>
  <c r="AC276" i="1"/>
  <c r="AK276" i="1"/>
  <c r="P277" i="1"/>
  <c r="R277" i="1" s="1"/>
  <c r="S277" i="1"/>
  <c r="T277" i="1"/>
  <c r="AC277" i="1"/>
  <c r="AK277" i="1"/>
  <c r="P279" i="1"/>
  <c r="R279" i="1"/>
  <c r="S279" i="1"/>
  <c r="T279" i="1"/>
  <c r="AC279" i="1"/>
  <c r="AK279" i="1"/>
  <c r="P281" i="1"/>
  <c r="R281" i="1" s="1"/>
  <c r="S281" i="1"/>
  <c r="T281" i="1"/>
  <c r="AC281" i="1"/>
  <c r="AK281" i="1"/>
  <c r="P282" i="1"/>
  <c r="R282" i="1"/>
  <c r="S282" i="1"/>
  <c r="T282" i="1"/>
  <c r="AC282" i="1"/>
  <c r="AK282" i="1"/>
  <c r="P283" i="1"/>
  <c r="R283" i="1" s="1"/>
  <c r="S283" i="1"/>
  <c r="T283" i="1"/>
  <c r="AC283" i="1"/>
  <c r="AK283" i="1"/>
  <c r="P284" i="1"/>
  <c r="R284" i="1" s="1"/>
  <c r="S284" i="1"/>
  <c r="T284" i="1"/>
  <c r="AC284" i="1"/>
  <c r="AK284" i="1"/>
  <c r="P288" i="1"/>
  <c r="R288" i="1"/>
  <c r="S288" i="1"/>
  <c r="T288" i="1"/>
  <c r="AC288" i="1"/>
  <c r="AK288" i="1"/>
  <c r="P289" i="1"/>
  <c r="R289" i="1"/>
  <c r="S289" i="1"/>
  <c r="T289" i="1"/>
  <c r="AC289" i="1"/>
  <c r="AK289" i="1"/>
  <c r="P290" i="1"/>
  <c r="R290" i="1"/>
  <c r="S290" i="1"/>
  <c r="T290" i="1"/>
  <c r="AC290" i="1"/>
  <c r="AK290" i="1"/>
  <c r="P291" i="1"/>
  <c r="R291" i="1"/>
  <c r="S291" i="1"/>
  <c r="T291" i="1"/>
  <c r="AC291" i="1"/>
  <c r="AK291" i="1"/>
  <c r="P292" i="1"/>
  <c r="R292" i="1"/>
  <c r="S292" i="1"/>
  <c r="T292" i="1"/>
  <c r="AC292" i="1"/>
  <c r="AK292" i="1"/>
  <c r="P294" i="1"/>
  <c r="R294" i="1"/>
  <c r="S294" i="1"/>
  <c r="T294" i="1"/>
  <c r="AC294" i="1"/>
  <c r="AK294" i="1"/>
  <c r="P296" i="1"/>
  <c r="R296" i="1"/>
  <c r="S296" i="1"/>
  <c r="T296" i="1"/>
  <c r="AC296" i="1"/>
  <c r="AK296" i="1"/>
  <c r="P297" i="1"/>
  <c r="R297" i="1"/>
  <c r="S297" i="1"/>
  <c r="T297" i="1"/>
  <c r="AC297" i="1"/>
  <c r="AK297" i="1"/>
  <c r="P298" i="1"/>
  <c r="R298" i="1"/>
  <c r="S298" i="1"/>
  <c r="T298" i="1"/>
  <c r="AC298" i="1"/>
  <c r="AK298" i="1"/>
  <c r="P299" i="1"/>
  <c r="R299" i="1"/>
  <c r="S299" i="1"/>
  <c r="T299" i="1"/>
  <c r="AC299" i="1"/>
  <c r="AK299" i="1"/>
  <c r="P301" i="1"/>
  <c r="R301" i="1"/>
  <c r="S301" i="1"/>
  <c r="T301" i="1"/>
  <c r="AC301" i="1"/>
  <c r="AK301" i="1"/>
  <c r="P302" i="1"/>
  <c r="R302" i="1"/>
  <c r="S302" i="1"/>
  <c r="T302" i="1"/>
  <c r="AC302" i="1"/>
  <c r="AK302" i="1"/>
  <c r="P303" i="1"/>
  <c r="R303" i="1" s="1"/>
  <c r="S303" i="1"/>
  <c r="T303" i="1"/>
  <c r="AC303" i="1"/>
  <c r="AK303" i="1"/>
  <c r="P304" i="1"/>
  <c r="R304" i="1" s="1"/>
  <c r="S304" i="1"/>
  <c r="T304" i="1"/>
  <c r="AC304" i="1"/>
  <c r="AK304" i="1"/>
  <c r="P306" i="1"/>
  <c r="R306" i="1"/>
  <c r="S306" i="1"/>
  <c r="T306" i="1"/>
  <c r="AC306" i="1"/>
  <c r="AK306" i="1"/>
  <c r="P307" i="1"/>
  <c r="R307" i="1" s="1"/>
  <c r="S307" i="1"/>
  <c r="T307" i="1"/>
  <c r="AC307" i="1"/>
  <c r="AK307" i="1"/>
  <c r="P308" i="1"/>
  <c r="R308" i="1"/>
  <c r="S308" i="1"/>
  <c r="T308" i="1"/>
  <c r="AC308" i="1"/>
  <c r="AK308" i="1"/>
  <c r="P309" i="1"/>
  <c r="R309" i="1"/>
  <c r="S309" i="1"/>
  <c r="T309" i="1"/>
  <c r="AC309" i="1"/>
  <c r="AK309" i="1"/>
  <c r="P311" i="1"/>
  <c r="R311" i="1"/>
  <c r="AC311" i="1"/>
  <c r="AK311" i="1"/>
  <c r="P313" i="1"/>
  <c r="R313" i="1"/>
  <c r="S313" i="1"/>
  <c r="T313" i="1"/>
  <c r="AC313" i="1"/>
  <c r="AK313" i="1"/>
  <c r="P314" i="1"/>
  <c r="R314" i="1"/>
  <c r="S314" i="1"/>
  <c r="T314" i="1"/>
  <c r="AC314" i="1"/>
  <c r="AK314" i="1"/>
  <c r="P316" i="1"/>
  <c r="R316" i="1"/>
  <c r="S316" i="1"/>
  <c r="T316" i="1"/>
  <c r="AC316" i="1"/>
  <c r="AK316" i="1"/>
  <c r="P317" i="1"/>
  <c r="R317" i="1"/>
  <c r="S317" i="1"/>
  <c r="T317" i="1"/>
  <c r="AC317" i="1"/>
  <c r="AK317" i="1"/>
  <c r="P319" i="1"/>
  <c r="R319" i="1"/>
  <c r="S319" i="1"/>
  <c r="T319" i="1"/>
  <c r="AC319" i="1"/>
  <c r="AK319" i="1"/>
  <c r="P324" i="1"/>
  <c r="R324" i="1"/>
  <c r="S324" i="1"/>
  <c r="T324" i="1"/>
  <c r="AC324" i="1"/>
  <c r="AK324" i="1"/>
  <c r="P325" i="1"/>
  <c r="R325" i="1" s="1"/>
  <c r="S325" i="1"/>
  <c r="T325" i="1"/>
  <c r="AC325" i="1"/>
  <c r="AK325" i="1"/>
  <c r="P327" i="1"/>
  <c r="R327" i="1"/>
  <c r="S327" i="1"/>
  <c r="T327" i="1"/>
  <c r="AC327" i="1"/>
  <c r="AK327" i="1"/>
  <c r="P329" i="1"/>
  <c r="R329" i="1" s="1"/>
  <c r="S329" i="1"/>
  <c r="T329" i="1"/>
  <c r="AC329" i="1"/>
  <c r="AK329" i="1"/>
  <c r="P331" i="1"/>
  <c r="R331" i="1"/>
  <c r="S331" i="1"/>
  <c r="T331" i="1"/>
  <c r="AC331" i="1"/>
  <c r="AK331" i="1"/>
  <c r="P332" i="1"/>
  <c r="R332" i="1" s="1"/>
  <c r="S332" i="1"/>
  <c r="T332" i="1"/>
  <c r="AC332" i="1"/>
  <c r="AK332" i="1"/>
  <c r="P333" i="1"/>
  <c r="R333" i="1"/>
  <c r="S333" i="1"/>
  <c r="T333" i="1"/>
  <c r="AC333" i="1"/>
  <c r="AK333" i="1"/>
  <c r="P334" i="1"/>
  <c r="R334" i="1" s="1"/>
  <c r="S334" i="1"/>
  <c r="T334" i="1"/>
  <c r="AC334" i="1"/>
  <c r="AK334" i="1"/>
  <c r="P336" i="1"/>
  <c r="R336" i="1"/>
  <c r="S336" i="1"/>
  <c r="T336" i="1"/>
  <c r="AC336" i="1"/>
  <c r="AK336" i="1"/>
  <c r="P338" i="1"/>
  <c r="R338" i="1" s="1"/>
  <c r="S338" i="1"/>
  <c r="T338" i="1"/>
  <c r="AC338" i="1"/>
  <c r="AK338" i="1"/>
  <c r="P340" i="1"/>
  <c r="R340" i="1" s="1"/>
  <c r="S340" i="1"/>
  <c r="T340" i="1"/>
  <c r="AC340" i="1"/>
  <c r="AK340" i="1"/>
  <c r="P341" i="1"/>
  <c r="R341" i="1"/>
  <c r="S341" i="1"/>
  <c r="T341" i="1"/>
  <c r="AC341" i="1"/>
  <c r="AK341" i="1"/>
  <c r="P344" i="1"/>
  <c r="R344" i="1"/>
  <c r="S344" i="1"/>
  <c r="T344" i="1"/>
  <c r="AC344" i="1"/>
  <c r="AK344" i="1"/>
  <c r="P345" i="1"/>
  <c r="R345" i="1"/>
  <c r="S345" i="1"/>
  <c r="T345" i="1"/>
  <c r="AC345" i="1"/>
  <c r="AK345" i="1"/>
  <c r="P346" i="1"/>
  <c r="R346" i="1"/>
  <c r="S346" i="1"/>
  <c r="T346" i="1"/>
  <c r="AC346" i="1"/>
  <c r="AK346" i="1"/>
  <c r="P347" i="1"/>
  <c r="R347" i="1" s="1"/>
  <c r="S347" i="1"/>
  <c r="T347" i="1"/>
  <c r="AC347" i="1"/>
  <c r="AK347" i="1"/>
  <c r="P349" i="1"/>
  <c r="R349" i="1" s="1"/>
  <c r="S349" i="1"/>
  <c r="T349" i="1"/>
  <c r="P350" i="1"/>
  <c r="R350" i="1" s="1"/>
  <c r="S350" i="1"/>
  <c r="T350" i="1"/>
  <c r="P352" i="1"/>
  <c r="R352" i="1" s="1"/>
  <c r="S352" i="1"/>
  <c r="T352" i="1"/>
  <c r="AC352" i="1"/>
  <c r="AK352" i="1"/>
  <c r="P353" i="1"/>
  <c r="R353" i="1" s="1"/>
  <c r="S353" i="1"/>
  <c r="T353" i="1"/>
  <c r="AC353" i="1"/>
  <c r="AK353" i="1"/>
  <c r="P354" i="1"/>
  <c r="R354" i="1"/>
  <c r="S354" i="1"/>
  <c r="T354" i="1"/>
  <c r="AC354" i="1"/>
  <c r="AK354" i="1"/>
  <c r="P355" i="1"/>
  <c r="R355" i="1" s="1"/>
  <c r="S355" i="1"/>
  <c r="T355" i="1"/>
  <c r="AC355" i="1"/>
  <c r="AK355" i="1"/>
  <c r="P357" i="1"/>
  <c r="R357" i="1" s="1"/>
  <c r="S357" i="1"/>
  <c r="T357" i="1"/>
  <c r="AC357" i="1"/>
  <c r="AK357" i="1"/>
  <c r="P358" i="1"/>
  <c r="R358" i="1" s="1"/>
  <c r="S358" i="1"/>
  <c r="T358" i="1"/>
  <c r="AC358" i="1"/>
  <c r="AK358" i="1"/>
  <c r="P359" i="1"/>
  <c r="R359" i="1"/>
  <c r="S359" i="1"/>
  <c r="T359" i="1"/>
  <c r="AC359" i="1"/>
  <c r="AK359" i="1"/>
  <c r="P360" i="1"/>
  <c r="R360" i="1" s="1"/>
  <c r="S360" i="1"/>
  <c r="T360" i="1"/>
  <c r="AC360" i="1"/>
  <c r="AK360" i="1"/>
  <c r="P362" i="1"/>
  <c r="R362" i="1" s="1"/>
  <c r="S362" i="1"/>
  <c r="T362" i="1"/>
  <c r="AC362" i="1"/>
  <c r="AK362" i="1"/>
  <c r="P363" i="1"/>
  <c r="R363" i="1" s="1"/>
  <c r="S363" i="1"/>
  <c r="T363" i="1"/>
  <c r="AC363" i="1"/>
  <c r="AK363" i="1"/>
  <c r="P364" i="1"/>
  <c r="R364" i="1"/>
  <c r="S364" i="1"/>
  <c r="T364" i="1"/>
  <c r="AC364" i="1"/>
  <c r="AK364" i="1"/>
  <c r="P365" i="1"/>
  <c r="R365" i="1" s="1"/>
  <c r="S365" i="1"/>
  <c r="T365" i="1"/>
  <c r="AC365" i="1"/>
  <c r="AK365" i="1"/>
  <c r="P367" i="1"/>
  <c r="R367" i="1" s="1"/>
  <c r="S367" i="1"/>
  <c r="T367" i="1"/>
  <c r="AC367" i="1"/>
  <c r="AK367" i="1"/>
  <c r="P368" i="1"/>
  <c r="R368" i="1"/>
  <c r="S368" i="1"/>
  <c r="T368" i="1"/>
  <c r="AC368" i="1"/>
  <c r="AK368" i="1"/>
  <c r="P369" i="1"/>
  <c r="R369" i="1" s="1"/>
  <c r="S369" i="1"/>
  <c r="T369" i="1"/>
  <c r="AC369" i="1"/>
  <c r="AK369" i="1"/>
  <c r="P370" i="1"/>
  <c r="R370" i="1"/>
  <c r="S370" i="1"/>
  <c r="T370" i="1"/>
  <c r="AC370" i="1"/>
  <c r="AK370" i="1"/>
  <c r="P372" i="1"/>
  <c r="R372" i="1" s="1"/>
  <c r="S372" i="1"/>
  <c r="T372" i="1"/>
  <c r="AC372" i="1"/>
  <c r="AK372" i="1"/>
  <c r="P373" i="1"/>
  <c r="R373" i="1"/>
  <c r="S373" i="1"/>
  <c r="T373" i="1"/>
  <c r="AC373" i="1"/>
  <c r="AK373" i="1"/>
  <c r="P374" i="1"/>
  <c r="R374" i="1"/>
  <c r="S374" i="1"/>
  <c r="T374" i="1"/>
  <c r="AC374" i="1"/>
  <c r="AK374" i="1"/>
  <c r="P376" i="1"/>
  <c r="R376" i="1" s="1"/>
  <c r="S376" i="1"/>
  <c r="T376" i="1"/>
  <c r="AC376" i="1"/>
  <c r="AK376" i="1"/>
  <c r="P377" i="1"/>
  <c r="R377" i="1"/>
  <c r="S377" i="1"/>
  <c r="T377" i="1"/>
  <c r="AC377" i="1"/>
  <c r="AK377" i="1"/>
  <c r="P378" i="1"/>
  <c r="R378" i="1" s="1"/>
  <c r="S378" i="1"/>
  <c r="T378" i="1"/>
  <c r="AC378" i="1"/>
  <c r="AK378" i="1"/>
  <c r="P379" i="1"/>
  <c r="R379" i="1" s="1"/>
  <c r="S379" i="1"/>
  <c r="T379" i="1"/>
  <c r="AC379" i="1"/>
  <c r="AK379" i="1"/>
  <c r="P381" i="1"/>
  <c r="R381" i="1" s="1"/>
  <c r="S381" i="1"/>
  <c r="T381" i="1"/>
  <c r="AC381" i="1"/>
  <c r="AK381" i="1"/>
  <c r="P382" i="1"/>
  <c r="R382" i="1" s="1"/>
  <c r="S382" i="1"/>
  <c r="T382" i="1"/>
  <c r="AC382" i="1"/>
  <c r="AK382" i="1"/>
  <c r="P383" i="1"/>
  <c r="R383" i="1" s="1"/>
  <c r="S383" i="1"/>
  <c r="T383" i="1"/>
  <c r="AC383" i="1"/>
  <c r="AK383" i="1"/>
  <c r="P384" i="1"/>
  <c r="R384" i="1"/>
  <c r="S384" i="1"/>
  <c r="T384" i="1"/>
  <c r="AC384" i="1"/>
  <c r="AK384" i="1"/>
  <c r="P386" i="1"/>
  <c r="R386" i="1"/>
  <c r="S386" i="1"/>
  <c r="T386" i="1"/>
  <c r="AC386" i="1"/>
  <c r="AK386" i="1"/>
  <c r="P387" i="1"/>
  <c r="R387" i="1"/>
  <c r="S387" i="1"/>
  <c r="T387" i="1"/>
  <c r="AC387" i="1"/>
  <c r="AK387" i="1"/>
  <c r="P388" i="1"/>
  <c r="R388" i="1"/>
  <c r="S388" i="1"/>
  <c r="T388" i="1"/>
  <c r="AC388" i="1"/>
  <c r="AK388" i="1"/>
  <c r="P389" i="1"/>
  <c r="R389" i="1"/>
  <c r="S389" i="1"/>
  <c r="T389" i="1"/>
  <c r="AC389" i="1"/>
  <c r="AK389" i="1"/>
  <c r="P391" i="1"/>
  <c r="R391" i="1"/>
  <c r="S391" i="1"/>
  <c r="T391" i="1"/>
  <c r="AC391" i="1"/>
  <c r="AK391" i="1"/>
  <c r="P393" i="1"/>
  <c r="R393" i="1"/>
  <c r="S393" i="1"/>
  <c r="T393" i="1"/>
  <c r="AC393" i="1"/>
  <c r="AK393" i="1"/>
  <c r="P394" i="1"/>
  <c r="R394" i="1"/>
  <c r="S394" i="1"/>
  <c r="T394" i="1"/>
  <c r="AC394" i="1"/>
  <c r="AK394" i="1"/>
  <c r="P395" i="1"/>
  <c r="R395" i="1" s="1"/>
  <c r="S395" i="1"/>
  <c r="T395" i="1"/>
  <c r="AC395" i="1"/>
  <c r="AK395" i="1"/>
  <c r="P396" i="1"/>
  <c r="R396" i="1" s="1"/>
  <c r="S396" i="1"/>
  <c r="T396" i="1"/>
  <c r="AC396" i="1"/>
  <c r="AK396" i="1"/>
  <c r="P398" i="1"/>
  <c r="R398" i="1" s="1"/>
  <c r="S398" i="1"/>
  <c r="T398" i="1"/>
  <c r="AC398" i="1"/>
  <c r="AK398" i="1"/>
  <c r="P399" i="1"/>
  <c r="R399" i="1" s="1"/>
  <c r="S399" i="1"/>
  <c r="T399" i="1"/>
  <c r="AC399" i="1"/>
  <c r="AK399" i="1"/>
  <c r="P400" i="1"/>
  <c r="R400" i="1" s="1"/>
  <c r="S400" i="1"/>
  <c r="T400" i="1"/>
  <c r="AC400" i="1"/>
  <c r="AK400" i="1"/>
  <c r="P402" i="1"/>
  <c r="R402" i="1"/>
  <c r="S402" i="1"/>
  <c r="T402" i="1"/>
  <c r="AC402" i="1"/>
  <c r="AK402" i="1"/>
  <c r="P403" i="1"/>
  <c r="R403" i="1"/>
  <c r="S403" i="1"/>
  <c r="T403" i="1"/>
  <c r="AC403" i="1"/>
  <c r="AK403" i="1"/>
  <c r="P404" i="1"/>
  <c r="R404" i="1" s="1"/>
  <c r="S404" i="1"/>
  <c r="T404" i="1"/>
  <c r="AC404" i="1"/>
  <c r="AK404" i="1"/>
  <c r="P406" i="1"/>
  <c r="R406" i="1" s="1"/>
  <c r="S406" i="1"/>
  <c r="T406" i="1"/>
  <c r="AC406" i="1"/>
  <c r="AK406" i="1"/>
  <c r="P407" i="1"/>
  <c r="R407" i="1" s="1"/>
  <c r="S407" i="1"/>
  <c r="T407" i="1"/>
  <c r="AC407" i="1"/>
  <c r="AK407" i="1"/>
  <c r="P408" i="1"/>
  <c r="R408" i="1"/>
  <c r="S408" i="1"/>
  <c r="T408" i="1"/>
  <c r="AC408" i="1"/>
  <c r="AK408" i="1"/>
  <c r="P409" i="1"/>
  <c r="R409" i="1" s="1"/>
  <c r="S409" i="1"/>
  <c r="T409" i="1"/>
  <c r="AC409" i="1"/>
  <c r="AK409" i="1"/>
  <c r="P411" i="1"/>
  <c r="R411" i="1" s="1"/>
  <c r="S411" i="1"/>
  <c r="T411" i="1"/>
  <c r="AC411" i="1"/>
  <c r="AK411" i="1"/>
  <c r="P412" i="1"/>
  <c r="R412" i="1"/>
  <c r="S412" i="1"/>
  <c r="T412" i="1"/>
  <c r="AC412" i="1"/>
  <c r="AK412" i="1"/>
  <c r="P413" i="1"/>
  <c r="R413" i="1" s="1"/>
  <c r="S413" i="1"/>
  <c r="T413" i="1"/>
  <c r="AC413" i="1"/>
  <c r="AK413" i="1"/>
  <c r="P414" i="1"/>
  <c r="R414" i="1"/>
  <c r="S414" i="1"/>
  <c r="T414" i="1"/>
  <c r="AC414" i="1"/>
  <c r="AK414" i="1"/>
  <c r="P416" i="1"/>
  <c r="R416" i="1" s="1"/>
  <c r="S416" i="1"/>
  <c r="T416" i="1"/>
  <c r="AC416" i="1"/>
  <c r="AK416" i="1"/>
  <c r="P417" i="1"/>
  <c r="R417" i="1"/>
  <c r="S417" i="1"/>
  <c r="T417" i="1"/>
  <c r="AC417" i="1"/>
  <c r="AK417" i="1"/>
  <c r="P418" i="1"/>
  <c r="R418" i="1" s="1"/>
  <c r="AC418" i="1"/>
  <c r="AK418" i="1"/>
  <c r="P421" i="1"/>
  <c r="R421" i="1" s="1"/>
  <c r="S421" i="1"/>
  <c r="T421" i="1"/>
  <c r="AC421" i="1"/>
  <c r="AK421" i="1"/>
  <c r="P423" i="1"/>
  <c r="R423" i="1"/>
  <c r="S423" i="1"/>
  <c r="T423" i="1"/>
  <c r="AC423" i="1"/>
  <c r="AK423" i="1"/>
  <c r="P424" i="1"/>
  <c r="R424" i="1" s="1"/>
  <c r="S424" i="1"/>
  <c r="T424" i="1"/>
  <c r="AC424" i="1"/>
  <c r="AK424" i="1"/>
  <c r="P425" i="1"/>
  <c r="R425" i="1" s="1"/>
  <c r="S425" i="1"/>
  <c r="T425" i="1"/>
  <c r="AC425" i="1"/>
  <c r="AK425" i="1"/>
  <c r="P426" i="1"/>
  <c r="R426" i="1" s="1"/>
  <c r="S426" i="1"/>
  <c r="T426" i="1"/>
  <c r="AC426" i="1"/>
  <c r="AK426" i="1"/>
  <c r="P428" i="1"/>
  <c r="R428" i="1"/>
  <c r="AC428" i="1"/>
  <c r="AK428" i="1"/>
  <c r="P429" i="1"/>
  <c r="R429" i="1"/>
  <c r="AC429" i="1"/>
  <c r="AK429" i="1"/>
  <c r="P430" i="1"/>
  <c r="R430" i="1"/>
  <c r="AC430" i="1"/>
  <c r="AK430" i="1"/>
  <c r="P431" i="1"/>
  <c r="R431" i="1"/>
  <c r="AC431" i="1"/>
  <c r="AK431" i="1"/>
  <c r="P433" i="1"/>
  <c r="R433" i="1"/>
  <c r="AC433" i="1"/>
  <c r="AK433" i="1"/>
  <c r="P434" i="1"/>
  <c r="R434" i="1"/>
  <c r="AC434" i="1"/>
  <c r="AK434" i="1"/>
  <c r="P435" i="1"/>
  <c r="R435" i="1"/>
  <c r="AC435" i="1"/>
  <c r="AK435" i="1"/>
  <c r="P436" i="1"/>
  <c r="R436" i="1"/>
  <c r="AC436" i="1"/>
  <c r="AK436" i="1"/>
  <c r="P438" i="1"/>
  <c r="R438" i="1"/>
  <c r="AC438" i="1"/>
  <c r="AK438" i="1"/>
  <c r="P439" i="1"/>
  <c r="R439" i="1"/>
  <c r="AC439" i="1"/>
  <c r="AK439" i="1"/>
  <c r="P440" i="1"/>
  <c r="R440" i="1"/>
  <c r="S440" i="1"/>
  <c r="T440" i="1"/>
  <c r="AC440" i="1"/>
  <c r="AK440" i="1"/>
  <c r="P442" i="1"/>
  <c r="R442" i="1" s="1"/>
  <c r="AC442" i="1"/>
  <c r="AK442" i="1"/>
  <c r="P443" i="1"/>
  <c r="R443" i="1" s="1"/>
  <c r="AC443" i="1"/>
  <c r="AK443" i="1"/>
  <c r="P444" i="1"/>
  <c r="R444" i="1" s="1"/>
  <c r="AC444" i="1"/>
  <c r="AK444" i="1"/>
  <c r="P446" i="1"/>
  <c r="R446" i="1" s="1"/>
  <c r="S446" i="1"/>
  <c r="T446" i="1"/>
  <c r="AC446" i="1"/>
  <c r="AK446" i="1"/>
  <c r="P448" i="1"/>
  <c r="R448" i="1" s="1"/>
  <c r="S448" i="1"/>
  <c r="T448" i="1"/>
  <c r="AC448" i="1"/>
  <c r="AK448" i="1"/>
  <c r="P450" i="1"/>
  <c r="R450" i="1" s="1"/>
  <c r="S450" i="1"/>
  <c r="T450" i="1"/>
  <c r="AC450" i="1"/>
  <c r="AK450" i="1"/>
  <c r="P451" i="1"/>
  <c r="R451" i="1" s="1"/>
  <c r="S451" i="1"/>
  <c r="T451" i="1"/>
  <c r="AC451" i="1"/>
  <c r="AK451" i="1"/>
  <c r="P452" i="1"/>
  <c r="R452" i="1" s="1"/>
  <c r="S452" i="1"/>
  <c r="T452" i="1"/>
  <c r="AC452" i="1"/>
  <c r="AK452" i="1"/>
  <c r="P453" i="1"/>
  <c r="R453" i="1"/>
  <c r="S453" i="1"/>
  <c r="T453" i="1"/>
  <c r="AC453" i="1"/>
  <c r="AK453" i="1"/>
  <c r="P456" i="1"/>
  <c r="R456" i="1" s="1"/>
  <c r="S456" i="1"/>
  <c r="T456" i="1"/>
  <c r="AC456" i="1"/>
  <c r="AK456" i="1"/>
  <c r="P457" i="1"/>
  <c r="R457" i="1"/>
  <c r="S457" i="1"/>
  <c r="T457" i="1"/>
  <c r="AC457" i="1"/>
  <c r="AK457" i="1"/>
  <c r="P461" i="1"/>
  <c r="R461" i="1" s="1"/>
  <c r="S461" i="1"/>
  <c r="T461" i="1"/>
  <c r="AC461" i="1"/>
  <c r="AK461" i="1"/>
  <c r="P462" i="1"/>
  <c r="R462" i="1" s="1"/>
  <c r="S462" i="1"/>
  <c r="T462" i="1"/>
  <c r="AC462" i="1"/>
  <c r="AK462" i="1"/>
  <c r="P463" i="1"/>
  <c r="R463" i="1" s="1"/>
  <c r="S463" i="1"/>
  <c r="T463" i="1"/>
  <c r="AC463" i="1"/>
  <c r="AK463" i="1"/>
  <c r="P465" i="1"/>
  <c r="R465" i="1" s="1"/>
  <c r="S465" i="1"/>
  <c r="T465" i="1"/>
  <c r="AC465" i="1"/>
  <c r="AK465" i="1"/>
  <c r="P466" i="1"/>
  <c r="R466" i="1"/>
  <c r="S466" i="1"/>
  <c r="T466" i="1"/>
  <c r="AC466" i="1"/>
  <c r="AK466" i="1"/>
  <c r="P467" i="1"/>
  <c r="R467" i="1" s="1"/>
  <c r="S467" i="1"/>
  <c r="T467" i="1"/>
  <c r="AC467" i="1"/>
  <c r="AK467" i="1"/>
  <c r="P469" i="1"/>
  <c r="R469" i="1" s="1"/>
  <c r="S469" i="1"/>
  <c r="T469" i="1"/>
  <c r="AC469" i="1"/>
  <c r="AK469" i="1"/>
  <c r="P470" i="1"/>
  <c r="R470" i="1" s="1"/>
  <c r="S470" i="1"/>
  <c r="T470" i="1"/>
  <c r="AC470" i="1"/>
  <c r="AK470" i="1"/>
  <c r="P471" i="1"/>
  <c r="R471" i="1" s="1"/>
  <c r="S471" i="1"/>
  <c r="T471" i="1"/>
  <c r="AC471" i="1"/>
  <c r="AK471" i="1"/>
  <c r="P473" i="1"/>
  <c r="R473" i="1" s="1"/>
  <c r="S473" i="1"/>
  <c r="T473" i="1"/>
  <c r="AC473" i="1"/>
  <c r="AK473" i="1"/>
  <c r="P475" i="1"/>
  <c r="R475" i="1" s="1"/>
  <c r="S475" i="1"/>
  <c r="T475" i="1"/>
  <c r="AC475" i="1"/>
  <c r="AK475" i="1"/>
  <c r="P476" i="1"/>
  <c r="R476" i="1" s="1"/>
  <c r="S476" i="1"/>
  <c r="T476" i="1"/>
  <c r="AC476" i="1"/>
  <c r="AK476" i="1"/>
  <c r="P478" i="1"/>
  <c r="R478" i="1" s="1"/>
  <c r="S478" i="1"/>
  <c r="T478" i="1"/>
  <c r="AC478" i="1"/>
  <c r="AK478" i="1"/>
  <c r="P479" i="1"/>
  <c r="R479" i="1" s="1"/>
  <c r="S479" i="1"/>
  <c r="T479" i="1"/>
  <c r="AC479" i="1"/>
  <c r="AK479" i="1"/>
  <c r="P481" i="1"/>
  <c r="R481" i="1" s="1"/>
  <c r="S481" i="1"/>
  <c r="T481" i="1"/>
  <c r="AC481" i="1"/>
  <c r="AK481" i="1"/>
  <c r="P482" i="1"/>
  <c r="R482" i="1" s="1"/>
  <c r="S482" i="1"/>
  <c r="T482" i="1"/>
  <c r="AC482" i="1"/>
  <c r="AK482" i="1"/>
  <c r="P484" i="1"/>
  <c r="R484" i="1" s="1"/>
  <c r="S484" i="1"/>
  <c r="T484" i="1"/>
  <c r="AC484" i="1"/>
  <c r="AK484" i="1"/>
  <c r="P486" i="1"/>
  <c r="R486" i="1" s="1"/>
  <c r="S486" i="1"/>
  <c r="T486" i="1"/>
  <c r="AC486" i="1"/>
  <c r="AK486" i="1"/>
  <c r="P488" i="1"/>
  <c r="R488" i="1" s="1"/>
  <c r="S488" i="1"/>
  <c r="T488" i="1"/>
  <c r="AC488" i="1"/>
  <c r="AK488" i="1"/>
  <c r="P489" i="1"/>
  <c r="R489" i="1" s="1"/>
  <c r="AC489" i="1"/>
  <c r="AK489" i="1"/>
  <c r="P490" i="1"/>
  <c r="R490" i="1" s="1"/>
  <c r="S490" i="1"/>
  <c r="T490" i="1"/>
  <c r="AC490" i="1"/>
  <c r="AK490" i="1"/>
  <c r="P491" i="1"/>
  <c r="R491" i="1" s="1"/>
  <c r="S491" i="1"/>
  <c r="T491" i="1"/>
  <c r="AC491" i="1"/>
  <c r="AK491" i="1"/>
  <c r="P492" i="1"/>
  <c r="R492" i="1" s="1"/>
  <c r="S492" i="1"/>
  <c r="T492" i="1"/>
  <c r="AC492" i="1"/>
  <c r="AK492" i="1"/>
  <c r="P493" i="1"/>
  <c r="R493" i="1" s="1"/>
  <c r="S493" i="1"/>
  <c r="T493" i="1"/>
  <c r="AC493" i="1"/>
  <c r="AK493" i="1"/>
  <c r="P494" i="1"/>
  <c r="R494" i="1" s="1"/>
  <c r="S494" i="1"/>
  <c r="T494" i="1"/>
  <c r="AC494" i="1"/>
  <c r="AK494" i="1"/>
  <c r="P495" i="1"/>
  <c r="R495" i="1" s="1"/>
  <c r="S495" i="1"/>
  <c r="T495" i="1"/>
  <c r="AC495" i="1"/>
  <c r="AK495" i="1"/>
  <c r="P496" i="1"/>
  <c r="R496" i="1" s="1"/>
  <c r="S496" i="1"/>
  <c r="T496" i="1"/>
  <c r="AC496" i="1"/>
  <c r="AK496" i="1"/>
  <c r="P497" i="1"/>
  <c r="R497" i="1" s="1"/>
  <c r="S497" i="1"/>
  <c r="T497" i="1"/>
  <c r="AC497" i="1"/>
  <c r="AK497" i="1"/>
  <c r="P498" i="1"/>
  <c r="R498" i="1" s="1"/>
  <c r="S498" i="1"/>
  <c r="T498" i="1"/>
  <c r="AC498" i="1"/>
  <c r="AK498" i="1"/>
  <c r="P499" i="1"/>
  <c r="R499" i="1" s="1"/>
  <c r="S499" i="1"/>
  <c r="T499" i="1"/>
  <c r="AC499" i="1"/>
  <c r="AK499" i="1"/>
  <c r="P500" i="1"/>
  <c r="R500" i="1" s="1"/>
  <c r="S500" i="1"/>
  <c r="T500" i="1"/>
  <c r="AC500" i="1"/>
  <c r="AK500" i="1"/>
  <c r="P502" i="1"/>
  <c r="R502" i="1" s="1"/>
  <c r="S502" i="1"/>
  <c r="T502" i="1"/>
  <c r="AC502" i="1"/>
  <c r="AK502" i="1"/>
  <c r="P504" i="1"/>
  <c r="R504" i="1" s="1"/>
  <c r="S504" i="1"/>
  <c r="T504" i="1"/>
  <c r="AC504" i="1"/>
  <c r="AK504" i="1"/>
  <c r="P505" i="1"/>
  <c r="R505" i="1"/>
  <c r="S505" i="1"/>
  <c r="T505" i="1"/>
  <c r="AC505" i="1"/>
  <c r="AK505" i="1"/>
  <c r="P506" i="1"/>
  <c r="R506" i="1" s="1"/>
  <c r="S506" i="1"/>
  <c r="T506" i="1"/>
  <c r="AC506" i="1"/>
  <c r="AK506" i="1"/>
  <c r="P508" i="1"/>
  <c r="R508" i="1"/>
  <c r="S508" i="1"/>
  <c r="T508" i="1"/>
  <c r="AC508" i="1"/>
  <c r="AK508" i="1"/>
  <c r="P509" i="1"/>
  <c r="R509" i="1" s="1"/>
  <c r="S509" i="1"/>
  <c r="T509" i="1"/>
  <c r="AC509" i="1"/>
  <c r="AK509" i="1"/>
  <c r="P510" i="1"/>
  <c r="R510" i="1"/>
  <c r="S510" i="1"/>
  <c r="T510" i="1"/>
  <c r="AC510" i="1"/>
  <c r="AK510" i="1"/>
  <c r="P512" i="1"/>
  <c r="R512" i="1" s="1"/>
  <c r="S512" i="1"/>
  <c r="T512" i="1"/>
  <c r="AC512" i="1"/>
  <c r="AK512" i="1"/>
  <c r="P513" i="1"/>
  <c r="R513" i="1"/>
  <c r="S513" i="1"/>
  <c r="T513" i="1"/>
  <c r="AC513" i="1"/>
  <c r="AK513" i="1"/>
  <c r="P514" i="1"/>
  <c r="R514" i="1" s="1"/>
  <c r="S514" i="1"/>
  <c r="T514" i="1"/>
  <c r="AC514" i="1"/>
  <c r="AK514" i="1"/>
  <c r="P515" i="1"/>
  <c r="R515" i="1"/>
  <c r="S515" i="1"/>
  <c r="T515" i="1"/>
  <c r="AC515" i="1"/>
  <c r="AK515" i="1"/>
  <c r="P517" i="1"/>
  <c r="R517" i="1" s="1"/>
  <c r="S517" i="1"/>
  <c r="T517" i="1"/>
  <c r="AC517" i="1"/>
  <c r="AK517" i="1"/>
  <c r="P518" i="1"/>
  <c r="R518" i="1"/>
  <c r="S518" i="1"/>
  <c r="T518" i="1"/>
  <c r="AC518" i="1"/>
  <c r="AK518" i="1"/>
  <c r="P519" i="1"/>
  <c r="R519" i="1" s="1"/>
  <c r="S519" i="1"/>
  <c r="T519" i="1"/>
  <c r="AC519" i="1"/>
  <c r="AK519" i="1"/>
  <c r="P520" i="1"/>
  <c r="R520" i="1"/>
  <c r="AC520" i="1"/>
  <c r="AK520" i="1"/>
  <c r="P521" i="1"/>
  <c r="R521" i="1"/>
  <c r="S521" i="1"/>
  <c r="T521" i="1"/>
  <c r="AC521" i="1"/>
  <c r="AK521" i="1"/>
  <c r="P522" i="1"/>
  <c r="R522" i="1" s="1"/>
  <c r="S522" i="1"/>
  <c r="T522" i="1"/>
  <c r="AC522" i="1"/>
  <c r="AK522" i="1"/>
  <c r="P523" i="1"/>
  <c r="R523" i="1" s="1"/>
  <c r="S523" i="1"/>
  <c r="T523" i="1"/>
  <c r="AC523" i="1"/>
  <c r="AK523" i="1"/>
  <c r="P524" i="1"/>
  <c r="R524" i="1"/>
  <c r="S524" i="1"/>
  <c r="T524" i="1"/>
  <c r="AC524" i="1"/>
  <c r="AK524" i="1"/>
  <c r="P525" i="1"/>
  <c r="R525" i="1" s="1"/>
  <c r="S525" i="1"/>
  <c r="T525" i="1"/>
  <c r="AC525" i="1"/>
  <c r="AK525" i="1"/>
  <c r="P526" i="1"/>
  <c r="R526" i="1"/>
  <c r="S526" i="1"/>
  <c r="T526" i="1"/>
  <c r="AC526" i="1"/>
  <c r="AK526" i="1"/>
  <c r="P527" i="1"/>
  <c r="R527" i="1"/>
  <c r="AC527" i="1"/>
  <c r="AK527" i="1"/>
  <c r="P529" i="1"/>
  <c r="R529" i="1"/>
  <c r="S529" i="1"/>
  <c r="T529" i="1"/>
  <c r="AC529" i="1"/>
  <c r="AK529" i="1"/>
  <c r="P530" i="1"/>
  <c r="R530" i="1"/>
  <c r="S530" i="1"/>
  <c r="T530" i="1"/>
  <c r="AC530" i="1"/>
  <c r="AK530" i="1"/>
  <c r="P532" i="1"/>
  <c r="R532" i="1"/>
  <c r="S532" i="1"/>
  <c r="T532" i="1"/>
  <c r="AC532" i="1"/>
  <c r="AK532" i="1"/>
  <c r="P533" i="1"/>
  <c r="R533" i="1"/>
  <c r="S533" i="1"/>
  <c r="T533" i="1"/>
  <c r="AC533" i="1"/>
  <c r="AK533" i="1"/>
  <c r="P534" i="1"/>
  <c r="R534" i="1"/>
  <c r="S534" i="1"/>
  <c r="T534" i="1"/>
  <c r="AC534" i="1"/>
  <c r="AK534" i="1"/>
  <c r="P535" i="1"/>
  <c r="R535" i="1"/>
  <c r="S535" i="1"/>
  <c r="T535" i="1"/>
  <c r="AC535" i="1"/>
  <c r="AK535" i="1"/>
  <c r="P536" i="1"/>
  <c r="R536" i="1"/>
  <c r="S536" i="1"/>
  <c r="T536" i="1"/>
  <c r="AC536" i="1"/>
  <c r="AK536" i="1"/>
  <c r="P537" i="1"/>
  <c r="R537" i="1"/>
  <c r="S537" i="1"/>
  <c r="T537" i="1"/>
  <c r="AC537" i="1"/>
  <c r="AK537" i="1"/>
  <c r="P538" i="1"/>
  <c r="R538" i="1"/>
  <c r="S538" i="1"/>
  <c r="T538" i="1"/>
  <c r="AC538" i="1"/>
  <c r="AK538" i="1"/>
  <c r="P539" i="1"/>
  <c r="R539" i="1"/>
  <c r="S539" i="1"/>
  <c r="T539" i="1"/>
  <c r="AC539" i="1"/>
  <c r="AK539" i="1"/>
  <c r="P540" i="1"/>
  <c r="R540" i="1"/>
  <c r="S540" i="1"/>
  <c r="T540" i="1"/>
  <c r="AC540" i="1"/>
  <c r="AK540" i="1"/>
  <c r="P541" i="1"/>
  <c r="R541" i="1"/>
  <c r="S541" i="1"/>
  <c r="T541" i="1"/>
  <c r="AC541" i="1"/>
  <c r="AK541" i="1"/>
  <c r="P542" i="1"/>
  <c r="R542" i="1"/>
  <c r="S542" i="1"/>
  <c r="T542" i="1"/>
  <c r="AC542" i="1"/>
  <c r="AK542" i="1"/>
  <c r="P544" i="1"/>
  <c r="R544" i="1" s="1"/>
  <c r="S544" i="1"/>
  <c r="T544" i="1"/>
  <c r="AC544" i="1"/>
  <c r="AK544" i="1"/>
  <c r="P545" i="1"/>
  <c r="R545" i="1" s="1"/>
  <c r="S545" i="1"/>
  <c r="T545" i="1"/>
  <c r="AC545" i="1"/>
  <c r="AK545" i="1"/>
  <c r="P546" i="1"/>
  <c r="R546" i="1" s="1"/>
  <c r="S546" i="1"/>
  <c r="T546" i="1"/>
  <c r="AC546" i="1"/>
  <c r="AK546" i="1"/>
  <c r="P547" i="1"/>
  <c r="R547" i="1" s="1"/>
  <c r="S547" i="1"/>
  <c r="T547" i="1"/>
  <c r="AC547" i="1"/>
  <c r="AK547" i="1"/>
  <c r="P548" i="1"/>
  <c r="R548" i="1" s="1"/>
  <c r="S548" i="1"/>
  <c r="T548" i="1"/>
  <c r="AC548" i="1"/>
  <c r="AK548" i="1"/>
  <c r="P549" i="1"/>
  <c r="R549" i="1"/>
  <c r="S549" i="1"/>
  <c r="T549" i="1"/>
  <c r="AC549" i="1"/>
  <c r="AK549" i="1"/>
  <c r="P550" i="1"/>
  <c r="R550" i="1" s="1"/>
  <c r="S550" i="1"/>
  <c r="T550" i="1"/>
  <c r="AC550" i="1"/>
  <c r="AK550" i="1"/>
  <c r="P551" i="1"/>
  <c r="R551" i="1" s="1"/>
  <c r="S551" i="1"/>
  <c r="T551" i="1"/>
  <c r="AC551" i="1"/>
  <c r="AK551" i="1"/>
  <c r="P552" i="1"/>
  <c r="R552" i="1" s="1"/>
  <c r="S552" i="1"/>
  <c r="T552" i="1"/>
  <c r="AC552" i="1"/>
  <c r="AK552" i="1"/>
  <c r="P554" i="1"/>
  <c r="R554" i="1" s="1"/>
  <c r="S554" i="1"/>
  <c r="T554" i="1"/>
  <c r="AC554" i="1"/>
  <c r="AK554" i="1"/>
  <c r="P555" i="1"/>
  <c r="R555" i="1"/>
  <c r="S555" i="1"/>
  <c r="T555" i="1"/>
  <c r="AC555" i="1"/>
  <c r="AK555" i="1"/>
  <c r="P556" i="1"/>
  <c r="R556" i="1" s="1"/>
  <c r="S556" i="1"/>
  <c r="T556" i="1"/>
  <c r="AC556" i="1"/>
  <c r="AK556" i="1"/>
  <c r="P557" i="1"/>
  <c r="R557" i="1"/>
  <c r="S557" i="1"/>
  <c r="T557" i="1"/>
  <c r="AC557" i="1"/>
  <c r="AK557" i="1"/>
  <c r="P558" i="1"/>
  <c r="R558" i="1" s="1"/>
  <c r="S558" i="1"/>
  <c r="T558" i="1"/>
  <c r="AC558" i="1"/>
  <c r="AK558" i="1"/>
  <c r="P559" i="1"/>
  <c r="R559" i="1"/>
  <c r="S559" i="1"/>
  <c r="T559" i="1"/>
  <c r="AC559" i="1"/>
  <c r="AK559" i="1"/>
  <c r="P560" i="1"/>
  <c r="R560" i="1" s="1"/>
  <c r="S560" i="1"/>
  <c r="T560" i="1"/>
  <c r="AC560" i="1"/>
  <c r="AK560" i="1"/>
  <c r="P561" i="1"/>
  <c r="R561" i="1"/>
  <c r="S561" i="1"/>
  <c r="T561" i="1"/>
  <c r="AC561" i="1"/>
  <c r="AK561" i="1"/>
  <c r="P562" i="1"/>
  <c r="R562" i="1" s="1"/>
  <c r="S562" i="1"/>
  <c r="T562" i="1"/>
  <c r="AC562" i="1"/>
  <c r="AK562" i="1"/>
  <c r="P563" i="1"/>
  <c r="R563" i="1"/>
  <c r="S563" i="1"/>
  <c r="T563" i="1"/>
  <c r="AC563" i="1"/>
  <c r="AK563" i="1"/>
  <c r="P564" i="1"/>
  <c r="R564" i="1" s="1"/>
  <c r="S564" i="1"/>
  <c r="T564" i="1"/>
  <c r="AC564" i="1"/>
  <c r="AK564" i="1"/>
  <c r="P566" i="1"/>
  <c r="R566" i="1" s="1"/>
  <c r="S566" i="1"/>
  <c r="T566" i="1"/>
  <c r="AC566" i="1"/>
  <c r="AK566" i="1"/>
  <c r="P567" i="1"/>
  <c r="R567" i="1"/>
  <c r="S567" i="1"/>
  <c r="T567" i="1"/>
  <c r="AC567" i="1"/>
  <c r="AK567" i="1"/>
  <c r="P568" i="1"/>
  <c r="R568" i="1"/>
  <c r="S568" i="1"/>
  <c r="T568" i="1"/>
  <c r="AC568" i="1"/>
  <c r="AK568" i="1"/>
  <c r="P569" i="1"/>
  <c r="R569" i="1"/>
  <c r="S569" i="1"/>
  <c r="T569" i="1"/>
  <c r="AC569" i="1"/>
  <c r="AK569" i="1"/>
  <c r="P570" i="1"/>
  <c r="R570" i="1" s="1"/>
  <c r="S570" i="1"/>
  <c r="T570" i="1"/>
  <c r="AC570" i="1"/>
  <c r="AK570" i="1"/>
  <c r="P571" i="1"/>
  <c r="R571" i="1"/>
  <c r="S571" i="1"/>
  <c r="T571" i="1"/>
  <c r="AC571" i="1"/>
  <c r="AK571" i="1"/>
  <c r="P573" i="1"/>
  <c r="R573" i="1" s="1"/>
  <c r="S573" i="1"/>
  <c r="T573" i="1"/>
  <c r="AC573" i="1"/>
  <c r="AK573" i="1"/>
  <c r="P574" i="1"/>
  <c r="R574" i="1" s="1"/>
  <c r="S574" i="1"/>
  <c r="T574" i="1"/>
  <c r="AC574" i="1"/>
  <c r="AK574" i="1"/>
  <c r="P576" i="1"/>
  <c r="R576" i="1"/>
  <c r="S576" i="1"/>
  <c r="T576" i="1"/>
  <c r="AC576" i="1"/>
  <c r="AK576" i="1"/>
  <c r="P577" i="1"/>
  <c r="R577" i="1"/>
  <c r="S577" i="1"/>
  <c r="T577" i="1"/>
  <c r="AC577" i="1"/>
  <c r="AK577" i="1"/>
  <c r="P579" i="1"/>
  <c r="R579" i="1" s="1"/>
  <c r="S579" i="1"/>
  <c r="T579" i="1"/>
  <c r="AC579" i="1"/>
  <c r="AK579" i="1"/>
  <c r="P581" i="1"/>
  <c r="R581" i="1"/>
  <c r="S581" i="1"/>
  <c r="T581" i="1"/>
  <c r="AC581" i="1"/>
  <c r="AK581" i="1"/>
  <c r="P582" i="1"/>
  <c r="R582" i="1" s="1"/>
  <c r="S582" i="1"/>
  <c r="T582" i="1"/>
  <c r="AC582" i="1"/>
  <c r="AK582" i="1"/>
  <c r="P583" i="1"/>
  <c r="R583" i="1" s="1"/>
  <c r="S583" i="1"/>
  <c r="T583" i="1"/>
  <c r="AC583" i="1"/>
  <c r="AK583" i="1"/>
  <c r="P585" i="1"/>
  <c r="R585" i="1" s="1"/>
  <c r="S585" i="1"/>
  <c r="T585" i="1"/>
  <c r="AC585" i="1"/>
  <c r="AK585" i="1"/>
  <c r="P586" i="1"/>
  <c r="R586" i="1"/>
  <c r="S586" i="1"/>
  <c r="T586" i="1"/>
  <c r="AC586" i="1"/>
  <c r="AK586" i="1"/>
  <c r="P587" i="1"/>
  <c r="R587" i="1" s="1"/>
  <c r="S587" i="1"/>
  <c r="T587" i="1"/>
  <c r="AC587" i="1"/>
  <c r="AK587" i="1"/>
  <c r="P589" i="1"/>
  <c r="R589" i="1"/>
  <c r="S589" i="1"/>
  <c r="T589" i="1"/>
  <c r="AC589" i="1"/>
  <c r="AK589" i="1"/>
  <c r="P590" i="1"/>
  <c r="R590" i="1" s="1"/>
  <c r="S590" i="1"/>
  <c r="T590" i="1"/>
  <c r="AC590" i="1"/>
  <c r="AK590" i="1"/>
  <c r="P592" i="1"/>
  <c r="R592" i="1" s="1"/>
  <c r="S592" i="1"/>
  <c r="T592" i="1"/>
  <c r="AC592" i="1"/>
  <c r="AK592" i="1"/>
  <c r="P593" i="1"/>
  <c r="R593" i="1" s="1"/>
  <c r="S593" i="1"/>
  <c r="T593" i="1"/>
  <c r="AC593" i="1"/>
  <c r="AK593" i="1"/>
  <c r="P594" i="1"/>
  <c r="R594" i="1" s="1"/>
  <c r="S594" i="1"/>
  <c r="T594" i="1"/>
  <c r="AC594" i="1"/>
  <c r="AK594" i="1"/>
  <c r="P595" i="1"/>
  <c r="R595" i="1" s="1"/>
  <c r="S595" i="1"/>
  <c r="T595" i="1"/>
  <c r="AC595" i="1"/>
  <c r="AK595" i="1"/>
  <c r="P596" i="1"/>
  <c r="R596" i="1"/>
  <c r="S596" i="1"/>
  <c r="T596" i="1"/>
  <c r="AC596" i="1"/>
  <c r="AK596" i="1"/>
  <c r="P597" i="1"/>
  <c r="R597" i="1" s="1"/>
  <c r="S597" i="1"/>
  <c r="T597" i="1"/>
  <c r="AC597" i="1"/>
  <c r="AK597" i="1"/>
  <c r="P598" i="1"/>
  <c r="R598" i="1"/>
  <c r="AC598" i="1"/>
  <c r="AK598" i="1"/>
  <c r="P599" i="1"/>
  <c r="R599" i="1"/>
  <c r="S599" i="1"/>
  <c r="T599" i="1"/>
  <c r="AC599" i="1"/>
  <c r="AK599" i="1"/>
  <c r="P600" i="1"/>
  <c r="R600" i="1"/>
  <c r="S600" i="1"/>
  <c r="T600" i="1"/>
  <c r="AC600" i="1"/>
  <c r="AK600" i="1"/>
  <c r="P602" i="1"/>
  <c r="R602" i="1"/>
  <c r="S602" i="1"/>
  <c r="T602" i="1"/>
  <c r="AC602" i="1"/>
  <c r="AK602" i="1"/>
  <c r="P603" i="1"/>
  <c r="R603" i="1"/>
  <c r="S603" i="1"/>
  <c r="T603" i="1"/>
  <c r="AC603" i="1"/>
  <c r="AK603" i="1"/>
  <c r="P604" i="1"/>
  <c r="R604" i="1"/>
  <c r="S604" i="1"/>
  <c r="T604" i="1"/>
  <c r="AC604" i="1"/>
  <c r="AK604" i="1"/>
  <c r="P605" i="1"/>
  <c r="R605" i="1"/>
  <c r="S605" i="1"/>
  <c r="T605" i="1"/>
  <c r="AC605" i="1"/>
  <c r="AK605" i="1"/>
  <c r="P606" i="1"/>
  <c r="R606" i="1"/>
  <c r="S606" i="1"/>
  <c r="T606" i="1"/>
  <c r="AC606" i="1"/>
  <c r="AK606" i="1"/>
  <c r="P607" i="1"/>
  <c r="R607" i="1"/>
  <c r="S607" i="1"/>
  <c r="T607" i="1"/>
  <c r="AC607" i="1"/>
  <c r="AK607" i="1"/>
  <c r="P608" i="1"/>
  <c r="R608" i="1"/>
  <c r="S608" i="1"/>
  <c r="T608" i="1"/>
  <c r="AC608" i="1"/>
  <c r="AK608" i="1"/>
  <c r="P609" i="1"/>
  <c r="R609" i="1" s="1"/>
  <c r="S609" i="1"/>
  <c r="T609" i="1"/>
  <c r="AC609" i="1"/>
  <c r="AK609" i="1"/>
  <c r="P611" i="1"/>
  <c r="R611" i="1" s="1"/>
  <c r="S611" i="1"/>
  <c r="T611" i="1"/>
  <c r="AC611" i="1"/>
  <c r="AK611" i="1"/>
  <c r="P614" i="1"/>
  <c r="R614" i="1" s="1"/>
  <c r="S614" i="1"/>
  <c r="T614" i="1"/>
  <c r="AC614" i="1"/>
  <c r="AK614" i="1"/>
  <c r="P615" i="1"/>
  <c r="R615" i="1"/>
  <c r="S615" i="1"/>
  <c r="T615" i="1"/>
  <c r="AC615" i="1"/>
  <c r="AK615" i="1"/>
  <c r="P616" i="1"/>
  <c r="R616" i="1"/>
  <c r="S616" i="1"/>
  <c r="T616" i="1"/>
  <c r="AC616" i="1"/>
  <c r="AK616" i="1"/>
  <c r="P617" i="1"/>
  <c r="R617" i="1"/>
  <c r="S617" i="1"/>
  <c r="T617" i="1"/>
  <c r="AC617" i="1"/>
  <c r="AK617" i="1"/>
  <c r="P618" i="1"/>
  <c r="R618" i="1"/>
  <c r="S618" i="1"/>
  <c r="T618" i="1"/>
  <c r="AC618" i="1"/>
  <c r="AK618" i="1"/>
  <c r="P620" i="1"/>
  <c r="R620" i="1"/>
  <c r="S620" i="1"/>
  <c r="T620" i="1"/>
  <c r="AC620" i="1"/>
  <c r="AK620" i="1"/>
  <c r="P622" i="1"/>
  <c r="R622" i="1"/>
  <c r="S622" i="1"/>
  <c r="T622" i="1"/>
  <c r="AC622" i="1"/>
  <c r="AK622" i="1"/>
  <c r="P623" i="1"/>
  <c r="R623" i="1"/>
  <c r="S623" i="1"/>
  <c r="T623" i="1"/>
  <c r="AC623" i="1"/>
  <c r="AK623" i="1"/>
  <c r="P624" i="1"/>
  <c r="R624" i="1"/>
  <c r="S624" i="1"/>
  <c r="T624" i="1"/>
  <c r="AC624" i="1"/>
  <c r="AK624" i="1"/>
  <c r="P626" i="1"/>
  <c r="R626" i="1"/>
  <c r="S626" i="1"/>
  <c r="T626" i="1"/>
  <c r="AC626" i="1"/>
  <c r="AK626" i="1"/>
  <c r="P627" i="1"/>
  <c r="R627" i="1"/>
  <c r="S627" i="1"/>
  <c r="T627" i="1"/>
  <c r="AC627" i="1"/>
  <c r="AK627" i="1"/>
  <c r="P628" i="1"/>
  <c r="R628" i="1"/>
  <c r="S628" i="1"/>
  <c r="T628" i="1"/>
  <c r="AC628" i="1"/>
  <c r="AK628" i="1"/>
  <c r="P629" i="1"/>
  <c r="R629" i="1"/>
  <c r="S629" i="1"/>
  <c r="T629" i="1"/>
  <c r="AC629" i="1"/>
  <c r="AK629" i="1"/>
  <c r="P630" i="1"/>
  <c r="R630" i="1"/>
  <c r="S630" i="1"/>
  <c r="T630" i="1"/>
  <c r="AC630" i="1"/>
  <c r="AK630" i="1"/>
  <c r="P631" i="1"/>
  <c r="R631" i="1"/>
  <c r="S631" i="1"/>
  <c r="T631" i="1"/>
  <c r="AC631" i="1"/>
  <c r="AK631" i="1"/>
  <c r="P632" i="1"/>
  <c r="R632" i="1"/>
  <c r="S632" i="1"/>
  <c r="T632" i="1"/>
  <c r="AC632" i="1"/>
  <c r="AK632" i="1"/>
  <c r="P633" i="1"/>
  <c r="R633" i="1"/>
  <c r="S633" i="1"/>
  <c r="T633" i="1"/>
  <c r="AC633" i="1"/>
  <c r="AK633" i="1"/>
  <c r="P634" i="1"/>
  <c r="R634" i="1"/>
  <c r="S634" i="1"/>
  <c r="T634" i="1"/>
  <c r="AC634" i="1"/>
  <c r="AK634" i="1"/>
  <c r="P635" i="1"/>
  <c r="R635" i="1"/>
  <c r="S635" i="1"/>
  <c r="T635" i="1"/>
  <c r="AC635" i="1"/>
  <c r="AK635" i="1"/>
  <c r="P636" i="1"/>
  <c r="R636" i="1"/>
  <c r="S636" i="1"/>
  <c r="T636" i="1"/>
  <c r="AC636" i="1"/>
  <c r="AK636" i="1"/>
  <c r="P637" i="1"/>
  <c r="R637" i="1" s="1"/>
  <c r="S637" i="1"/>
  <c r="T637" i="1"/>
  <c r="AC637" i="1"/>
  <c r="AK637" i="1"/>
  <c r="P638" i="1"/>
  <c r="R638" i="1"/>
  <c r="S638" i="1"/>
  <c r="T638" i="1"/>
  <c r="AC638" i="1"/>
  <c r="AK638" i="1"/>
  <c r="P639" i="1"/>
  <c r="R639" i="1" s="1"/>
  <c r="S639" i="1"/>
  <c r="T639" i="1"/>
  <c r="AC639" i="1"/>
  <c r="AK639" i="1"/>
  <c r="P641" i="1"/>
  <c r="R641" i="1"/>
  <c r="S641" i="1"/>
  <c r="T641" i="1"/>
  <c r="AC641" i="1"/>
  <c r="AK641" i="1"/>
  <c r="P642" i="1"/>
  <c r="R642" i="1" s="1"/>
  <c r="S642" i="1"/>
  <c r="T642" i="1"/>
  <c r="AC642" i="1"/>
  <c r="AK642" i="1"/>
  <c r="P643" i="1"/>
  <c r="R643" i="1"/>
  <c r="S643" i="1"/>
  <c r="T643" i="1"/>
  <c r="AC643" i="1"/>
  <c r="AK643" i="1"/>
  <c r="P645" i="1"/>
  <c r="R645" i="1"/>
  <c r="S645" i="1"/>
  <c r="T645" i="1"/>
  <c r="AC645" i="1"/>
  <c r="AK645" i="1"/>
  <c r="P646" i="1"/>
  <c r="R646" i="1" s="1"/>
  <c r="S646" i="1"/>
  <c r="T646" i="1"/>
  <c r="AC646" i="1"/>
  <c r="AK646" i="1"/>
  <c r="P648" i="1"/>
  <c r="R648" i="1"/>
  <c r="S648" i="1"/>
  <c r="T648" i="1"/>
  <c r="AC648" i="1"/>
  <c r="AK648" i="1"/>
  <c r="P649" i="1"/>
  <c r="R649" i="1"/>
  <c r="S649" i="1"/>
  <c r="T649" i="1"/>
  <c r="AC649" i="1"/>
  <c r="AK649" i="1"/>
  <c r="P650" i="1"/>
  <c r="R650" i="1"/>
  <c r="S650" i="1"/>
  <c r="T650" i="1"/>
  <c r="AC650" i="1"/>
  <c r="AK650" i="1"/>
  <c r="P652" i="1"/>
  <c r="R652" i="1"/>
  <c r="S652" i="1"/>
  <c r="T652" i="1"/>
  <c r="AC652" i="1"/>
  <c r="AK652" i="1"/>
  <c r="P653" i="1"/>
  <c r="R653" i="1"/>
  <c r="S653" i="1"/>
  <c r="T653" i="1"/>
  <c r="AC653" i="1"/>
  <c r="AK653" i="1"/>
  <c r="P654" i="1"/>
  <c r="R654" i="1" s="1"/>
  <c r="S654" i="1"/>
  <c r="T654" i="1"/>
  <c r="AC654" i="1"/>
  <c r="AK654" i="1"/>
  <c r="P656" i="1"/>
  <c r="R656" i="1" s="1"/>
  <c r="S656" i="1"/>
  <c r="T656" i="1"/>
  <c r="AC656" i="1"/>
  <c r="AK656" i="1"/>
  <c r="P658" i="1"/>
  <c r="R658" i="1" s="1"/>
  <c r="AC658" i="1"/>
  <c r="AK658" i="1"/>
  <c r="P659" i="1"/>
  <c r="R659" i="1" s="1"/>
  <c r="AC659" i="1"/>
  <c r="AK659" i="1"/>
  <c r="P660" i="1"/>
  <c r="R660" i="1" s="1"/>
  <c r="AC660" i="1"/>
  <c r="AK660" i="1"/>
  <c r="P661" i="1"/>
  <c r="R661" i="1"/>
  <c r="AC661" i="1"/>
  <c r="AK661" i="1"/>
  <c r="P663" i="1"/>
  <c r="R663" i="1"/>
  <c r="S663" i="1"/>
  <c r="T663" i="1"/>
  <c r="AC663" i="1"/>
  <c r="AK663" i="1"/>
  <c r="P664" i="1"/>
  <c r="R664" i="1"/>
  <c r="S664" i="1"/>
  <c r="T664" i="1"/>
  <c r="AC664" i="1"/>
  <c r="AK664" i="1"/>
  <c r="P665" i="1"/>
  <c r="R665" i="1" s="1"/>
  <c r="S665" i="1"/>
  <c r="T665" i="1"/>
  <c r="AC665" i="1"/>
  <c r="AK665" i="1"/>
  <c r="P666" i="1"/>
  <c r="R666" i="1" s="1"/>
  <c r="S666" i="1"/>
  <c r="T666" i="1"/>
  <c r="AC666" i="1"/>
  <c r="AK666" i="1"/>
  <c r="P668" i="1"/>
  <c r="R668" i="1" s="1"/>
  <c r="S668" i="1"/>
  <c r="T668" i="1"/>
  <c r="AC668" i="1"/>
  <c r="AK668" i="1"/>
  <c r="P669" i="1"/>
  <c r="R669" i="1"/>
  <c r="S669" i="1"/>
  <c r="T669" i="1"/>
  <c r="AC669" i="1"/>
  <c r="AK669" i="1"/>
  <c r="P670" i="1"/>
  <c r="R670" i="1"/>
  <c r="S670" i="1"/>
  <c r="T670" i="1"/>
  <c r="AC670" i="1"/>
  <c r="AK670" i="1"/>
  <c r="P671" i="1"/>
  <c r="R671" i="1"/>
  <c r="S671" i="1"/>
  <c r="T671" i="1"/>
  <c r="AC671" i="1"/>
  <c r="AK671" i="1"/>
  <c r="P673" i="1"/>
  <c r="R673" i="1"/>
  <c r="S673" i="1"/>
  <c r="T673" i="1"/>
  <c r="AC673" i="1"/>
  <c r="AK673" i="1"/>
  <c r="P674" i="1"/>
  <c r="R674" i="1" s="1"/>
  <c r="S674" i="1"/>
  <c r="T674" i="1"/>
  <c r="AC674" i="1"/>
  <c r="AK674" i="1"/>
  <c r="P675" i="1"/>
  <c r="R675" i="1"/>
  <c r="S675" i="1"/>
  <c r="T675" i="1"/>
  <c r="AC675" i="1"/>
  <c r="AK675" i="1"/>
  <c r="P677" i="1"/>
  <c r="R677" i="1"/>
  <c r="S677" i="1"/>
  <c r="T677" i="1"/>
  <c r="AC677" i="1"/>
  <c r="AK677" i="1"/>
  <c r="P678" i="1"/>
  <c r="R678" i="1"/>
  <c r="S678" i="1"/>
  <c r="T678" i="1"/>
  <c r="AC678" i="1"/>
  <c r="AK678" i="1"/>
  <c r="P679" i="1"/>
  <c r="R679" i="1"/>
  <c r="S679" i="1"/>
  <c r="T679" i="1"/>
  <c r="AC679" i="1"/>
  <c r="AK679" i="1"/>
  <c r="P680" i="1"/>
  <c r="R680" i="1"/>
  <c r="S680" i="1"/>
  <c r="T680" i="1"/>
  <c r="AC680" i="1"/>
  <c r="AK680" i="1"/>
  <c r="P682" i="1"/>
  <c r="R682" i="1"/>
  <c r="S682" i="1"/>
  <c r="T682" i="1"/>
  <c r="AC682" i="1"/>
  <c r="AK682" i="1"/>
  <c r="P683" i="1"/>
  <c r="R683" i="1"/>
  <c r="S683" i="1"/>
  <c r="T683" i="1"/>
  <c r="AC683" i="1"/>
  <c r="AK683" i="1"/>
  <c r="P684" i="1"/>
  <c r="R684" i="1"/>
  <c r="S684" i="1"/>
  <c r="T684" i="1"/>
  <c r="AC684" i="1"/>
  <c r="AK684" i="1"/>
  <c r="P685" i="1"/>
  <c r="R685" i="1"/>
  <c r="S685" i="1"/>
  <c r="T685" i="1"/>
  <c r="AC685" i="1"/>
  <c r="AK685" i="1"/>
  <c r="P686" i="1"/>
  <c r="R686" i="1"/>
  <c r="S686" i="1"/>
  <c r="T686" i="1"/>
  <c r="AC686" i="1"/>
  <c r="AK686" i="1"/>
  <c r="P687" i="1"/>
  <c r="R687" i="1" s="1"/>
  <c r="S687" i="1"/>
  <c r="T687" i="1"/>
  <c r="AC687" i="1"/>
  <c r="AK687" i="1"/>
  <c r="P689" i="1"/>
  <c r="R689" i="1"/>
  <c r="S689" i="1"/>
  <c r="T689" i="1"/>
  <c r="AC689" i="1"/>
  <c r="AK689" i="1"/>
  <c r="P690" i="1"/>
  <c r="R690" i="1" s="1"/>
  <c r="S690" i="1"/>
  <c r="T690" i="1"/>
  <c r="AC690" i="1"/>
  <c r="AK690" i="1"/>
  <c r="P691" i="1"/>
  <c r="R691" i="1"/>
  <c r="S691" i="1"/>
  <c r="T691" i="1"/>
  <c r="AC691" i="1"/>
  <c r="AK691" i="1"/>
  <c r="P692" i="1"/>
  <c r="R692" i="1" s="1"/>
  <c r="S692" i="1"/>
  <c r="T692" i="1"/>
  <c r="AC692" i="1"/>
  <c r="AK692" i="1"/>
  <c r="P693" i="1"/>
  <c r="R693" i="1"/>
  <c r="S693" i="1"/>
  <c r="T693" i="1"/>
  <c r="AC693" i="1"/>
  <c r="AK693" i="1"/>
  <c r="P694" i="1"/>
  <c r="R694" i="1" s="1"/>
  <c r="S694" i="1"/>
  <c r="T694" i="1"/>
  <c r="AC694" i="1"/>
  <c r="AK694" i="1"/>
  <c r="P695" i="1"/>
  <c r="R695" i="1"/>
  <c r="S695" i="1"/>
  <c r="T695" i="1"/>
  <c r="AC695" i="1"/>
  <c r="AK695" i="1"/>
  <c r="P696" i="1"/>
  <c r="R696" i="1" s="1"/>
  <c r="S696" i="1"/>
  <c r="T696" i="1"/>
  <c r="AC696" i="1"/>
  <c r="AK696" i="1"/>
  <c r="P697" i="1"/>
  <c r="R697" i="1"/>
  <c r="S697" i="1"/>
  <c r="T697" i="1"/>
  <c r="AC697" i="1"/>
  <c r="AK697" i="1"/>
  <c r="P698" i="1"/>
  <c r="R698" i="1"/>
  <c r="S698" i="1"/>
  <c r="T698" i="1"/>
  <c r="AC698" i="1"/>
  <c r="AK698" i="1"/>
  <c r="P699" i="1"/>
  <c r="R699" i="1" s="1"/>
  <c r="S699" i="1"/>
  <c r="T699" i="1"/>
  <c r="AC699" i="1"/>
  <c r="AK699" i="1"/>
  <c r="P700" i="1"/>
  <c r="R700" i="1"/>
  <c r="S700" i="1"/>
  <c r="T700" i="1"/>
  <c r="AC700" i="1"/>
  <c r="AK700" i="1"/>
  <c r="P701" i="1"/>
  <c r="R701" i="1"/>
  <c r="S701" i="1"/>
  <c r="T701" i="1"/>
  <c r="AC701" i="1"/>
  <c r="AK701" i="1"/>
  <c r="P702" i="1"/>
  <c r="R702" i="1"/>
  <c r="S702" i="1"/>
  <c r="T702" i="1"/>
  <c r="AC702" i="1"/>
  <c r="AK702" i="1"/>
  <c r="P703" i="1"/>
  <c r="R703" i="1"/>
  <c r="S703" i="1"/>
  <c r="T703" i="1"/>
  <c r="AC703" i="1"/>
  <c r="AK703" i="1"/>
  <c r="P704" i="1"/>
  <c r="R704" i="1"/>
  <c r="S704" i="1"/>
  <c r="T704" i="1"/>
  <c r="AC704" i="1"/>
  <c r="AK704" i="1"/>
  <c r="P706" i="1"/>
  <c r="R706" i="1" s="1"/>
  <c r="S706" i="1"/>
  <c r="T706" i="1"/>
  <c r="AC706" i="1"/>
  <c r="AK706" i="1"/>
  <c r="P707" i="1"/>
  <c r="R707" i="1" s="1"/>
  <c r="AC707" i="1"/>
  <c r="AK707" i="1"/>
  <c r="P708" i="1"/>
  <c r="R708" i="1" s="1"/>
  <c r="S708" i="1"/>
  <c r="T708" i="1"/>
  <c r="AC708" i="1"/>
  <c r="AK708" i="1"/>
  <c r="P709" i="1"/>
  <c r="R709" i="1" s="1"/>
  <c r="S709" i="1"/>
  <c r="T709" i="1"/>
  <c r="AC709" i="1"/>
  <c r="AK709" i="1"/>
  <c r="P710" i="1"/>
  <c r="R710" i="1"/>
  <c r="AC710" i="1"/>
  <c r="AK710" i="1"/>
  <c r="P712" i="1"/>
  <c r="R712" i="1"/>
  <c r="S712" i="1"/>
  <c r="T712" i="1"/>
  <c r="AC712" i="1"/>
  <c r="AK712" i="1"/>
  <c r="P713" i="1"/>
  <c r="R713" i="1" s="1"/>
  <c r="S713" i="1"/>
  <c r="T713" i="1"/>
  <c r="AC713" i="1"/>
  <c r="AK713" i="1"/>
  <c r="P714" i="1"/>
  <c r="R714" i="1" s="1"/>
  <c r="S714" i="1"/>
  <c r="T714" i="1"/>
  <c r="AC714" i="1"/>
  <c r="AK714" i="1"/>
  <c r="P715" i="1"/>
  <c r="R715" i="1" s="1"/>
  <c r="S715" i="1"/>
  <c r="T715" i="1"/>
  <c r="AC715" i="1"/>
  <c r="AK715" i="1"/>
  <c r="P717" i="1"/>
  <c r="R717" i="1"/>
  <c r="S717" i="1"/>
  <c r="T717" i="1"/>
  <c r="AC717" i="1"/>
  <c r="AK717" i="1"/>
  <c r="P718" i="1"/>
  <c r="R718" i="1" s="1"/>
  <c r="S718" i="1"/>
  <c r="T718" i="1"/>
  <c r="AC718" i="1"/>
  <c r="AK718" i="1"/>
  <c r="P719" i="1"/>
  <c r="R719" i="1" s="1"/>
  <c r="S719" i="1"/>
  <c r="T719" i="1"/>
  <c r="AC719" i="1"/>
  <c r="AK719" i="1"/>
  <c r="P720" i="1"/>
  <c r="R720" i="1" s="1"/>
  <c r="S720" i="1"/>
  <c r="T720" i="1"/>
  <c r="AC720" i="1"/>
  <c r="AK720" i="1"/>
  <c r="P721" i="1"/>
  <c r="R721" i="1" s="1"/>
  <c r="S721" i="1"/>
  <c r="T721" i="1"/>
  <c r="AC721" i="1"/>
  <c r="AK721" i="1"/>
  <c r="P722" i="1"/>
  <c r="R722" i="1" s="1"/>
  <c r="S722" i="1"/>
  <c r="T722" i="1"/>
  <c r="AC722" i="1"/>
  <c r="AK722" i="1"/>
  <c r="P724" i="1"/>
  <c r="R724" i="1" s="1"/>
  <c r="S724" i="1"/>
  <c r="T724" i="1"/>
  <c r="AC724" i="1"/>
  <c r="AK724" i="1"/>
  <c r="P726" i="1"/>
  <c r="R726" i="1" s="1"/>
  <c r="S726" i="1"/>
  <c r="T726" i="1"/>
  <c r="AC726" i="1"/>
  <c r="AK726" i="1"/>
  <c r="P727" i="1"/>
  <c r="R727" i="1"/>
  <c r="S727" i="1"/>
  <c r="T727" i="1"/>
  <c r="AC727" i="1"/>
  <c r="AK727" i="1"/>
  <c r="P729" i="1"/>
  <c r="R729" i="1" s="1"/>
  <c r="S729" i="1"/>
  <c r="T729" i="1"/>
  <c r="AC729" i="1"/>
  <c r="AK729" i="1"/>
  <c r="P731" i="1"/>
  <c r="R731" i="1" s="1"/>
  <c r="S731" i="1"/>
  <c r="T731" i="1"/>
  <c r="AC731" i="1"/>
  <c r="AK731" i="1"/>
  <c r="P732" i="1"/>
  <c r="R732" i="1" s="1"/>
  <c r="S732" i="1"/>
  <c r="T732" i="1"/>
  <c r="AC732" i="1"/>
  <c r="AK732" i="1"/>
  <c r="P734" i="1"/>
  <c r="R734" i="1" s="1"/>
  <c r="S734" i="1"/>
  <c r="T734" i="1"/>
  <c r="AC734" i="1"/>
  <c r="AK734" i="1"/>
  <c r="P736" i="1"/>
  <c r="R736" i="1" s="1"/>
  <c r="S736" i="1"/>
  <c r="T736" i="1"/>
  <c r="AC736" i="1"/>
  <c r="AK736" i="1"/>
  <c r="P738" i="1"/>
  <c r="R738" i="1"/>
  <c r="S738" i="1"/>
  <c r="T738" i="1"/>
  <c r="AC738" i="1"/>
  <c r="AK738" i="1"/>
  <c r="P739" i="1"/>
  <c r="R739" i="1" s="1"/>
  <c r="AC739" i="1"/>
  <c r="AK739" i="1"/>
  <c r="P742" i="1"/>
  <c r="R742" i="1" s="1"/>
  <c r="S742" i="1"/>
  <c r="T742" i="1"/>
  <c r="AC742" i="1"/>
  <c r="AK742" i="1"/>
  <c r="P743" i="1"/>
  <c r="R743" i="1"/>
  <c r="S743" i="1"/>
  <c r="T743" i="1"/>
  <c r="AC743" i="1"/>
  <c r="AK743" i="1"/>
  <c r="P744" i="1"/>
  <c r="R744" i="1"/>
  <c r="S744" i="1"/>
  <c r="T744" i="1"/>
  <c r="AC744" i="1"/>
  <c r="AK744" i="1"/>
  <c r="P746" i="1"/>
  <c r="R746" i="1"/>
  <c r="S746" i="1"/>
  <c r="T746" i="1"/>
  <c r="AC746" i="1"/>
  <c r="AK746" i="1"/>
  <c r="P747" i="1"/>
  <c r="R747" i="1"/>
  <c r="S747" i="1"/>
  <c r="T747" i="1"/>
  <c r="AC747" i="1"/>
  <c r="AK747" i="1"/>
  <c r="P749" i="1"/>
  <c r="R749" i="1"/>
  <c r="S749" i="1"/>
  <c r="T749" i="1"/>
  <c r="AC749" i="1"/>
  <c r="AK749" i="1"/>
  <c r="P750" i="1"/>
  <c r="R750" i="1" s="1"/>
  <c r="S750" i="1"/>
  <c r="T750" i="1"/>
  <c r="AC750" i="1"/>
  <c r="AK750" i="1"/>
  <c r="P752" i="1"/>
  <c r="R752" i="1" s="1"/>
  <c r="S752" i="1"/>
  <c r="T752" i="1"/>
  <c r="AC752" i="1"/>
  <c r="AK752" i="1"/>
  <c r="P754" i="1"/>
  <c r="R754" i="1"/>
  <c r="S754" i="1"/>
  <c r="T754" i="1"/>
  <c r="AC754" i="1"/>
  <c r="AK754" i="1"/>
  <c r="P755" i="1"/>
  <c r="R755" i="1" s="1"/>
  <c r="S755" i="1"/>
  <c r="T755" i="1"/>
  <c r="AC755" i="1"/>
  <c r="AK755" i="1"/>
  <c r="P757" i="1"/>
  <c r="R757" i="1"/>
  <c r="S757" i="1"/>
  <c r="T757" i="1"/>
  <c r="AC757" i="1"/>
  <c r="AK757" i="1"/>
  <c r="P758" i="1"/>
  <c r="R758" i="1" s="1"/>
  <c r="S758" i="1"/>
  <c r="T758" i="1"/>
  <c r="AC758" i="1"/>
  <c r="AK758" i="1"/>
  <c r="P761" i="1"/>
  <c r="R761" i="1" s="1"/>
  <c r="S761" i="1"/>
  <c r="T761" i="1"/>
  <c r="AC761" i="1"/>
  <c r="AK761" i="1"/>
  <c r="P762" i="1"/>
  <c r="R762" i="1" s="1"/>
  <c r="S762" i="1"/>
  <c r="T762" i="1"/>
  <c r="AC762" i="1"/>
  <c r="AK762" i="1"/>
  <c r="P763" i="1"/>
  <c r="R763" i="1"/>
  <c r="S763" i="1"/>
  <c r="T763" i="1"/>
  <c r="AC763" i="1"/>
  <c r="AK763" i="1"/>
  <c r="P765" i="1"/>
  <c r="R765" i="1" s="1"/>
  <c r="S765" i="1"/>
  <c r="T765" i="1"/>
  <c r="AC765" i="1"/>
  <c r="AK765" i="1"/>
  <c r="P766" i="1"/>
  <c r="R766" i="1"/>
  <c r="S766" i="1"/>
  <c r="T766" i="1"/>
  <c r="AC766" i="1"/>
  <c r="AK766" i="1"/>
  <c r="P767" i="1"/>
  <c r="R767" i="1"/>
  <c r="S767" i="1"/>
  <c r="T767" i="1"/>
  <c r="AC767" i="1"/>
  <c r="AK767" i="1"/>
  <c r="P769" i="1"/>
  <c r="R769" i="1"/>
  <c r="S769" i="1"/>
  <c r="T769" i="1"/>
  <c r="AC769" i="1"/>
  <c r="AK769" i="1"/>
  <c r="P770" i="1"/>
  <c r="R770" i="1"/>
  <c r="S770" i="1"/>
  <c r="T770" i="1"/>
  <c r="AC770" i="1"/>
  <c r="AK770" i="1"/>
  <c r="P771" i="1"/>
  <c r="R771" i="1" s="1"/>
  <c r="S771" i="1"/>
  <c r="T771" i="1"/>
  <c r="AC771" i="1"/>
  <c r="AK771" i="1"/>
  <c r="P773" i="1"/>
  <c r="R773" i="1"/>
  <c r="S773" i="1"/>
  <c r="T773" i="1"/>
  <c r="AC773" i="1"/>
  <c r="AK773" i="1"/>
  <c r="P774" i="1"/>
  <c r="R774" i="1" s="1"/>
  <c r="S774" i="1"/>
  <c r="T774" i="1"/>
  <c r="AC774" i="1"/>
  <c r="AK774" i="1"/>
  <c r="P775" i="1"/>
  <c r="R775" i="1" s="1"/>
  <c r="S775" i="1"/>
  <c r="T775" i="1"/>
  <c r="AC775" i="1"/>
  <c r="AK775" i="1"/>
  <c r="P776" i="1"/>
  <c r="R776" i="1"/>
  <c r="S776" i="1"/>
  <c r="T776" i="1"/>
  <c r="AC776" i="1"/>
  <c r="AK776" i="1"/>
  <c r="P778" i="1"/>
  <c r="R778" i="1" s="1"/>
  <c r="S778" i="1"/>
  <c r="T778" i="1"/>
  <c r="AC778" i="1"/>
  <c r="AK778" i="1"/>
  <c r="P780" i="1"/>
  <c r="R780" i="1"/>
  <c r="S780" i="1"/>
  <c r="T780" i="1"/>
  <c r="AC780" i="1"/>
  <c r="AK780" i="1"/>
  <c r="P781" i="1"/>
  <c r="R781" i="1"/>
  <c r="S781" i="1"/>
  <c r="T781" i="1"/>
  <c r="AC781" i="1"/>
  <c r="AK781" i="1"/>
  <c r="P782" i="1"/>
  <c r="R782" i="1"/>
  <c r="S782" i="1"/>
  <c r="T782" i="1"/>
  <c r="AC782" i="1"/>
  <c r="AK782" i="1"/>
  <c r="P783" i="1"/>
  <c r="R783" i="1"/>
  <c r="S783" i="1"/>
  <c r="T783" i="1"/>
  <c r="AC783" i="1"/>
  <c r="AK783" i="1"/>
  <c r="P786" i="1"/>
  <c r="R786" i="1"/>
  <c r="S786" i="1"/>
  <c r="T786" i="1"/>
  <c r="AC786" i="1"/>
  <c r="AK786" i="1"/>
  <c r="P787" i="1"/>
  <c r="R787" i="1" s="1"/>
  <c r="S787" i="1"/>
  <c r="T787" i="1"/>
  <c r="AC787" i="1"/>
  <c r="AK787" i="1"/>
  <c r="P789" i="1"/>
  <c r="R789" i="1" s="1"/>
  <c r="S789" i="1"/>
  <c r="T789" i="1"/>
  <c r="AC789" i="1"/>
  <c r="AK789" i="1"/>
  <c r="P791" i="1"/>
  <c r="R791" i="1" s="1"/>
  <c r="S791" i="1"/>
  <c r="T791" i="1"/>
  <c r="AC791" i="1"/>
  <c r="AK791" i="1"/>
  <c r="P792" i="1"/>
  <c r="R792" i="1"/>
  <c r="S792" i="1"/>
  <c r="T792" i="1"/>
  <c r="AC792" i="1"/>
  <c r="AK792" i="1"/>
  <c r="P793" i="1"/>
  <c r="R793" i="1" s="1"/>
  <c r="S793" i="1"/>
  <c r="T793" i="1"/>
  <c r="AC793" i="1"/>
  <c r="AK793" i="1"/>
  <c r="P795" i="1"/>
  <c r="R795" i="1"/>
  <c r="S795" i="1"/>
  <c r="T795" i="1"/>
  <c r="AC795" i="1"/>
  <c r="AK795" i="1"/>
  <c r="P797" i="1"/>
  <c r="R797" i="1" s="1"/>
  <c r="S797" i="1"/>
  <c r="T797" i="1"/>
  <c r="AC797" i="1"/>
  <c r="AK797" i="1"/>
  <c r="P800" i="1"/>
  <c r="R800" i="1"/>
  <c r="S800" i="1"/>
  <c r="T800" i="1"/>
  <c r="AC800" i="1"/>
  <c r="AK800" i="1"/>
  <c r="P801" i="1"/>
  <c r="R801" i="1" s="1"/>
  <c r="S801" i="1"/>
  <c r="T801" i="1"/>
  <c r="AC801" i="1"/>
  <c r="AK801" i="1"/>
  <c r="P802" i="1"/>
  <c r="R802" i="1"/>
  <c r="S802" i="1"/>
  <c r="T802" i="1"/>
  <c r="AC802" i="1"/>
  <c r="AK802" i="1"/>
  <c r="P804" i="1"/>
  <c r="R804" i="1" s="1"/>
  <c r="S804" i="1"/>
  <c r="T804" i="1"/>
  <c r="AC804" i="1"/>
  <c r="AK804" i="1"/>
  <c r="P805" i="1"/>
  <c r="R805" i="1" s="1"/>
  <c r="S805" i="1"/>
  <c r="T805" i="1"/>
  <c r="AC805" i="1"/>
  <c r="AK805" i="1"/>
  <c r="P806" i="1"/>
  <c r="R806" i="1" s="1"/>
  <c r="S806" i="1"/>
  <c r="T806" i="1"/>
  <c r="AC806" i="1"/>
  <c r="AK806" i="1"/>
  <c r="P807" i="1"/>
  <c r="R807" i="1"/>
  <c r="S807" i="1"/>
  <c r="T807" i="1"/>
  <c r="AC807" i="1"/>
  <c r="AK807" i="1"/>
  <c r="P809" i="1"/>
  <c r="R809" i="1" s="1"/>
  <c r="S809" i="1"/>
  <c r="T809" i="1"/>
  <c r="AC809" i="1"/>
  <c r="AK809" i="1"/>
  <c r="P810" i="1"/>
  <c r="R810" i="1"/>
  <c r="S810" i="1"/>
  <c r="T810" i="1"/>
  <c r="AC810" i="1"/>
  <c r="AK810" i="1"/>
  <c r="P811" i="1"/>
  <c r="R811" i="1" s="1"/>
  <c r="S811" i="1"/>
  <c r="T811" i="1"/>
  <c r="AC811" i="1"/>
  <c r="AK811" i="1"/>
  <c r="P812" i="1"/>
  <c r="R812" i="1"/>
  <c r="S812" i="1"/>
  <c r="T812" i="1"/>
  <c r="AC812" i="1"/>
  <c r="AK812" i="1"/>
  <c r="P813" i="1"/>
  <c r="R813" i="1" s="1"/>
  <c r="S813" i="1"/>
  <c r="T813" i="1"/>
  <c r="AC813" i="1"/>
  <c r="AK813" i="1"/>
  <c r="P815" i="1"/>
  <c r="R815" i="1" s="1"/>
  <c r="S815" i="1"/>
  <c r="T815" i="1"/>
  <c r="AC815" i="1"/>
  <c r="AK815" i="1"/>
  <c r="P816" i="1"/>
  <c r="R816" i="1" s="1"/>
  <c r="S816" i="1"/>
  <c r="T816" i="1"/>
  <c r="AC816" i="1"/>
  <c r="AK816" i="1"/>
  <c r="P818" i="1"/>
  <c r="R818" i="1"/>
  <c r="S818" i="1"/>
  <c r="T818" i="1"/>
  <c r="AC818" i="1"/>
  <c r="AK818" i="1"/>
  <c r="P819" i="1"/>
  <c r="R819" i="1"/>
  <c r="S819" i="1"/>
  <c r="T819" i="1"/>
  <c r="AC819" i="1"/>
  <c r="AK819" i="1"/>
  <c r="P820" i="1"/>
  <c r="R820" i="1"/>
  <c r="S820" i="1"/>
  <c r="T820" i="1"/>
  <c r="AC820" i="1"/>
  <c r="AK820" i="1"/>
  <c r="P823" i="1"/>
  <c r="R823" i="1"/>
  <c r="S823" i="1"/>
  <c r="T823" i="1"/>
  <c r="AC823" i="1"/>
  <c r="AK823" i="1"/>
  <c r="P824" i="1"/>
  <c r="R824" i="1"/>
  <c r="S824" i="1"/>
  <c r="T824" i="1"/>
  <c r="AC824" i="1"/>
  <c r="AK824" i="1"/>
  <c r="P825" i="1"/>
  <c r="R825" i="1" s="1"/>
  <c r="S825" i="1"/>
  <c r="T825" i="1"/>
  <c r="AC825" i="1"/>
  <c r="AK825" i="1"/>
  <c r="P826" i="1"/>
  <c r="R826" i="1"/>
  <c r="S826" i="1"/>
  <c r="T826" i="1"/>
  <c r="AC826" i="1"/>
  <c r="AK826" i="1"/>
  <c r="P828" i="1"/>
  <c r="R828" i="1"/>
  <c r="S828" i="1"/>
  <c r="T828" i="1"/>
  <c r="AC828" i="1"/>
  <c r="AK828" i="1"/>
  <c r="P829" i="1"/>
  <c r="R829" i="1"/>
  <c r="S829" i="1"/>
  <c r="T829" i="1"/>
  <c r="AC829" i="1"/>
  <c r="AK829" i="1"/>
  <c r="P830" i="1"/>
  <c r="R830" i="1"/>
  <c r="S830" i="1"/>
  <c r="T830" i="1"/>
  <c r="AC830" i="1"/>
  <c r="AK830" i="1"/>
  <c r="P832" i="1"/>
  <c r="R832" i="1"/>
  <c r="S832" i="1"/>
  <c r="T832" i="1"/>
  <c r="AC832" i="1"/>
  <c r="AK832" i="1"/>
  <c r="P833" i="1"/>
  <c r="R833" i="1" s="1"/>
  <c r="S833" i="1"/>
  <c r="T833" i="1"/>
  <c r="AC833" i="1"/>
  <c r="AK833" i="1"/>
  <c r="P834" i="1"/>
  <c r="R834" i="1"/>
  <c r="S834" i="1"/>
  <c r="T834" i="1"/>
  <c r="AC834" i="1"/>
  <c r="AK834" i="1"/>
  <c r="P835" i="1"/>
  <c r="R835" i="1"/>
  <c r="S835" i="1"/>
  <c r="T835" i="1"/>
  <c r="AC835" i="1"/>
  <c r="AK835" i="1"/>
  <c r="P837" i="1"/>
  <c r="R837" i="1"/>
  <c r="AC837" i="1"/>
  <c r="AK837" i="1"/>
  <c r="P838" i="1"/>
  <c r="R838" i="1"/>
  <c r="S838" i="1"/>
  <c r="T838" i="1"/>
  <c r="AC838" i="1"/>
  <c r="AK838" i="1"/>
  <c r="P840" i="1"/>
  <c r="R840" i="1"/>
  <c r="S840" i="1"/>
  <c r="T840" i="1"/>
  <c r="AC840" i="1"/>
  <c r="AK840" i="1"/>
  <c r="P841" i="1"/>
  <c r="R841" i="1"/>
  <c r="S841" i="1"/>
  <c r="T841" i="1"/>
  <c r="AC841" i="1"/>
  <c r="AK841" i="1"/>
  <c r="P843" i="1"/>
  <c r="R843" i="1"/>
  <c r="AC843" i="1"/>
  <c r="AK843" i="1"/>
  <c r="P844" i="1"/>
  <c r="R844" i="1"/>
  <c r="AC844" i="1"/>
  <c r="AK844" i="1"/>
  <c r="P845" i="1"/>
  <c r="R845" i="1"/>
  <c r="AC845" i="1"/>
  <c r="AK845" i="1"/>
  <c r="P846" i="1"/>
  <c r="R846" i="1"/>
  <c r="AC846" i="1"/>
  <c r="AK846" i="1"/>
  <c r="P848" i="1"/>
  <c r="R848" i="1"/>
  <c r="S848" i="1"/>
  <c r="T848" i="1"/>
  <c r="AC848" i="1"/>
  <c r="AK848" i="1"/>
  <c r="P849" i="1"/>
  <c r="R849" i="1"/>
  <c r="S849" i="1"/>
  <c r="T849" i="1"/>
  <c r="AC849" i="1"/>
  <c r="AK849" i="1"/>
  <c r="P850" i="1"/>
  <c r="R850" i="1"/>
  <c r="S850" i="1"/>
  <c r="T850" i="1"/>
  <c r="AC850" i="1"/>
  <c r="AK850" i="1"/>
  <c r="P851" i="1"/>
  <c r="R851" i="1"/>
  <c r="S851" i="1"/>
  <c r="T851" i="1"/>
  <c r="AC851" i="1"/>
  <c r="AK851" i="1"/>
  <c r="P853" i="1"/>
  <c r="R853" i="1" s="1"/>
  <c r="S853" i="1"/>
  <c r="T853" i="1"/>
  <c r="AC853" i="1"/>
  <c r="AK853" i="1"/>
  <c r="P854" i="1"/>
  <c r="R854" i="1"/>
  <c r="S854" i="1"/>
  <c r="T854" i="1"/>
  <c r="AC854" i="1"/>
  <c r="AK854" i="1"/>
  <c r="P855" i="1"/>
  <c r="R855" i="1" s="1"/>
  <c r="S855" i="1"/>
  <c r="T855" i="1"/>
  <c r="AC855" i="1"/>
  <c r="AK855" i="1"/>
  <c r="P857" i="1"/>
  <c r="R857" i="1" s="1"/>
  <c r="S857" i="1"/>
  <c r="T857" i="1"/>
  <c r="AC857" i="1"/>
  <c r="AK857" i="1"/>
  <c r="P858" i="1"/>
  <c r="R858" i="1" s="1"/>
  <c r="S858" i="1"/>
  <c r="T858" i="1"/>
  <c r="AC858" i="1"/>
  <c r="AK858" i="1"/>
  <c r="P859" i="1"/>
  <c r="R859" i="1"/>
  <c r="S859" i="1"/>
  <c r="T859" i="1"/>
  <c r="AC859" i="1"/>
  <c r="AK859" i="1"/>
  <c r="P861" i="1"/>
  <c r="R861" i="1" s="1"/>
  <c r="S861" i="1"/>
  <c r="T861" i="1"/>
  <c r="AC861" i="1"/>
  <c r="AK861" i="1"/>
  <c r="P862" i="1"/>
  <c r="R862" i="1" s="1"/>
  <c r="S862" i="1"/>
  <c r="T862" i="1"/>
  <c r="AC862" i="1"/>
  <c r="AK862" i="1"/>
  <c r="P863" i="1"/>
  <c r="R863" i="1" s="1"/>
  <c r="S863" i="1"/>
  <c r="T863" i="1"/>
  <c r="AC863" i="1"/>
  <c r="AK863" i="1"/>
  <c r="P864" i="1"/>
  <c r="R864" i="1" s="1"/>
  <c r="S864" i="1"/>
  <c r="T864" i="1"/>
  <c r="AC864" i="1"/>
  <c r="AK864" i="1"/>
  <c r="P865" i="1"/>
  <c r="R865" i="1"/>
  <c r="S865" i="1"/>
  <c r="T865" i="1"/>
  <c r="AC865" i="1"/>
  <c r="AK865" i="1"/>
  <c r="P868" i="1"/>
  <c r="R868" i="1" s="1"/>
  <c r="S868" i="1"/>
  <c r="T868" i="1"/>
  <c r="AC868" i="1"/>
  <c r="AK868" i="1"/>
  <c r="P869" i="1"/>
  <c r="R869" i="1" s="1"/>
  <c r="S869" i="1"/>
  <c r="T869" i="1"/>
  <c r="AC869" i="1"/>
  <c r="AK869" i="1"/>
  <c r="P870" i="1"/>
  <c r="R870" i="1" s="1"/>
  <c r="S870" i="1"/>
  <c r="T870" i="1"/>
  <c r="AC870" i="1"/>
  <c r="AK870" i="1"/>
  <c r="P871" i="1"/>
  <c r="R871" i="1"/>
  <c r="S871" i="1"/>
  <c r="T871" i="1"/>
  <c r="AC871" i="1"/>
  <c r="AK871" i="1"/>
  <c r="P873" i="1"/>
  <c r="R873" i="1"/>
  <c r="AC873" i="1"/>
  <c r="AK873" i="1"/>
  <c r="P875" i="1"/>
  <c r="R875" i="1"/>
  <c r="S875" i="1"/>
  <c r="T875" i="1"/>
  <c r="AC875" i="1"/>
  <c r="AK875" i="1"/>
  <c r="P876" i="1"/>
  <c r="R876" i="1"/>
  <c r="S876" i="1"/>
  <c r="T876" i="1"/>
  <c r="AC876" i="1"/>
  <c r="AK876" i="1"/>
  <c r="P879" i="1"/>
  <c r="R879" i="1"/>
  <c r="S879" i="1"/>
  <c r="T879" i="1"/>
  <c r="AC879" i="1"/>
  <c r="AK879" i="1"/>
  <c r="P880" i="1"/>
  <c r="R880" i="1"/>
  <c r="S880" i="1"/>
  <c r="T880" i="1"/>
  <c r="AC880" i="1"/>
  <c r="AK880" i="1"/>
  <c r="P881" i="1"/>
  <c r="R881" i="1"/>
  <c r="S881" i="1"/>
  <c r="T881" i="1"/>
  <c r="AC881" i="1"/>
  <c r="AK881" i="1"/>
  <c r="P882" i="1"/>
  <c r="R882" i="1"/>
  <c r="S882" i="1"/>
  <c r="T882" i="1"/>
  <c r="AC882" i="1"/>
  <c r="AK882" i="1"/>
  <c r="P884" i="1"/>
  <c r="R884" i="1"/>
  <c r="S884" i="1"/>
  <c r="T884" i="1"/>
  <c r="AC884" i="1"/>
  <c r="AK884" i="1"/>
  <c r="P885" i="1"/>
  <c r="R885" i="1"/>
  <c r="S885" i="1"/>
  <c r="T885" i="1"/>
  <c r="AC885" i="1"/>
  <c r="AK885" i="1"/>
  <c r="P886" i="1"/>
  <c r="R886" i="1"/>
  <c r="S886" i="1"/>
  <c r="T886" i="1"/>
  <c r="AC886" i="1"/>
  <c r="AK886" i="1"/>
  <c r="P887" i="1"/>
  <c r="R887" i="1" s="1"/>
  <c r="S887" i="1"/>
  <c r="T887" i="1"/>
  <c r="AC887" i="1"/>
  <c r="AK887" i="1"/>
  <c r="P889" i="1"/>
  <c r="R889" i="1"/>
  <c r="S889" i="1"/>
  <c r="T889" i="1"/>
  <c r="AC889" i="1"/>
  <c r="AK889" i="1"/>
  <c r="P890" i="1"/>
  <c r="R890" i="1"/>
  <c r="S890" i="1"/>
  <c r="T890" i="1"/>
  <c r="AC890" i="1"/>
  <c r="AK890" i="1"/>
  <c r="P891" i="1"/>
  <c r="R891" i="1"/>
  <c r="S891" i="1"/>
  <c r="T891" i="1"/>
  <c r="AC891" i="1"/>
  <c r="AK891" i="1"/>
  <c r="P893" i="1"/>
  <c r="R893" i="1"/>
  <c r="S893" i="1"/>
  <c r="T893" i="1"/>
  <c r="AC893" i="1"/>
  <c r="AK893" i="1"/>
  <c r="P894" i="1"/>
  <c r="R894" i="1"/>
  <c r="S894" i="1"/>
  <c r="T894" i="1"/>
  <c r="AC894" i="1"/>
  <c r="AK894" i="1"/>
  <c r="P895" i="1"/>
  <c r="R895" i="1" s="1"/>
  <c r="S895" i="1"/>
  <c r="T895" i="1"/>
  <c r="AC895" i="1"/>
  <c r="AK895" i="1"/>
  <c r="P896" i="1"/>
  <c r="R896" i="1"/>
  <c r="S896" i="1"/>
  <c r="T896" i="1"/>
  <c r="AC896" i="1"/>
  <c r="AK896" i="1"/>
  <c r="P897" i="1"/>
  <c r="R897" i="1"/>
  <c r="S897" i="1"/>
  <c r="T897" i="1"/>
  <c r="AC897" i="1"/>
  <c r="AK897" i="1"/>
  <c r="P898" i="1"/>
  <c r="R898" i="1" s="1"/>
  <c r="S898" i="1"/>
  <c r="T898" i="1"/>
  <c r="AC898" i="1"/>
  <c r="AK898" i="1"/>
  <c r="P899" i="1"/>
  <c r="R899" i="1" s="1"/>
  <c r="S899" i="1"/>
  <c r="T899" i="1"/>
  <c r="AC899" i="1"/>
  <c r="AK899" i="1"/>
  <c r="P901" i="1"/>
  <c r="R901" i="1" s="1"/>
  <c r="S901" i="1"/>
  <c r="T901" i="1"/>
  <c r="AC901" i="1"/>
  <c r="AK901" i="1"/>
  <c r="P902" i="1"/>
  <c r="R902" i="1" s="1"/>
  <c r="S902" i="1"/>
  <c r="T902" i="1"/>
  <c r="AC902" i="1"/>
  <c r="AK902" i="1"/>
  <c r="P903" i="1"/>
  <c r="R903" i="1"/>
  <c r="S903" i="1"/>
  <c r="T903" i="1"/>
  <c r="AC903" i="1"/>
  <c r="AK903" i="1"/>
  <c r="P904" i="1"/>
  <c r="R904" i="1" s="1"/>
  <c r="S904" i="1"/>
  <c r="T904" i="1"/>
  <c r="AC904" i="1"/>
  <c r="AK904" i="1"/>
  <c r="P905" i="1"/>
  <c r="R905" i="1"/>
  <c r="S905" i="1"/>
  <c r="T905" i="1"/>
  <c r="AC905" i="1"/>
  <c r="AK905" i="1"/>
  <c r="P907" i="1"/>
  <c r="R907" i="1" s="1"/>
  <c r="S907" i="1"/>
  <c r="T907" i="1"/>
  <c r="AC907" i="1"/>
  <c r="AK907" i="1"/>
  <c r="P908" i="1"/>
  <c r="R908" i="1"/>
  <c r="S908" i="1"/>
  <c r="T908" i="1"/>
  <c r="AC908" i="1"/>
  <c r="AK908" i="1"/>
  <c r="P910" i="1"/>
  <c r="R910" i="1" s="1"/>
  <c r="S910" i="1"/>
  <c r="T910" i="1"/>
  <c r="AC910" i="1"/>
  <c r="AK910" i="1"/>
  <c r="P911" i="1"/>
  <c r="R911" i="1"/>
  <c r="S911" i="1"/>
  <c r="T911" i="1"/>
  <c r="AC911" i="1"/>
  <c r="AK911" i="1"/>
  <c r="P912" i="1"/>
  <c r="R912" i="1" s="1"/>
  <c r="S912" i="1"/>
  <c r="T912" i="1"/>
  <c r="AC912" i="1"/>
  <c r="AK912" i="1"/>
  <c r="P913" i="1"/>
  <c r="R913" i="1"/>
  <c r="S913" i="1"/>
  <c r="T913" i="1"/>
  <c r="AC913" i="1"/>
  <c r="AK913" i="1"/>
  <c r="P916" i="1"/>
  <c r="R916" i="1"/>
  <c r="S916" i="1"/>
  <c r="T916" i="1"/>
  <c r="AC916" i="1"/>
  <c r="AK916" i="1"/>
  <c r="P917" i="1"/>
  <c r="R917" i="1" s="1"/>
  <c r="S917" i="1"/>
  <c r="T917" i="1"/>
  <c r="AC917" i="1"/>
  <c r="AK917" i="1"/>
  <c r="P919" i="1"/>
  <c r="R919" i="1"/>
  <c r="S919" i="1"/>
  <c r="T919" i="1"/>
  <c r="AC919" i="1"/>
  <c r="AK919" i="1"/>
  <c r="P920" i="1"/>
  <c r="R920" i="1" s="1"/>
  <c r="S920" i="1"/>
  <c r="T920" i="1"/>
  <c r="AC920" i="1"/>
  <c r="AK920" i="1"/>
  <c r="P922" i="1"/>
  <c r="R922" i="1" s="1"/>
  <c r="S922" i="1"/>
  <c r="T922" i="1"/>
  <c r="AC922" i="1"/>
  <c r="AK922" i="1"/>
  <c r="P923" i="1"/>
  <c r="R923" i="1"/>
  <c r="S923" i="1"/>
  <c r="T923" i="1"/>
  <c r="AC923" i="1"/>
  <c r="AK923" i="1"/>
  <c r="P924" i="1"/>
  <c r="R924" i="1"/>
  <c r="S924" i="1"/>
  <c r="T924" i="1"/>
  <c r="AC924" i="1"/>
  <c r="AK924" i="1"/>
  <c r="P925" i="1"/>
  <c r="R925" i="1"/>
  <c r="S925" i="1"/>
  <c r="T925" i="1"/>
  <c r="AC925" i="1"/>
  <c r="AK925" i="1"/>
  <c r="P927" i="1"/>
  <c r="R927" i="1" s="1"/>
  <c r="S927" i="1"/>
  <c r="T927" i="1"/>
  <c r="AC927" i="1"/>
  <c r="AK927" i="1"/>
  <c r="P928" i="1"/>
  <c r="R928" i="1"/>
  <c r="S928" i="1"/>
  <c r="T928" i="1"/>
  <c r="AC928" i="1"/>
  <c r="AK928" i="1"/>
  <c r="P929" i="1"/>
  <c r="R929" i="1" s="1"/>
  <c r="S929" i="1"/>
  <c r="T929" i="1"/>
  <c r="AC929" i="1"/>
  <c r="AK929" i="1"/>
  <c r="P931" i="1"/>
  <c r="R931" i="1" s="1"/>
  <c r="S931" i="1"/>
  <c r="T931" i="1"/>
  <c r="AC931" i="1"/>
  <c r="AK931" i="1"/>
  <c r="P932" i="1"/>
  <c r="R932" i="1" s="1"/>
  <c r="AC932" i="1"/>
  <c r="AK932" i="1"/>
  <c r="P933" i="1"/>
  <c r="R933" i="1" s="1"/>
  <c r="S933" i="1"/>
  <c r="T933" i="1"/>
  <c r="AC933" i="1"/>
  <c r="AK933" i="1"/>
  <c r="P935" i="1"/>
  <c r="R935" i="1" s="1"/>
  <c r="S935" i="1"/>
  <c r="T935" i="1"/>
  <c r="AC935" i="1"/>
  <c r="AK935" i="1"/>
  <c r="P936" i="1"/>
  <c r="R936" i="1" s="1"/>
  <c r="S936" i="1"/>
  <c r="T936" i="1"/>
  <c r="AC936" i="1"/>
  <c r="AK936" i="1"/>
  <c r="P937" i="1"/>
  <c r="R937" i="1" s="1"/>
  <c r="S937" i="1"/>
  <c r="T937" i="1"/>
  <c r="AC937" i="1"/>
  <c r="AK937" i="1"/>
  <c r="P939" i="1"/>
  <c r="R939" i="1"/>
  <c r="AC939" i="1"/>
  <c r="AK939" i="1"/>
  <c r="P941" i="1"/>
  <c r="R941" i="1"/>
  <c r="S941" i="1"/>
  <c r="T941" i="1"/>
  <c r="AC941" i="1"/>
  <c r="AK941" i="1"/>
  <c r="P943" i="1"/>
  <c r="R943" i="1" s="1"/>
  <c r="S943" i="1"/>
  <c r="T943" i="1"/>
  <c r="AC943" i="1"/>
  <c r="AK943" i="1"/>
  <c r="P946" i="1"/>
  <c r="R946" i="1"/>
  <c r="S946" i="1"/>
  <c r="T946" i="1"/>
  <c r="AC946" i="1"/>
  <c r="AK946" i="1"/>
  <c r="P947" i="1"/>
  <c r="R947" i="1" s="1"/>
  <c r="S947" i="1"/>
  <c r="T947" i="1"/>
  <c r="AC947" i="1"/>
  <c r="AK947" i="1"/>
  <c r="P948" i="1"/>
  <c r="R948" i="1"/>
  <c r="S948" i="1"/>
  <c r="T948" i="1"/>
  <c r="AC948" i="1"/>
  <c r="AK948" i="1"/>
  <c r="P949" i="1"/>
  <c r="R949" i="1" s="1"/>
  <c r="S949" i="1"/>
  <c r="T949" i="1"/>
  <c r="AC949" i="1"/>
  <c r="AK949" i="1"/>
  <c r="P950" i="1"/>
  <c r="R950" i="1"/>
  <c r="S950" i="1"/>
  <c r="T950" i="1"/>
  <c r="AC950" i="1"/>
  <c r="AK950" i="1"/>
  <c r="P951" i="1"/>
  <c r="R951" i="1" s="1"/>
  <c r="S951" i="1"/>
  <c r="T951" i="1"/>
  <c r="AC951" i="1"/>
  <c r="AK951" i="1"/>
  <c r="P952" i="1"/>
  <c r="R952" i="1"/>
  <c r="S952" i="1"/>
  <c r="T952" i="1"/>
  <c r="AC952" i="1"/>
  <c r="AK952" i="1"/>
  <c r="P953" i="1"/>
  <c r="R953" i="1" s="1"/>
  <c r="S953" i="1"/>
  <c r="T953" i="1"/>
  <c r="AC953" i="1"/>
  <c r="AK953" i="1"/>
  <c r="P954" i="1"/>
  <c r="R954" i="1"/>
  <c r="S954" i="1"/>
  <c r="T954" i="1"/>
  <c r="AC954" i="1"/>
  <c r="AK954" i="1"/>
  <c r="P955" i="1"/>
  <c r="R955" i="1" s="1"/>
  <c r="S955" i="1"/>
  <c r="T955" i="1"/>
  <c r="AC955" i="1"/>
  <c r="AK955" i="1"/>
  <c r="P956" i="1"/>
  <c r="R956" i="1" s="1"/>
  <c r="S956" i="1"/>
  <c r="T956" i="1"/>
  <c r="AC956" i="1"/>
  <c r="AK956" i="1"/>
  <c r="P957" i="1"/>
  <c r="R957" i="1"/>
  <c r="S957" i="1"/>
  <c r="T957" i="1"/>
  <c r="AC957" i="1"/>
  <c r="AK957" i="1"/>
  <c r="P958" i="1"/>
  <c r="R958" i="1" s="1"/>
  <c r="S958" i="1"/>
  <c r="T958" i="1"/>
  <c r="AC958" i="1"/>
  <c r="AK958" i="1"/>
  <c r="P959" i="1"/>
  <c r="R959" i="1" s="1"/>
  <c r="S959" i="1"/>
  <c r="T959" i="1"/>
  <c r="AC959" i="1"/>
  <c r="AK959" i="1"/>
  <c r="P960" i="1"/>
  <c r="R960" i="1" s="1"/>
  <c r="S960" i="1"/>
  <c r="T960" i="1"/>
  <c r="AC960" i="1"/>
  <c r="AK960" i="1"/>
  <c r="P961" i="1"/>
  <c r="R961" i="1"/>
  <c r="S961" i="1"/>
  <c r="T961" i="1"/>
  <c r="AC961" i="1"/>
  <c r="AK961" i="1"/>
  <c r="P962" i="1"/>
  <c r="R962" i="1" s="1"/>
  <c r="S962" i="1"/>
  <c r="T962" i="1"/>
  <c r="AC962" i="1"/>
  <c r="AK962" i="1"/>
  <c r="P963" i="1"/>
  <c r="R963" i="1"/>
  <c r="S963" i="1"/>
  <c r="T963" i="1"/>
  <c r="AC963" i="1"/>
  <c r="AK963" i="1"/>
  <c r="P964" i="1"/>
  <c r="R964" i="1" s="1"/>
  <c r="S964" i="1"/>
  <c r="T964" i="1"/>
  <c r="AC964" i="1"/>
  <c r="AK964" i="1"/>
  <c r="P965" i="1"/>
  <c r="R965" i="1"/>
  <c r="S965" i="1"/>
  <c r="T965" i="1"/>
  <c r="AC965" i="1"/>
  <c r="AK965" i="1"/>
  <c r="P966" i="1"/>
  <c r="R966" i="1" s="1"/>
  <c r="S966" i="1"/>
  <c r="T966" i="1"/>
  <c r="AC966" i="1"/>
  <c r="AK966" i="1"/>
  <c r="P967" i="1"/>
  <c r="R967" i="1"/>
  <c r="S967" i="1"/>
  <c r="T967" i="1"/>
  <c r="AC967" i="1"/>
  <c r="AK967" i="1"/>
  <c r="P968" i="1"/>
  <c r="R968" i="1" s="1"/>
  <c r="S968" i="1"/>
  <c r="T968" i="1"/>
  <c r="AC968" i="1"/>
  <c r="AK968" i="1"/>
  <c r="P969" i="1"/>
  <c r="R969" i="1"/>
  <c r="S969" i="1"/>
  <c r="T969" i="1"/>
  <c r="AC969" i="1"/>
  <c r="AK969" i="1"/>
  <c r="P970" i="1"/>
  <c r="R970" i="1" s="1"/>
  <c r="S970" i="1"/>
  <c r="T970" i="1"/>
  <c r="AC970" i="1"/>
  <c r="AK970" i="1"/>
  <c r="P971" i="1"/>
  <c r="R971" i="1" s="1"/>
  <c r="S971" i="1"/>
  <c r="T971" i="1"/>
  <c r="AC971" i="1"/>
  <c r="AK971" i="1"/>
  <c r="P972" i="1"/>
  <c r="R972" i="1" s="1"/>
  <c r="S972" i="1"/>
  <c r="T972" i="1"/>
  <c r="AC972" i="1"/>
  <c r="AK972" i="1"/>
  <c r="P973" i="1"/>
  <c r="R973" i="1" s="1"/>
  <c r="S973" i="1"/>
  <c r="T973" i="1"/>
  <c r="AC973" i="1"/>
  <c r="AK973" i="1"/>
  <c r="P974" i="1"/>
  <c r="R974" i="1" s="1"/>
  <c r="S974" i="1"/>
  <c r="T974" i="1"/>
  <c r="AC974" i="1"/>
  <c r="AK974" i="1"/>
  <c r="P975" i="1"/>
  <c r="R975" i="1"/>
  <c r="S975" i="1"/>
  <c r="T975" i="1"/>
  <c r="AC975" i="1"/>
  <c r="AK975" i="1"/>
  <c r="P976" i="1"/>
  <c r="R976" i="1" s="1"/>
  <c r="S976" i="1"/>
  <c r="T976" i="1"/>
  <c r="AC976" i="1"/>
  <c r="AK976" i="1"/>
  <c r="P977" i="1"/>
  <c r="R977" i="1"/>
  <c r="S977" i="1"/>
  <c r="T977" i="1"/>
  <c r="AC977" i="1"/>
  <c r="AK977" i="1"/>
  <c r="P978" i="1"/>
  <c r="R978" i="1" s="1"/>
  <c r="S978" i="1"/>
  <c r="T978" i="1"/>
  <c r="AC978" i="1"/>
  <c r="AK978" i="1"/>
  <c r="P979" i="1"/>
  <c r="R979" i="1"/>
  <c r="S979" i="1"/>
  <c r="T979" i="1"/>
  <c r="AC979" i="1"/>
  <c r="AK979" i="1"/>
  <c r="P980" i="1"/>
  <c r="R980" i="1" s="1"/>
  <c r="S980" i="1"/>
  <c r="T980" i="1"/>
  <c r="AC980" i="1"/>
  <c r="AK980" i="1"/>
  <c r="P981" i="1"/>
  <c r="R981" i="1"/>
  <c r="S981" i="1"/>
  <c r="T981" i="1"/>
  <c r="AC981" i="1"/>
  <c r="AK981" i="1"/>
  <c r="P982" i="1"/>
  <c r="R982" i="1" s="1"/>
  <c r="S982" i="1"/>
  <c r="T982" i="1"/>
  <c r="AC982" i="1"/>
  <c r="AK982" i="1"/>
  <c r="P983" i="1"/>
  <c r="R983" i="1"/>
  <c r="S983" i="1"/>
  <c r="T983" i="1"/>
  <c r="AC983" i="1"/>
  <c r="AK983" i="1"/>
  <c r="P984" i="1"/>
  <c r="R984" i="1" s="1"/>
  <c r="S984" i="1"/>
  <c r="T984" i="1"/>
  <c r="AC984" i="1"/>
  <c r="AK984" i="1"/>
  <c r="P985" i="1"/>
  <c r="R985" i="1"/>
  <c r="S985" i="1"/>
  <c r="T985" i="1"/>
  <c r="AC985" i="1"/>
  <c r="AK985" i="1"/>
  <c r="P986" i="1"/>
  <c r="R986" i="1" s="1"/>
  <c r="S986" i="1"/>
  <c r="T986" i="1"/>
  <c r="AC986" i="1"/>
  <c r="AK986" i="1"/>
  <c r="P987" i="1"/>
  <c r="R987" i="1" s="1"/>
  <c r="S987" i="1"/>
  <c r="T987" i="1"/>
  <c r="AC987" i="1"/>
  <c r="AK987" i="1"/>
  <c r="P988" i="1"/>
  <c r="R988" i="1" s="1"/>
  <c r="S988" i="1"/>
  <c r="T988" i="1"/>
  <c r="AC988" i="1"/>
  <c r="AK988" i="1"/>
  <c r="P989" i="1"/>
  <c r="R989" i="1"/>
  <c r="S989" i="1"/>
  <c r="T989" i="1"/>
  <c r="AC989" i="1"/>
  <c r="AK989" i="1"/>
  <c r="P990" i="1"/>
  <c r="R990" i="1" s="1"/>
  <c r="S990" i="1"/>
  <c r="T990" i="1"/>
  <c r="AC990" i="1"/>
  <c r="AK990" i="1"/>
  <c r="P991" i="1"/>
  <c r="R991" i="1"/>
  <c r="S991" i="1"/>
  <c r="T991" i="1"/>
  <c r="AC991" i="1"/>
  <c r="AK991" i="1"/>
  <c r="P992" i="1"/>
  <c r="R992" i="1" s="1"/>
  <c r="S992" i="1"/>
  <c r="T992" i="1"/>
  <c r="AC992" i="1"/>
  <c r="AK992" i="1"/>
  <c r="P993" i="1"/>
  <c r="R993" i="1"/>
  <c r="S993" i="1"/>
  <c r="T993" i="1"/>
  <c r="AC993" i="1"/>
  <c r="AK993" i="1"/>
  <c r="P994" i="1"/>
  <c r="R994" i="1" s="1"/>
  <c r="S994" i="1"/>
  <c r="T994" i="1"/>
  <c r="AC994" i="1"/>
  <c r="AK994" i="1"/>
  <c r="P995" i="1"/>
  <c r="R995" i="1"/>
  <c r="S995" i="1"/>
  <c r="T995" i="1"/>
  <c r="AC995" i="1"/>
  <c r="AK995" i="1"/>
  <c r="P996" i="1"/>
  <c r="R996" i="1" s="1"/>
  <c r="S996" i="1"/>
  <c r="T996" i="1"/>
  <c r="AC996" i="1"/>
  <c r="AK996" i="1"/>
  <c r="P997" i="1"/>
  <c r="R997" i="1"/>
  <c r="S997" i="1"/>
  <c r="T997" i="1"/>
  <c r="AC997" i="1"/>
  <c r="AK997" i="1"/>
  <c r="P998" i="1"/>
  <c r="R998" i="1" s="1"/>
  <c r="S998" i="1"/>
  <c r="T998" i="1"/>
  <c r="AC998" i="1"/>
  <c r="AK998" i="1"/>
  <c r="P999" i="1"/>
  <c r="R999" i="1"/>
  <c r="S999" i="1"/>
  <c r="T999" i="1"/>
  <c r="AC999" i="1"/>
  <c r="AK999" i="1"/>
  <c r="P1000" i="1"/>
  <c r="R1000" i="1" s="1"/>
  <c r="S1000" i="1"/>
  <c r="T1000" i="1"/>
  <c r="AC1000" i="1"/>
  <c r="AK1000" i="1"/>
  <c r="P1001" i="1"/>
  <c r="R1001" i="1"/>
  <c r="S1001" i="1"/>
  <c r="T1001" i="1"/>
  <c r="AC1001" i="1"/>
  <c r="AK1001" i="1"/>
  <c r="P1002" i="1"/>
  <c r="R1002" i="1" s="1"/>
  <c r="S1002" i="1"/>
  <c r="T1002" i="1"/>
  <c r="AC1002" i="1"/>
  <c r="AK1002" i="1"/>
  <c r="P1003" i="1"/>
  <c r="R1003" i="1"/>
  <c r="S1003" i="1"/>
  <c r="T1003" i="1"/>
  <c r="AC1003" i="1"/>
  <c r="AK1003" i="1"/>
  <c r="P1004" i="1"/>
  <c r="R1004" i="1" s="1"/>
  <c r="S1004" i="1"/>
  <c r="T1004" i="1"/>
  <c r="AC1004" i="1"/>
  <c r="AK1004" i="1"/>
  <c r="P1006" i="1"/>
  <c r="R1006" i="1"/>
  <c r="S1006" i="1"/>
  <c r="T1006" i="1"/>
  <c r="AC1006" i="1"/>
  <c r="AK1006" i="1"/>
  <c r="P1007" i="1"/>
  <c r="R1007" i="1" s="1"/>
  <c r="S1007" i="1"/>
  <c r="T1007" i="1"/>
  <c r="AC1007" i="1"/>
  <c r="AK1007" i="1"/>
  <c r="P1008" i="1"/>
  <c r="R1008" i="1"/>
  <c r="S1008" i="1"/>
  <c r="T1008" i="1"/>
  <c r="AC1008" i="1"/>
  <c r="AK1008" i="1"/>
  <c r="P1009" i="1"/>
  <c r="R1009" i="1" s="1"/>
  <c r="S1009" i="1"/>
  <c r="T1009" i="1"/>
  <c r="AC1009" i="1"/>
  <c r="AK1009" i="1"/>
  <c r="P1010" i="1"/>
  <c r="R1010" i="1"/>
  <c r="S1010" i="1"/>
  <c r="T1010" i="1"/>
  <c r="AC1010" i="1"/>
  <c r="AK1010" i="1"/>
  <c r="P1013" i="1"/>
  <c r="R1013" i="1" s="1"/>
  <c r="S1013" i="1"/>
  <c r="T1013" i="1"/>
  <c r="AC1013" i="1"/>
  <c r="AK1013" i="1"/>
  <c r="P1014" i="1"/>
  <c r="R1014" i="1"/>
  <c r="S1014" i="1"/>
  <c r="T1014" i="1"/>
  <c r="AC1014" i="1"/>
  <c r="AK1014" i="1"/>
  <c r="P1015" i="1"/>
  <c r="R1015" i="1" s="1"/>
  <c r="S1015" i="1"/>
  <c r="T1015" i="1"/>
  <c r="AC1015" i="1"/>
  <c r="AK1015" i="1"/>
  <c r="P1016" i="1"/>
  <c r="R1016" i="1"/>
  <c r="S1016" i="1"/>
  <c r="T1016" i="1"/>
  <c r="AC1016" i="1"/>
  <c r="AK1016" i="1"/>
  <c r="P1017" i="1"/>
  <c r="R1017" i="1" s="1"/>
  <c r="S1017" i="1"/>
  <c r="T1017" i="1"/>
  <c r="AC1017" i="1"/>
  <c r="AK1017" i="1"/>
  <c r="P1018" i="1"/>
  <c r="R1018" i="1"/>
  <c r="S1018" i="1"/>
  <c r="T1018" i="1"/>
  <c r="AC1018" i="1"/>
  <c r="AK1018" i="1"/>
  <c r="P1019" i="1"/>
  <c r="R1019" i="1" s="1"/>
  <c r="S1019" i="1"/>
  <c r="T1019" i="1"/>
  <c r="AC1019" i="1"/>
  <c r="AK1019" i="1"/>
  <c r="P1020" i="1"/>
  <c r="R1020" i="1"/>
  <c r="S1020" i="1"/>
  <c r="T1020" i="1"/>
  <c r="AC1020" i="1"/>
  <c r="AK1020" i="1"/>
  <c r="P1022" i="1"/>
  <c r="R1022" i="1" s="1"/>
  <c r="S1022" i="1"/>
  <c r="T1022" i="1"/>
  <c r="AC1022" i="1"/>
  <c r="AK1022" i="1"/>
  <c r="P1023" i="1"/>
  <c r="R1023" i="1"/>
  <c r="S1023" i="1"/>
  <c r="T1023" i="1"/>
  <c r="AC1023" i="1"/>
  <c r="AK1023" i="1"/>
  <c r="P1024" i="1"/>
  <c r="R1024" i="1" s="1"/>
  <c r="S1024" i="1"/>
  <c r="T1024" i="1"/>
  <c r="AC1024" i="1"/>
  <c r="AK1024" i="1"/>
  <c r="P1026" i="1"/>
  <c r="R1026" i="1" s="1"/>
  <c r="S1026" i="1"/>
  <c r="T1026" i="1"/>
  <c r="AC1026" i="1"/>
  <c r="AK1026" i="1"/>
  <c r="P1027" i="1"/>
  <c r="R1027" i="1" s="1"/>
  <c r="S1027" i="1"/>
  <c r="T1027" i="1"/>
  <c r="AC1027" i="1"/>
  <c r="AK1027" i="1"/>
  <c r="P1028" i="1"/>
  <c r="R1028" i="1" s="1"/>
  <c r="S1028" i="1"/>
  <c r="T1028" i="1"/>
  <c r="AC1028" i="1"/>
  <c r="AK1028" i="1"/>
  <c r="P1029" i="1"/>
  <c r="R1029" i="1" s="1"/>
  <c r="S1029" i="1"/>
  <c r="T1029" i="1"/>
  <c r="AC1029" i="1"/>
  <c r="AK1029" i="1"/>
  <c r="P1030" i="1"/>
  <c r="R1030" i="1"/>
  <c r="S1030" i="1"/>
  <c r="T1030" i="1"/>
  <c r="AC1030" i="1"/>
  <c r="AK1030" i="1"/>
  <c r="P1032" i="1"/>
  <c r="R1032" i="1" s="1"/>
  <c r="S1032" i="1"/>
  <c r="T1032" i="1"/>
  <c r="AC1032" i="1"/>
  <c r="AK1032" i="1"/>
  <c r="P1033" i="1"/>
  <c r="R1033" i="1"/>
  <c r="S1033" i="1"/>
  <c r="T1033" i="1"/>
  <c r="AC1033" i="1"/>
  <c r="AK1033" i="1"/>
  <c r="P1035" i="1"/>
  <c r="R1035" i="1" s="1"/>
  <c r="S1035" i="1"/>
  <c r="T1035" i="1"/>
  <c r="AC1035" i="1"/>
  <c r="AK1035" i="1"/>
  <c r="P1036" i="1"/>
  <c r="R1036" i="1" s="1"/>
  <c r="S1036" i="1"/>
  <c r="T1036" i="1"/>
  <c r="AC1036" i="1"/>
  <c r="AK1036" i="1"/>
  <c r="P1038" i="1"/>
  <c r="R1038" i="1" s="1"/>
  <c r="S1038" i="1"/>
  <c r="T1038" i="1"/>
  <c r="AC1038" i="1"/>
  <c r="AK1038" i="1"/>
  <c r="P1040" i="1"/>
  <c r="R1040" i="1" s="1"/>
  <c r="S1040" i="1"/>
  <c r="T1040" i="1"/>
  <c r="AC1040" i="1"/>
  <c r="AK1040" i="1"/>
  <c r="P1041" i="1"/>
  <c r="R1041" i="1"/>
  <c r="S1041" i="1"/>
  <c r="T1041" i="1"/>
  <c r="AC1041" i="1"/>
  <c r="AK1041" i="1"/>
  <c r="P1043" i="1"/>
  <c r="R1043" i="1" s="1"/>
  <c r="S1043" i="1"/>
  <c r="T1043" i="1"/>
  <c r="AC1043" i="1"/>
  <c r="AK1043" i="1"/>
  <c r="P1044" i="1"/>
  <c r="R1044" i="1"/>
  <c r="S1044" i="1"/>
  <c r="T1044" i="1"/>
  <c r="AC1044" i="1"/>
  <c r="AK1044" i="1"/>
  <c r="P1046" i="1"/>
  <c r="R1046" i="1" s="1"/>
  <c r="S1046" i="1"/>
  <c r="T1046" i="1"/>
  <c r="AC1046" i="1"/>
  <c r="AK1046" i="1"/>
  <c r="P1047" i="1"/>
  <c r="R1047" i="1"/>
  <c r="S1047" i="1"/>
  <c r="T1047" i="1"/>
  <c r="AC1047" i="1"/>
  <c r="AK1047" i="1"/>
  <c r="P1049" i="1"/>
  <c r="R1049" i="1" s="1"/>
  <c r="S1049" i="1"/>
  <c r="T1049" i="1"/>
  <c r="AC1049" i="1"/>
  <c r="AK1049" i="1"/>
  <c r="P1050" i="1"/>
  <c r="R1050" i="1"/>
  <c r="S1050" i="1"/>
  <c r="T1050" i="1"/>
  <c r="AC1050" i="1"/>
  <c r="AK1050" i="1"/>
  <c r="P1051" i="1"/>
  <c r="R1051" i="1" s="1"/>
  <c r="S1051" i="1"/>
  <c r="T1051" i="1"/>
  <c r="AC1051" i="1"/>
  <c r="AK1051" i="1"/>
  <c r="P1053" i="1"/>
  <c r="R1053" i="1"/>
  <c r="AC1053" i="1"/>
  <c r="AK1053" i="1"/>
  <c r="P1054" i="1"/>
  <c r="R1054" i="1"/>
  <c r="AC1054" i="1"/>
  <c r="AK1054" i="1"/>
  <c r="P1055" i="1"/>
  <c r="R1055" i="1"/>
  <c r="AC1055" i="1"/>
  <c r="AK1055" i="1"/>
  <c r="P1056" i="1"/>
  <c r="R1056" i="1"/>
  <c r="AC1056" i="1"/>
  <c r="AK1056" i="1"/>
  <c r="P1058" i="1"/>
  <c r="R1058" i="1"/>
  <c r="S1058" i="1"/>
  <c r="T1058" i="1"/>
  <c r="AC1058" i="1"/>
  <c r="AK1058" i="1"/>
  <c r="P1059" i="1"/>
  <c r="R1059" i="1"/>
  <c r="S1059" i="1"/>
  <c r="T1059" i="1"/>
  <c r="AC1059" i="1"/>
  <c r="AK1059" i="1"/>
  <c r="P1061" i="1"/>
  <c r="R1061" i="1"/>
  <c r="S1061" i="1"/>
  <c r="T1061" i="1"/>
  <c r="AC1061" i="1"/>
  <c r="AK1061" i="1"/>
  <c r="P1062" i="1"/>
  <c r="R1062" i="1"/>
  <c r="S1062" i="1"/>
  <c r="T1062" i="1"/>
  <c r="AC1062" i="1"/>
  <c r="AK1062" i="1"/>
  <c r="P1063" i="1"/>
  <c r="R1063" i="1"/>
  <c r="S1063" i="1"/>
  <c r="T1063" i="1"/>
  <c r="AC1063" i="1"/>
  <c r="AK1063" i="1"/>
  <c r="P1064" i="1"/>
  <c r="R1064" i="1"/>
  <c r="S1064" i="1"/>
  <c r="T1064" i="1"/>
  <c r="AC1064" i="1"/>
  <c r="AK1064" i="1"/>
  <c r="P1066" i="1"/>
  <c r="R1066" i="1"/>
  <c r="S1066" i="1"/>
  <c r="T1066" i="1"/>
  <c r="AC1066" i="1"/>
  <c r="AK1066" i="1"/>
  <c r="P1067" i="1"/>
  <c r="R1067" i="1"/>
  <c r="S1067" i="1"/>
  <c r="T1067" i="1"/>
  <c r="AC1067" i="1"/>
  <c r="AK1067" i="1"/>
  <c r="P1068" i="1"/>
  <c r="R1068" i="1"/>
  <c r="S1068" i="1"/>
  <c r="T1068" i="1"/>
  <c r="AC1068" i="1"/>
  <c r="AK1068" i="1"/>
  <c r="P1069" i="1"/>
  <c r="R1069" i="1"/>
  <c r="S1069" i="1"/>
  <c r="T1069" i="1"/>
  <c r="AC1069" i="1"/>
  <c r="AK1069" i="1"/>
  <c r="P1070" i="1"/>
  <c r="R1070" i="1"/>
  <c r="S1070" i="1"/>
  <c r="T1070" i="1"/>
  <c r="AC1070" i="1"/>
  <c r="AK1070" i="1"/>
  <c r="P1072" i="1"/>
  <c r="R1072" i="1"/>
  <c r="AC1072" i="1"/>
  <c r="AK1072" i="1"/>
  <c r="P1073" i="1"/>
  <c r="R1073" i="1"/>
  <c r="AC1073" i="1"/>
  <c r="AK1073" i="1"/>
  <c r="P1074" i="1"/>
  <c r="R1074" i="1"/>
  <c r="AC1074" i="1"/>
  <c r="AK1074" i="1"/>
  <c r="P1075" i="1"/>
  <c r="R1075" i="1"/>
  <c r="S1075" i="1"/>
  <c r="T1075" i="1"/>
  <c r="AC1075" i="1"/>
  <c r="AK1075" i="1"/>
  <c r="P1079" i="1"/>
  <c r="R1079" i="1"/>
  <c r="S1079" i="1"/>
  <c r="T1079" i="1"/>
  <c r="AC1079" i="1"/>
  <c r="AK1079" i="1"/>
  <c r="P1081" i="1"/>
  <c r="R1081" i="1"/>
  <c r="S1081" i="1"/>
  <c r="T1081" i="1"/>
  <c r="AC1081" i="1"/>
  <c r="AK1081" i="1"/>
  <c r="P1083" i="1"/>
  <c r="R1083" i="1"/>
  <c r="S1083" i="1"/>
  <c r="T1083" i="1"/>
  <c r="AC1083" i="1"/>
  <c r="AK1083" i="1"/>
  <c r="P1084" i="1"/>
  <c r="R1084" i="1" s="1"/>
  <c r="S1084" i="1"/>
  <c r="T1084" i="1"/>
  <c r="AC1084" i="1"/>
  <c r="AK1084" i="1"/>
  <c r="P1085" i="1"/>
  <c r="R1085" i="1" s="1"/>
  <c r="S1085" i="1"/>
  <c r="T1085" i="1"/>
  <c r="AC1085" i="1"/>
  <c r="AK1085" i="1"/>
  <c r="P1086" i="1"/>
  <c r="R1086" i="1"/>
  <c r="S1086" i="1"/>
  <c r="T1086" i="1"/>
  <c r="AC1086" i="1"/>
  <c r="AK1086" i="1"/>
  <c r="P1088" i="1"/>
  <c r="R1088" i="1" s="1"/>
  <c r="S1088" i="1"/>
  <c r="T1088" i="1"/>
  <c r="AC1088" i="1"/>
  <c r="AK1088" i="1"/>
  <c r="P1090" i="1"/>
  <c r="R1090" i="1"/>
  <c r="S1090" i="1"/>
  <c r="T1090" i="1"/>
  <c r="AC1090" i="1"/>
  <c r="AK1090" i="1"/>
  <c r="P1091" i="1"/>
  <c r="R1091" i="1" s="1"/>
  <c r="S1091" i="1"/>
  <c r="T1091" i="1"/>
  <c r="AC1091" i="1"/>
  <c r="AK1091" i="1"/>
  <c r="P1093" i="1"/>
  <c r="R1093" i="1"/>
  <c r="S1093" i="1"/>
  <c r="T1093" i="1"/>
  <c r="AC1093" i="1"/>
  <c r="AK1093" i="1"/>
  <c r="P1094" i="1"/>
  <c r="R1094" i="1" s="1"/>
  <c r="S1094" i="1"/>
  <c r="T1094" i="1"/>
  <c r="AC1094" i="1"/>
  <c r="AK1094" i="1"/>
  <c r="P1095" i="1"/>
  <c r="R1095" i="1"/>
  <c r="S1095" i="1"/>
  <c r="T1095" i="1"/>
  <c r="AC1095" i="1"/>
  <c r="AK1095" i="1"/>
  <c r="P1096" i="1"/>
  <c r="R1096" i="1" s="1"/>
  <c r="S1096" i="1"/>
  <c r="T1096" i="1"/>
  <c r="AC1096" i="1"/>
  <c r="AK1096" i="1"/>
  <c r="P1098" i="1"/>
  <c r="R1098" i="1"/>
  <c r="S1098" i="1"/>
  <c r="T1098" i="1"/>
  <c r="AC1098" i="1"/>
  <c r="AK1098" i="1"/>
  <c r="P1099" i="1"/>
  <c r="R1099" i="1" s="1"/>
  <c r="S1099" i="1"/>
  <c r="T1099" i="1"/>
  <c r="AC1099" i="1"/>
  <c r="AK1099" i="1"/>
  <c r="P1100" i="1"/>
  <c r="R1100" i="1"/>
  <c r="S1100" i="1"/>
  <c r="T1100" i="1"/>
  <c r="AC1100" i="1"/>
  <c r="AK1100" i="1"/>
  <c r="P1101" i="1"/>
  <c r="R1101" i="1" s="1"/>
  <c r="S1101" i="1"/>
  <c r="T1101" i="1"/>
  <c r="AC1101" i="1"/>
  <c r="AK1101" i="1"/>
  <c r="P1103" i="1"/>
  <c r="R1103" i="1"/>
  <c r="S1103" i="1"/>
  <c r="T1103" i="1"/>
  <c r="AC1103" i="1"/>
  <c r="AK1103" i="1"/>
  <c r="P1104" i="1"/>
  <c r="R1104" i="1" s="1"/>
  <c r="S1104" i="1"/>
  <c r="T1104" i="1"/>
  <c r="AC1104" i="1"/>
  <c r="AK1104" i="1"/>
  <c r="P1106" i="1"/>
  <c r="R1106" i="1"/>
  <c r="S1106" i="1"/>
  <c r="T1106" i="1"/>
  <c r="AC1106" i="1"/>
  <c r="AK1106" i="1"/>
  <c r="P1107" i="1"/>
  <c r="R1107" i="1" s="1"/>
  <c r="S1107" i="1"/>
  <c r="T1107" i="1"/>
  <c r="AC1107" i="1"/>
  <c r="AK1107" i="1"/>
  <c r="P1109" i="1"/>
  <c r="R1109" i="1"/>
  <c r="S1109" i="1"/>
  <c r="T1109" i="1"/>
  <c r="AC1109" i="1"/>
  <c r="AK1109" i="1"/>
  <c r="P1110" i="1"/>
  <c r="R1110" i="1" s="1"/>
  <c r="AC1110" i="1"/>
  <c r="AK1110" i="1"/>
  <c r="P1112" i="1"/>
  <c r="R1112" i="1" s="1"/>
  <c r="S1112" i="1"/>
  <c r="T1112" i="1"/>
  <c r="AC1112" i="1"/>
  <c r="AK1112" i="1"/>
  <c r="P1113" i="1"/>
  <c r="R1113" i="1"/>
  <c r="S1113" i="1"/>
  <c r="T1113" i="1"/>
  <c r="AC1113" i="1"/>
  <c r="AK1113" i="1"/>
  <c r="P1116" i="1"/>
  <c r="R1116" i="1" s="1"/>
  <c r="S1116" i="1"/>
  <c r="T1116" i="1"/>
  <c r="AC1116" i="1"/>
  <c r="AK1116" i="1"/>
  <c r="P1117" i="1"/>
  <c r="R1117" i="1"/>
  <c r="S1117" i="1"/>
  <c r="T1117" i="1"/>
  <c r="AC1117" i="1"/>
  <c r="AK1117" i="1"/>
  <c r="P1118" i="1"/>
  <c r="R1118" i="1" s="1"/>
  <c r="S1118" i="1"/>
  <c r="T1118" i="1"/>
  <c r="AC1118" i="1"/>
  <c r="AK1118" i="1"/>
  <c r="P1119" i="1"/>
  <c r="R1119" i="1"/>
  <c r="S1119" i="1"/>
  <c r="T1119" i="1"/>
  <c r="AC1119" i="1"/>
  <c r="AK1119" i="1"/>
  <c r="P1120" i="1"/>
  <c r="R1120" i="1" s="1"/>
  <c r="S1120" i="1"/>
  <c r="T1120" i="1"/>
  <c r="AC1120" i="1"/>
  <c r="AK1120" i="1"/>
  <c r="P1121" i="1"/>
  <c r="R1121" i="1"/>
  <c r="S1121" i="1"/>
  <c r="T1121" i="1"/>
  <c r="AC1121" i="1"/>
  <c r="AK1121" i="1"/>
  <c r="P1122" i="1"/>
  <c r="R1122" i="1" s="1"/>
  <c r="S1122" i="1"/>
  <c r="T1122" i="1"/>
  <c r="AC1122" i="1"/>
  <c r="AK1122" i="1"/>
  <c r="P1123" i="1"/>
  <c r="R1123" i="1"/>
  <c r="S1123" i="1"/>
  <c r="T1123" i="1"/>
  <c r="AC1123" i="1"/>
  <c r="AK1123" i="1"/>
  <c r="P1125" i="1"/>
  <c r="R1125" i="1" s="1"/>
  <c r="S1125" i="1"/>
  <c r="T1125" i="1"/>
  <c r="AC1125" i="1"/>
  <c r="AK1125" i="1"/>
  <c r="P1127" i="1"/>
  <c r="R1127" i="1"/>
  <c r="S1127" i="1"/>
  <c r="T1127" i="1"/>
  <c r="AC1127" i="1"/>
  <c r="AK1127" i="1"/>
  <c r="P1128" i="1"/>
  <c r="R1128" i="1" s="1"/>
  <c r="S1128" i="1"/>
  <c r="T1128" i="1"/>
  <c r="AC1128" i="1"/>
  <c r="AK1128" i="1"/>
  <c r="P1129" i="1"/>
  <c r="R1129" i="1"/>
  <c r="S1129" i="1"/>
  <c r="T1129" i="1"/>
  <c r="AC1129" i="1"/>
  <c r="AK1129" i="1"/>
  <c r="P1130" i="1"/>
  <c r="R1130" i="1" s="1"/>
  <c r="S1130" i="1"/>
  <c r="T1130" i="1"/>
  <c r="AC1130" i="1"/>
  <c r="AK1130" i="1"/>
  <c r="P1133" i="1"/>
  <c r="R1133" i="1"/>
  <c r="S1133" i="1"/>
  <c r="T1133" i="1"/>
  <c r="AC1133" i="1"/>
  <c r="AK1133" i="1"/>
  <c r="P1134" i="1"/>
  <c r="R1134" i="1" s="1"/>
  <c r="S1134" i="1"/>
  <c r="T1134" i="1"/>
  <c r="AC1134" i="1"/>
  <c r="AK1134" i="1"/>
  <c r="P1135" i="1"/>
  <c r="R1135" i="1"/>
  <c r="S1135" i="1"/>
  <c r="T1135" i="1"/>
  <c r="AC1135" i="1"/>
  <c r="AK1135" i="1"/>
  <c r="P1136" i="1"/>
  <c r="R1136" i="1" s="1"/>
  <c r="S1136" i="1"/>
  <c r="T1136" i="1"/>
  <c r="AC1136" i="1"/>
  <c r="AK1136" i="1"/>
  <c r="P1138" i="1"/>
  <c r="R1138" i="1"/>
  <c r="S1138" i="1"/>
  <c r="T1138" i="1"/>
  <c r="AC1138" i="1"/>
  <c r="AK1138" i="1"/>
  <c r="P1140" i="1"/>
  <c r="R1140" i="1" s="1"/>
  <c r="S1140" i="1"/>
  <c r="T1140" i="1"/>
  <c r="AC1140" i="1"/>
  <c r="AK1140" i="1"/>
  <c r="P1142" i="1"/>
  <c r="R1142" i="1" s="1"/>
  <c r="S1142" i="1"/>
  <c r="T1142" i="1"/>
  <c r="AC1142" i="1"/>
  <c r="AK1142" i="1"/>
  <c r="P1144" i="1"/>
  <c r="R1144" i="1" s="1"/>
  <c r="S1144" i="1"/>
  <c r="T1144" i="1"/>
  <c r="AC1144" i="1"/>
  <c r="AK1144" i="1"/>
  <c r="P1145" i="1"/>
  <c r="R1145" i="1" s="1"/>
  <c r="S1145" i="1"/>
  <c r="T1145" i="1"/>
  <c r="AC1145" i="1"/>
  <c r="AK1145" i="1"/>
  <c r="P1146" i="1"/>
  <c r="R1146" i="1" s="1"/>
  <c r="AC1146" i="1"/>
  <c r="AK1146" i="1"/>
  <c r="P1148" i="1"/>
  <c r="R1148" i="1" s="1"/>
  <c r="S1148" i="1"/>
  <c r="T1148" i="1"/>
  <c r="AC1148" i="1"/>
  <c r="AK1148" i="1"/>
  <c r="P1149" i="1"/>
  <c r="R1149" i="1"/>
  <c r="S1149" i="1"/>
  <c r="T1149" i="1"/>
  <c r="AC1149" i="1"/>
  <c r="AK1149" i="1"/>
  <c r="P1150" i="1"/>
  <c r="R1150" i="1" s="1"/>
  <c r="S1150" i="1"/>
  <c r="T1150" i="1"/>
  <c r="AC1150" i="1"/>
  <c r="AK1150" i="1"/>
  <c r="P1151" i="1"/>
  <c r="R1151" i="1" s="1"/>
  <c r="S1151" i="1"/>
  <c r="T1151" i="1"/>
  <c r="AC1151" i="1"/>
  <c r="AK1151" i="1"/>
  <c r="P1153" i="1"/>
  <c r="R1153" i="1" s="1"/>
  <c r="S1153" i="1"/>
  <c r="T1153" i="1"/>
  <c r="AC1153" i="1"/>
  <c r="AK1153" i="1"/>
  <c r="P1154" i="1"/>
  <c r="R1154" i="1" s="1"/>
  <c r="S1154" i="1"/>
  <c r="T1154" i="1"/>
  <c r="AC1154" i="1"/>
  <c r="AK1154" i="1"/>
  <c r="P1155" i="1"/>
  <c r="R1155" i="1" s="1"/>
  <c r="S1155" i="1"/>
  <c r="T1155" i="1"/>
  <c r="AC1155" i="1"/>
  <c r="AK1155" i="1"/>
  <c r="P1156" i="1"/>
  <c r="R1156" i="1" s="1"/>
  <c r="S1156" i="1"/>
  <c r="T1156" i="1"/>
  <c r="AC1156" i="1"/>
  <c r="AK1156" i="1"/>
  <c r="P1157" i="1"/>
  <c r="R1157" i="1"/>
  <c r="S1157" i="1"/>
  <c r="T1157" i="1"/>
  <c r="AC1157" i="1"/>
  <c r="AK1157" i="1"/>
  <c r="P1158" i="1"/>
  <c r="R1158" i="1" s="1"/>
  <c r="S1158" i="1"/>
  <c r="T1158" i="1"/>
  <c r="AC1158" i="1"/>
  <c r="AK1158" i="1"/>
  <c r="P1159" i="1"/>
  <c r="R1159" i="1"/>
  <c r="S1159" i="1"/>
  <c r="T1159" i="1"/>
  <c r="AC1159" i="1"/>
  <c r="AK1159" i="1"/>
  <c r="P1160" i="1"/>
  <c r="R1160" i="1" s="1"/>
  <c r="S1160" i="1"/>
  <c r="T1160" i="1"/>
  <c r="AC1160" i="1"/>
  <c r="AK1160" i="1"/>
  <c r="P1162" i="1"/>
  <c r="R1162" i="1"/>
  <c r="S1162" i="1"/>
  <c r="T1162" i="1"/>
  <c r="AC1162" i="1"/>
  <c r="AK1162" i="1"/>
  <c r="P1163" i="1"/>
  <c r="R1163" i="1" s="1"/>
  <c r="S1163" i="1"/>
  <c r="T1163" i="1"/>
  <c r="AC1163" i="1"/>
  <c r="AK1163" i="1"/>
  <c r="P1165" i="1"/>
  <c r="R1165" i="1" s="1"/>
  <c r="S1165" i="1"/>
  <c r="T1165" i="1"/>
  <c r="AC1165" i="1"/>
  <c r="AK1165" i="1"/>
  <c r="P1166" i="1"/>
  <c r="R1166" i="1" s="1"/>
  <c r="S1166" i="1"/>
  <c r="T1166" i="1"/>
  <c r="AC1166" i="1"/>
  <c r="AK1166" i="1"/>
  <c r="P1167" i="1"/>
  <c r="R1167" i="1" s="1"/>
  <c r="S1167" i="1"/>
  <c r="T1167" i="1"/>
  <c r="AC1167" i="1"/>
  <c r="AK1167" i="1"/>
  <c r="P1168" i="1"/>
  <c r="R1168" i="1" s="1"/>
  <c r="S1168" i="1"/>
  <c r="T1168" i="1"/>
  <c r="AC1168" i="1"/>
  <c r="AK1168" i="1"/>
  <c r="P1170" i="1"/>
  <c r="R1170" i="1" s="1"/>
  <c r="S1170" i="1"/>
  <c r="T1170" i="1"/>
  <c r="AC1170" i="1"/>
  <c r="AK1170" i="1"/>
  <c r="P1171" i="1"/>
  <c r="R1171" i="1" s="1"/>
  <c r="S1171" i="1"/>
  <c r="T1171" i="1"/>
  <c r="AC1171" i="1"/>
  <c r="AK1171" i="1"/>
  <c r="P1172" i="1"/>
  <c r="R1172" i="1" s="1"/>
  <c r="S1172" i="1"/>
  <c r="T1172" i="1"/>
  <c r="AC1172" i="1"/>
  <c r="AK1172" i="1"/>
  <c r="P1173" i="1"/>
  <c r="R1173" i="1" s="1"/>
  <c r="S1173" i="1"/>
  <c r="T1173" i="1"/>
  <c r="AC1173" i="1"/>
  <c r="AK1173" i="1"/>
  <c r="P1175" i="1"/>
  <c r="R1175" i="1"/>
  <c r="S1175" i="1"/>
  <c r="T1175" i="1"/>
  <c r="AC1175" i="1"/>
  <c r="AK1175" i="1"/>
  <c r="P1176" i="1"/>
  <c r="R1176" i="1" s="1"/>
  <c r="S1176" i="1"/>
  <c r="T1176" i="1"/>
  <c r="AC1176" i="1"/>
  <c r="AK1176" i="1"/>
  <c r="P1177" i="1"/>
  <c r="R1177" i="1"/>
  <c r="S1177" i="1"/>
  <c r="T1177" i="1"/>
  <c r="AC1177" i="1"/>
  <c r="AK1177" i="1"/>
  <c r="P1178" i="1"/>
  <c r="R1178" i="1" s="1"/>
  <c r="S1178" i="1"/>
  <c r="T1178" i="1"/>
  <c r="AC1178" i="1"/>
  <c r="AK1178" i="1"/>
  <c r="P1180" i="1"/>
  <c r="R1180" i="1" s="1"/>
  <c r="S1180" i="1"/>
  <c r="T1180" i="1"/>
  <c r="AC1180" i="1"/>
  <c r="AK1180" i="1"/>
  <c r="P1181" i="1"/>
  <c r="R1181" i="1" s="1"/>
  <c r="S1181" i="1"/>
  <c r="T1181" i="1"/>
  <c r="AC1181" i="1"/>
  <c r="AK1181" i="1"/>
  <c r="P1182" i="1"/>
  <c r="R1182" i="1" s="1"/>
  <c r="S1182" i="1"/>
  <c r="T1182" i="1"/>
  <c r="AC1182" i="1"/>
  <c r="AK1182" i="1"/>
  <c r="P1184" i="1"/>
  <c r="R1184" i="1" s="1"/>
  <c r="S1184" i="1"/>
  <c r="T1184" i="1"/>
  <c r="AC1184" i="1"/>
  <c r="AK1184" i="1"/>
  <c r="P1185" i="1"/>
  <c r="R1185" i="1"/>
  <c r="AC1185" i="1"/>
  <c r="AK1185" i="1"/>
  <c r="P1186" i="1"/>
  <c r="R1186" i="1"/>
  <c r="S1186" i="1"/>
  <c r="T1186" i="1"/>
  <c r="AC1186" i="1"/>
  <c r="AK1186" i="1"/>
  <c r="P1187" i="1"/>
  <c r="R1187" i="1" s="1"/>
  <c r="S1187" i="1"/>
  <c r="T1187" i="1"/>
  <c r="AC1187" i="1"/>
  <c r="AK1187" i="1"/>
  <c r="P1189" i="1"/>
  <c r="R1189" i="1" s="1"/>
  <c r="S1189" i="1"/>
  <c r="T1189" i="1"/>
  <c r="AC1189" i="1"/>
  <c r="AK1189" i="1"/>
  <c r="P1191" i="1"/>
  <c r="R1191" i="1" s="1"/>
  <c r="S1191" i="1"/>
  <c r="T1191" i="1"/>
  <c r="AC1191" i="1"/>
  <c r="AK1191" i="1"/>
  <c r="P1192" i="1"/>
  <c r="R1192" i="1" s="1"/>
  <c r="S1192" i="1"/>
  <c r="T1192" i="1"/>
  <c r="AC1192" i="1"/>
  <c r="AK1192" i="1"/>
  <c r="P1193" i="1"/>
  <c r="R1193" i="1" s="1"/>
  <c r="S1193" i="1"/>
  <c r="T1193" i="1"/>
  <c r="AC1193" i="1"/>
  <c r="AK1193" i="1"/>
  <c r="P1194" i="1"/>
  <c r="R1194" i="1" s="1"/>
  <c r="S1194" i="1"/>
  <c r="T1194" i="1"/>
  <c r="AC1194" i="1"/>
  <c r="AK1194" i="1"/>
  <c r="P1195" i="1"/>
  <c r="R1195" i="1" s="1"/>
  <c r="S1195" i="1"/>
  <c r="T1195" i="1"/>
  <c r="AC1195" i="1"/>
  <c r="AK1195" i="1"/>
  <c r="P1196" i="1"/>
  <c r="R1196" i="1"/>
  <c r="S1196" i="1"/>
  <c r="T1196" i="1"/>
  <c r="AC1196" i="1"/>
  <c r="AK1196" i="1"/>
  <c r="P1198" i="1"/>
  <c r="R1198" i="1" s="1"/>
  <c r="S1198" i="1"/>
  <c r="T1198" i="1"/>
  <c r="AC1198" i="1"/>
  <c r="AK1198" i="1"/>
  <c r="P1199" i="1"/>
  <c r="R1199" i="1" s="1"/>
  <c r="S1199" i="1"/>
  <c r="T1199" i="1"/>
  <c r="AC1199" i="1"/>
  <c r="AK1199" i="1"/>
  <c r="P1200" i="1"/>
  <c r="R1200" i="1" s="1"/>
  <c r="S1200" i="1"/>
  <c r="T1200" i="1"/>
  <c r="AC1200" i="1"/>
  <c r="AK1200" i="1"/>
  <c r="P1201" i="1"/>
  <c r="R1201" i="1" s="1"/>
  <c r="S1201" i="1"/>
  <c r="T1201" i="1"/>
  <c r="AC1201" i="1"/>
  <c r="AK1201" i="1"/>
  <c r="P1202" i="1"/>
  <c r="R1202" i="1" s="1"/>
  <c r="S1202" i="1"/>
  <c r="T1202" i="1"/>
  <c r="AC1202" i="1"/>
  <c r="AK1202" i="1"/>
  <c r="P1203" i="1"/>
  <c r="R1203" i="1" s="1"/>
  <c r="S1203" i="1"/>
  <c r="T1203" i="1"/>
  <c r="AC1203" i="1"/>
  <c r="AK1203" i="1"/>
  <c r="P1205" i="1"/>
  <c r="R1205" i="1" s="1"/>
  <c r="S1205" i="1"/>
  <c r="T1205" i="1"/>
  <c r="AC1205" i="1"/>
  <c r="AK1205" i="1"/>
  <c r="P1206" i="1"/>
  <c r="R1206" i="1"/>
  <c r="S1206" i="1"/>
  <c r="T1206" i="1"/>
  <c r="AC1206" i="1"/>
  <c r="AK1206" i="1"/>
  <c r="P1208" i="1"/>
  <c r="R1208" i="1" s="1"/>
  <c r="S1208" i="1"/>
  <c r="T1208" i="1"/>
  <c r="AC1208" i="1"/>
  <c r="AK1208" i="1"/>
  <c r="P1209" i="1"/>
  <c r="R1209" i="1"/>
  <c r="S1209" i="1"/>
  <c r="T1209" i="1"/>
  <c r="AC1209" i="1"/>
  <c r="AK1209" i="1"/>
  <c r="P1210" i="1"/>
  <c r="R1210" i="1" s="1"/>
  <c r="S1210" i="1"/>
  <c r="T1210" i="1"/>
  <c r="AC1210" i="1"/>
  <c r="AK1210" i="1"/>
  <c r="P1211" i="1"/>
  <c r="R1211" i="1"/>
  <c r="S1211" i="1"/>
  <c r="T1211" i="1"/>
  <c r="AC1211" i="1"/>
  <c r="AK1211" i="1"/>
  <c r="P1213" i="1"/>
  <c r="R1213" i="1"/>
  <c r="S1213" i="1"/>
  <c r="T1213" i="1"/>
  <c r="AC1213" i="1"/>
  <c r="AK1213" i="1"/>
  <c r="P1216" i="1"/>
  <c r="R1216" i="1"/>
  <c r="S1216" i="1"/>
  <c r="T1216" i="1"/>
  <c r="AC1216" i="1"/>
  <c r="AK1216" i="1"/>
  <c r="P1217" i="1"/>
  <c r="R1217" i="1"/>
  <c r="S1217" i="1"/>
  <c r="T1217" i="1"/>
  <c r="AC1217" i="1"/>
  <c r="AK1217" i="1"/>
  <c r="P1219" i="1"/>
  <c r="R1219" i="1"/>
  <c r="S1219" i="1"/>
  <c r="T1219" i="1"/>
  <c r="AC1219" i="1"/>
  <c r="AK1219" i="1"/>
  <c r="P1221" i="1"/>
  <c r="R1221" i="1"/>
  <c r="S1221" i="1"/>
  <c r="T1221" i="1"/>
  <c r="AC1221" i="1"/>
  <c r="AK1221" i="1"/>
  <c r="P1222" i="1"/>
  <c r="R1222" i="1"/>
  <c r="S1222" i="1"/>
  <c r="T1222" i="1"/>
  <c r="AC1222" i="1"/>
  <c r="AK1222" i="1"/>
  <c r="P1223" i="1"/>
  <c r="R1223" i="1"/>
  <c r="S1223" i="1"/>
  <c r="T1223" i="1"/>
  <c r="AC1223" i="1"/>
  <c r="AK1223" i="1"/>
  <c r="P1224" i="1"/>
  <c r="R1224" i="1"/>
  <c r="S1224" i="1"/>
  <c r="T1224" i="1"/>
  <c r="AC1224" i="1"/>
  <c r="AK1224" i="1"/>
  <c r="P1225" i="1"/>
  <c r="R1225" i="1"/>
  <c r="S1225" i="1"/>
  <c r="T1225" i="1"/>
  <c r="AC1225" i="1"/>
  <c r="AK1225" i="1"/>
  <c r="P1226" i="1"/>
  <c r="R1226" i="1"/>
  <c r="S1226" i="1"/>
  <c r="T1226" i="1"/>
  <c r="AC1226" i="1"/>
  <c r="AK1226" i="1"/>
  <c r="P1227" i="1"/>
  <c r="R1227" i="1"/>
  <c r="S1227" i="1"/>
  <c r="T1227" i="1"/>
  <c r="AC1227" i="1"/>
  <c r="AK1227" i="1"/>
  <c r="P1228" i="1"/>
  <c r="R1228" i="1"/>
  <c r="S1228" i="1"/>
  <c r="T1228" i="1"/>
  <c r="AC1228" i="1"/>
  <c r="AK1228" i="1"/>
  <c r="P1230" i="1"/>
  <c r="R1230" i="1" s="1"/>
  <c r="S1230" i="1"/>
  <c r="T1230" i="1"/>
  <c r="AC1230" i="1"/>
  <c r="AK1230" i="1"/>
  <c r="P1231" i="1"/>
  <c r="R1231" i="1"/>
  <c r="S1231" i="1"/>
  <c r="T1231" i="1"/>
  <c r="AC1231" i="1"/>
  <c r="AK1231" i="1"/>
  <c r="P1232" i="1"/>
  <c r="R1232" i="1" s="1"/>
  <c r="S1232" i="1"/>
  <c r="T1232" i="1"/>
  <c r="AC1232" i="1"/>
  <c r="AK1232" i="1"/>
  <c r="P1234" i="1"/>
  <c r="R1234" i="1"/>
  <c r="S1234" i="1"/>
  <c r="T1234" i="1"/>
  <c r="AC1234" i="1"/>
  <c r="AK1234" i="1"/>
  <c r="P1235" i="1"/>
  <c r="R1235" i="1"/>
  <c r="S1235" i="1"/>
  <c r="T1235" i="1"/>
  <c r="AC1235" i="1"/>
  <c r="AK1235" i="1"/>
  <c r="P1236" i="1"/>
  <c r="R1236" i="1"/>
  <c r="S1236" i="1"/>
  <c r="T1236" i="1"/>
  <c r="AC1236" i="1"/>
  <c r="AK1236" i="1"/>
  <c r="P1238" i="1"/>
  <c r="R1238" i="1"/>
  <c r="S1238" i="1"/>
  <c r="T1238" i="1"/>
  <c r="AC1238" i="1"/>
  <c r="AK1238" i="1"/>
  <c r="P1240" i="1"/>
  <c r="R1240" i="1"/>
  <c r="S1240" i="1"/>
  <c r="T1240" i="1"/>
  <c r="AC1240" i="1"/>
  <c r="AK1240" i="1"/>
  <c r="P1241" i="1"/>
  <c r="R1241" i="1"/>
  <c r="S1241" i="1"/>
  <c r="T1241" i="1"/>
  <c r="AC1241" i="1"/>
  <c r="AK1241" i="1"/>
  <c r="P1242" i="1"/>
  <c r="R1242" i="1"/>
  <c r="S1242" i="1"/>
  <c r="T1242" i="1"/>
  <c r="AC1242" i="1"/>
  <c r="AK1242" i="1"/>
  <c r="P1243" i="1"/>
  <c r="R1243" i="1"/>
  <c r="S1243" i="1"/>
  <c r="T1243" i="1"/>
  <c r="AC1243" i="1"/>
  <c r="AK1243" i="1"/>
  <c r="P1244" i="1"/>
  <c r="R1244" i="1"/>
  <c r="S1244" i="1"/>
  <c r="T1244" i="1"/>
  <c r="AC1244" i="1"/>
  <c r="AK1244" i="1"/>
  <c r="P1245" i="1"/>
  <c r="R1245" i="1"/>
  <c r="S1245" i="1"/>
  <c r="T1245" i="1"/>
  <c r="AC1245" i="1"/>
  <c r="AK1245" i="1"/>
  <c r="P1246" i="1"/>
  <c r="R1246" i="1"/>
  <c r="S1246" i="1"/>
  <c r="T1246" i="1"/>
  <c r="AC1246" i="1"/>
  <c r="AK1246" i="1"/>
  <c r="P1248" i="1"/>
  <c r="R1248" i="1"/>
  <c r="S1248" i="1"/>
  <c r="T1248" i="1"/>
  <c r="AC1248" i="1"/>
  <c r="AK1248" i="1"/>
  <c r="P1249" i="1"/>
  <c r="R1249" i="1"/>
  <c r="S1249" i="1"/>
  <c r="T1249" i="1"/>
  <c r="AC1249" i="1"/>
  <c r="AK1249" i="1"/>
  <c r="P1250" i="1"/>
  <c r="R1250" i="1"/>
  <c r="S1250" i="1"/>
  <c r="T1250" i="1"/>
  <c r="AC1250" i="1"/>
  <c r="AK1250" i="1"/>
  <c r="P1251" i="1"/>
  <c r="R1251" i="1"/>
  <c r="S1251" i="1"/>
  <c r="T1251" i="1"/>
  <c r="AC1251" i="1"/>
  <c r="AK1251" i="1"/>
  <c r="P1252" i="1"/>
  <c r="R1252" i="1"/>
  <c r="S1252" i="1"/>
  <c r="T1252" i="1"/>
  <c r="AC1252" i="1"/>
  <c r="AK1252" i="1"/>
  <c r="P1253" i="1"/>
  <c r="R1253" i="1"/>
  <c r="S1253" i="1"/>
  <c r="T1253" i="1"/>
  <c r="AC1253" i="1"/>
  <c r="AK1253" i="1"/>
  <c r="P1254" i="1"/>
  <c r="R1254" i="1"/>
  <c r="S1254" i="1"/>
  <c r="T1254" i="1"/>
  <c r="AC1254" i="1"/>
  <c r="AK1254" i="1"/>
  <c r="P1255" i="1"/>
  <c r="R1255" i="1"/>
  <c r="S1255" i="1"/>
  <c r="T1255" i="1"/>
  <c r="AC1255" i="1"/>
  <c r="AK1255" i="1"/>
  <c r="P1257" i="1"/>
  <c r="R1257" i="1" s="1"/>
  <c r="AC1257" i="1"/>
  <c r="AK1257" i="1"/>
  <c r="P1258" i="1"/>
  <c r="R1258" i="1" s="1"/>
  <c r="AC1258" i="1"/>
  <c r="AK1258" i="1"/>
  <c r="P1260" i="1"/>
  <c r="R1260" i="1" s="1"/>
  <c r="S1260" i="1"/>
  <c r="T1260" i="1"/>
  <c r="AC1260" i="1"/>
  <c r="AK1260" i="1"/>
  <c r="P1262" i="1"/>
  <c r="R1262" i="1"/>
  <c r="S1262" i="1"/>
  <c r="T1262" i="1"/>
  <c r="AC1262" i="1"/>
  <c r="AK1262" i="1"/>
  <c r="P1263" i="1"/>
  <c r="R1263" i="1" s="1"/>
  <c r="S1263" i="1"/>
  <c r="T1263" i="1"/>
  <c r="AC1263" i="1"/>
  <c r="AK1263" i="1"/>
  <c r="P1265" i="1"/>
  <c r="R1265" i="1"/>
  <c r="S1265" i="1"/>
  <c r="T1265" i="1"/>
  <c r="AC1265" i="1"/>
  <c r="AK1265" i="1"/>
  <c r="P1267" i="1"/>
  <c r="R1267" i="1" s="1"/>
  <c r="S1267" i="1"/>
  <c r="T1267" i="1"/>
  <c r="AC1267" i="1"/>
  <c r="AK1267" i="1"/>
  <c r="P1268" i="1"/>
  <c r="R1268" i="1"/>
  <c r="S1268" i="1"/>
  <c r="T1268" i="1"/>
  <c r="AC1268" i="1"/>
  <c r="AK1268" i="1"/>
  <c r="P1270" i="1"/>
  <c r="R1270" i="1"/>
  <c r="S1270" i="1"/>
  <c r="T1270" i="1"/>
  <c r="AC1270" i="1"/>
  <c r="AK1270" i="1"/>
  <c r="P1271" i="1"/>
  <c r="R1271" i="1" s="1"/>
  <c r="S1271" i="1"/>
  <c r="T1271" i="1"/>
  <c r="AC1271" i="1"/>
  <c r="AK1271" i="1"/>
  <c r="P1272" i="1"/>
  <c r="R1272" i="1" s="1"/>
  <c r="S1272" i="1"/>
  <c r="T1272" i="1"/>
  <c r="AC1272" i="1"/>
  <c r="AK1272" i="1"/>
  <c r="P1274" i="1"/>
  <c r="R1274" i="1" s="1"/>
  <c r="S1274" i="1"/>
  <c r="T1274" i="1"/>
  <c r="AC1274" i="1"/>
  <c r="AK1274" i="1"/>
  <c r="P1275" i="1"/>
  <c r="R1275" i="1"/>
  <c r="S1275" i="1"/>
  <c r="T1275" i="1"/>
  <c r="AC1275" i="1"/>
  <c r="AK1275" i="1"/>
  <c r="P1276" i="1"/>
  <c r="R1276" i="1" s="1"/>
  <c r="S1276" i="1"/>
  <c r="T1276" i="1"/>
  <c r="AC1276" i="1"/>
  <c r="AK1276" i="1"/>
  <c r="P1277" i="1"/>
  <c r="R1277" i="1"/>
  <c r="S1277" i="1"/>
  <c r="T1277" i="1"/>
  <c r="AC1277" i="1"/>
  <c r="AK1277" i="1"/>
  <c r="P1279" i="1"/>
  <c r="R1279" i="1" s="1"/>
  <c r="S1279" i="1"/>
  <c r="T1279" i="1"/>
  <c r="AC1279" i="1"/>
  <c r="AK1279" i="1"/>
  <c r="P1280" i="1"/>
  <c r="R1280" i="1"/>
  <c r="S1280" i="1"/>
  <c r="T1280" i="1"/>
  <c r="AC1280" i="1"/>
  <c r="AK1280" i="1"/>
  <c r="P1281" i="1"/>
  <c r="R1281" i="1" s="1"/>
  <c r="S1281" i="1"/>
  <c r="T1281" i="1"/>
  <c r="AC1281" i="1"/>
  <c r="AK1281" i="1"/>
  <c r="P1282" i="1"/>
  <c r="R1282" i="1" s="1"/>
  <c r="S1282" i="1"/>
  <c r="T1282" i="1"/>
  <c r="AC1282" i="1"/>
  <c r="AK1282" i="1"/>
  <c r="P1284" i="1"/>
  <c r="R1284" i="1" s="1"/>
  <c r="S1284" i="1"/>
  <c r="T1284" i="1"/>
  <c r="AC1284" i="1"/>
  <c r="AK1284" i="1"/>
  <c r="P1286" i="1"/>
  <c r="R1286" i="1"/>
  <c r="S1286" i="1"/>
  <c r="T1286" i="1"/>
  <c r="AC1286" i="1"/>
  <c r="AK1286" i="1"/>
  <c r="P1287" i="1"/>
  <c r="R1287" i="1" s="1"/>
  <c r="S1287" i="1"/>
  <c r="T1287" i="1"/>
  <c r="AC1287" i="1"/>
  <c r="AK1287" i="1"/>
  <c r="P1289" i="1"/>
  <c r="R1289" i="1" s="1"/>
  <c r="S1289" i="1"/>
  <c r="T1289" i="1"/>
  <c r="AC1289" i="1"/>
  <c r="AK1289" i="1"/>
  <c r="P1290" i="1"/>
  <c r="R1290" i="1" s="1"/>
  <c r="S1290" i="1"/>
  <c r="T1290" i="1"/>
  <c r="AC1290" i="1"/>
  <c r="AK1290" i="1"/>
  <c r="P1291" i="1"/>
  <c r="R1291" i="1"/>
  <c r="AC1291" i="1"/>
  <c r="AK1291" i="1"/>
  <c r="P1292" i="1"/>
  <c r="R1292" i="1"/>
  <c r="AC1292" i="1"/>
  <c r="AK1292" i="1"/>
  <c r="P1293" i="1"/>
  <c r="R1293" i="1"/>
  <c r="S1293" i="1"/>
  <c r="T1293" i="1"/>
  <c r="AC1293" i="1"/>
  <c r="AK1293" i="1"/>
  <c r="P1295" i="1"/>
  <c r="R1295" i="1"/>
  <c r="S1295" i="1"/>
  <c r="T1295" i="1"/>
  <c r="AC1295" i="1"/>
  <c r="AK1295" i="1"/>
  <c r="P1296" i="1"/>
  <c r="R1296" i="1"/>
  <c r="S1296" i="1"/>
  <c r="T1296" i="1"/>
  <c r="AC1296" i="1"/>
  <c r="AK1296" i="1"/>
  <c r="P1298" i="1"/>
  <c r="R1298" i="1"/>
  <c r="S1298" i="1"/>
  <c r="T1298" i="1"/>
  <c r="AC1298" i="1"/>
  <c r="AK1298" i="1"/>
  <c r="P1299" i="1"/>
  <c r="R1299" i="1"/>
  <c r="S1299" i="1"/>
  <c r="T1299" i="1"/>
  <c r="AC1299" i="1"/>
  <c r="AK1299" i="1"/>
  <c r="P1300" i="1"/>
  <c r="R1300" i="1"/>
  <c r="S1300" i="1"/>
  <c r="T1300" i="1"/>
  <c r="AC1300" i="1"/>
  <c r="AK1300" i="1"/>
  <c r="P1301" i="1"/>
  <c r="R1301" i="1"/>
  <c r="S1301" i="1"/>
  <c r="T1301" i="1"/>
  <c r="AC1301" i="1"/>
  <c r="AK1301" i="1"/>
  <c r="P1303" i="1"/>
  <c r="R1303" i="1"/>
  <c r="S1303" i="1"/>
  <c r="T1303" i="1"/>
  <c r="AC1303" i="1"/>
  <c r="AK1303" i="1"/>
  <c r="P1305" i="1"/>
  <c r="R1305" i="1"/>
  <c r="S1305" i="1"/>
  <c r="T1305" i="1"/>
  <c r="AC1305" i="1"/>
  <c r="AK1305" i="1"/>
  <c r="P1306" i="1"/>
  <c r="R1306" i="1"/>
  <c r="S1306" i="1"/>
  <c r="T1306" i="1"/>
  <c r="AC1306" i="1"/>
  <c r="AK1306" i="1"/>
  <c r="P1307" i="1"/>
  <c r="R1307" i="1"/>
  <c r="S1307" i="1"/>
  <c r="T1307" i="1"/>
  <c r="AC1307" i="1"/>
  <c r="AK1307" i="1"/>
  <c r="P1308" i="1"/>
  <c r="R1308" i="1"/>
  <c r="S1308" i="1"/>
  <c r="T1308" i="1"/>
  <c r="AC1308" i="1"/>
  <c r="AK1308" i="1"/>
  <c r="P1309" i="1"/>
  <c r="R1309" i="1"/>
  <c r="S1309" i="1"/>
  <c r="T1309" i="1"/>
  <c r="AC1309" i="1"/>
  <c r="AK1309" i="1"/>
  <c r="P1310" i="1"/>
  <c r="R1310" i="1"/>
  <c r="S1310" i="1"/>
  <c r="T1310" i="1"/>
  <c r="AC1310" i="1"/>
  <c r="AK1310" i="1"/>
  <c r="P1312" i="1"/>
  <c r="R1312" i="1"/>
  <c r="S1312" i="1"/>
  <c r="T1312" i="1"/>
  <c r="AC1312" i="1"/>
  <c r="AK1312" i="1"/>
  <c r="P1313" i="1"/>
  <c r="R1313" i="1"/>
  <c r="S1313" i="1"/>
  <c r="T1313" i="1"/>
  <c r="AC1313" i="1"/>
  <c r="AK1313" i="1"/>
  <c r="P1316" i="1"/>
  <c r="R1316" i="1"/>
  <c r="S1316" i="1"/>
  <c r="T1316" i="1"/>
  <c r="AC1316" i="1"/>
  <c r="AK1316" i="1"/>
  <c r="P1318" i="1"/>
  <c r="R1318" i="1"/>
  <c r="S1318" i="1"/>
  <c r="T1318" i="1"/>
  <c r="AC1318" i="1"/>
  <c r="AK1318" i="1"/>
  <c r="P1319" i="1"/>
  <c r="R1319" i="1"/>
  <c r="S1319" i="1"/>
  <c r="T1319" i="1"/>
  <c r="AC1319" i="1"/>
  <c r="AK1319" i="1"/>
  <c r="P1320" i="1"/>
  <c r="R1320" i="1"/>
  <c r="S1320" i="1"/>
  <c r="T1320" i="1"/>
  <c r="AC1320" i="1"/>
  <c r="AK1320" i="1"/>
  <c r="P1322" i="1"/>
  <c r="R1322" i="1"/>
  <c r="S1322" i="1"/>
  <c r="T1322" i="1"/>
  <c r="AC1322" i="1"/>
  <c r="AK1322" i="1"/>
  <c r="P1323" i="1"/>
  <c r="R1323" i="1"/>
  <c r="S1323" i="1"/>
  <c r="T1323" i="1"/>
  <c r="AC1323" i="1"/>
  <c r="AK1323" i="1"/>
  <c r="P1325" i="1"/>
  <c r="R1325" i="1"/>
  <c r="S1325" i="1"/>
  <c r="T1325" i="1"/>
  <c r="AC1325" i="1"/>
  <c r="AK1325" i="1"/>
  <c r="P1326" i="1"/>
  <c r="R1326" i="1"/>
  <c r="S1326" i="1"/>
  <c r="T1326" i="1"/>
  <c r="AC1326" i="1"/>
  <c r="AK1326" i="1"/>
  <c r="P1327" i="1"/>
  <c r="R1327" i="1"/>
  <c r="S1327" i="1"/>
  <c r="T1327" i="1"/>
  <c r="AC1327" i="1"/>
  <c r="AK1327" i="1"/>
  <c r="P1328" i="1"/>
  <c r="R1328" i="1"/>
  <c r="S1328" i="1"/>
  <c r="T1328" i="1"/>
  <c r="AC1328" i="1"/>
  <c r="AK1328" i="1"/>
  <c r="P1330" i="1"/>
  <c r="R1330" i="1" s="1"/>
  <c r="S1330" i="1"/>
  <c r="T1330" i="1"/>
  <c r="AC1330" i="1"/>
  <c r="AK1330" i="1"/>
  <c r="P1331" i="1"/>
  <c r="R1331" i="1"/>
  <c r="S1331" i="1"/>
  <c r="T1331" i="1"/>
  <c r="AC1331" i="1"/>
  <c r="AK1331" i="1"/>
  <c r="P1332" i="1"/>
  <c r="R1332" i="1" s="1"/>
  <c r="S1332" i="1"/>
  <c r="T1332" i="1"/>
  <c r="AC1332" i="1"/>
  <c r="AK1332" i="1"/>
  <c r="P1333" i="1"/>
  <c r="R1333" i="1"/>
  <c r="S1333" i="1"/>
  <c r="T1333" i="1"/>
  <c r="AC1333" i="1"/>
  <c r="AK1333" i="1"/>
  <c r="P1334" i="1"/>
  <c r="R1334" i="1" s="1"/>
  <c r="S1334" i="1"/>
  <c r="T1334" i="1"/>
  <c r="AC1334" i="1"/>
  <c r="AK1334" i="1"/>
  <c r="P1335" i="1"/>
  <c r="R1335" i="1"/>
  <c r="S1335" i="1"/>
  <c r="T1335" i="1"/>
  <c r="AC1335" i="1"/>
  <c r="AK1335" i="1"/>
  <c r="P1337" i="1"/>
  <c r="R1337" i="1" s="1"/>
  <c r="S1337" i="1"/>
  <c r="T1337" i="1"/>
  <c r="AC1337" i="1"/>
  <c r="AK1337" i="1"/>
  <c r="P1338" i="1"/>
  <c r="R1338" i="1"/>
  <c r="S1338" i="1"/>
  <c r="T1338" i="1"/>
  <c r="AC1338" i="1"/>
  <c r="AK1338" i="1"/>
  <c r="P1340" i="1"/>
  <c r="R1340" i="1"/>
  <c r="AC1340" i="1"/>
  <c r="AK1340" i="1"/>
  <c r="P1342" i="1"/>
  <c r="R1342" i="1"/>
  <c r="S1342" i="1"/>
  <c r="T1342" i="1"/>
  <c r="AC1342" i="1"/>
  <c r="AK1342" i="1"/>
  <c r="P1344" i="1"/>
  <c r="R1344" i="1"/>
  <c r="S1344" i="1"/>
  <c r="T1344" i="1"/>
  <c r="AC1344" i="1"/>
  <c r="AK1344" i="1"/>
  <c r="P1345" i="1"/>
  <c r="R1345" i="1"/>
  <c r="S1345" i="1"/>
  <c r="T1345" i="1"/>
  <c r="AC1345" i="1"/>
  <c r="AK1345" i="1"/>
  <c r="P1346" i="1"/>
  <c r="R1346" i="1"/>
  <c r="S1346" i="1"/>
  <c r="T1346" i="1"/>
  <c r="AC1346" i="1"/>
  <c r="AK1346" i="1"/>
  <c r="P1347" i="1"/>
  <c r="R1347" i="1"/>
  <c r="S1347" i="1"/>
  <c r="T1347" i="1"/>
  <c r="AC1347" i="1"/>
  <c r="AK1347" i="1"/>
  <c r="P1349" i="1"/>
  <c r="R1349" i="1"/>
  <c r="S1349" i="1"/>
  <c r="T1349" i="1"/>
  <c r="AC1349" i="1"/>
  <c r="AK1349" i="1"/>
  <c r="P1351" i="1"/>
  <c r="R1351" i="1"/>
  <c r="S1351" i="1"/>
  <c r="T1351" i="1"/>
  <c r="AC1351" i="1"/>
  <c r="AK1351" i="1"/>
  <c r="P1352" i="1"/>
  <c r="R1352" i="1"/>
  <c r="S1352" i="1"/>
  <c r="T1352" i="1"/>
  <c r="AC1352" i="1"/>
  <c r="AK1352" i="1"/>
  <c r="P1353" i="1"/>
  <c r="R1353" i="1"/>
  <c r="S1353" i="1"/>
  <c r="T1353" i="1"/>
  <c r="AC1353" i="1"/>
  <c r="AK1353" i="1"/>
  <c r="P1354" i="1"/>
  <c r="R1354" i="1"/>
  <c r="S1354" i="1"/>
  <c r="T1354" i="1"/>
  <c r="AC1354" i="1"/>
  <c r="AK1354" i="1"/>
  <c r="P1356" i="1"/>
  <c r="R1356" i="1"/>
  <c r="S1356" i="1"/>
  <c r="T1356" i="1"/>
  <c r="AC1356" i="1"/>
  <c r="AK1356" i="1"/>
  <c r="P1357" i="1"/>
  <c r="R1357" i="1" s="1"/>
  <c r="S1357" i="1"/>
  <c r="T1357" i="1"/>
  <c r="AC1357" i="1"/>
  <c r="AK1357" i="1"/>
  <c r="P1358" i="1"/>
  <c r="R1358" i="1" s="1"/>
  <c r="S1358" i="1"/>
  <c r="T1358" i="1"/>
  <c r="AC1358" i="1"/>
  <c r="AK1358" i="1"/>
  <c r="P1359" i="1"/>
  <c r="R1359" i="1" s="1"/>
  <c r="S1359" i="1"/>
  <c r="T1359" i="1"/>
  <c r="AC1359" i="1"/>
  <c r="AK1359" i="1"/>
  <c r="P1361" i="1"/>
  <c r="R1361" i="1"/>
  <c r="S1361" i="1"/>
  <c r="T1361" i="1"/>
  <c r="AC1361" i="1"/>
  <c r="AK1361" i="1"/>
  <c r="P1362" i="1"/>
  <c r="R1362" i="1" s="1"/>
  <c r="S1362" i="1"/>
  <c r="T1362" i="1"/>
  <c r="AC1362" i="1"/>
  <c r="AK1362" i="1"/>
  <c r="P1363" i="1"/>
  <c r="R1363" i="1" s="1"/>
  <c r="S1363" i="1"/>
  <c r="T1363" i="1"/>
  <c r="AC1363" i="1"/>
  <c r="AK1363" i="1"/>
  <c r="P1364" i="1"/>
  <c r="R1364" i="1" s="1"/>
  <c r="S1364" i="1"/>
  <c r="T1364" i="1"/>
  <c r="AC1364" i="1"/>
  <c r="AK1364" i="1"/>
  <c r="P1366" i="1"/>
  <c r="R1366" i="1"/>
  <c r="AC1366" i="1"/>
  <c r="AK1366" i="1"/>
  <c r="P1368" i="1"/>
  <c r="R1368" i="1"/>
  <c r="S1368" i="1"/>
  <c r="T1368" i="1"/>
  <c r="AC1368" i="1"/>
  <c r="AK1368" i="1"/>
  <c r="P1370" i="1"/>
  <c r="R1370" i="1" s="1"/>
  <c r="S1370" i="1"/>
  <c r="T1370" i="1"/>
  <c r="AC1370" i="1"/>
  <c r="AK1370" i="1"/>
  <c r="P1372" i="1"/>
  <c r="R1372" i="1" s="1"/>
  <c r="S1372" i="1"/>
  <c r="T1372" i="1"/>
  <c r="AC1372" i="1"/>
  <c r="AK1372" i="1"/>
  <c r="P1374" i="1"/>
  <c r="R1374" i="1" s="1"/>
  <c r="S1374" i="1"/>
  <c r="T1374" i="1"/>
  <c r="AC1374" i="1"/>
  <c r="AK1374" i="1"/>
  <c r="P1376" i="1"/>
  <c r="R1376" i="1"/>
  <c r="S1376" i="1"/>
  <c r="T1376" i="1"/>
  <c r="AC1376" i="1"/>
  <c r="AK1376" i="1"/>
  <c r="P1377" i="1"/>
  <c r="R1377" i="1" s="1"/>
  <c r="S1377" i="1"/>
  <c r="T1377" i="1"/>
  <c r="AC1377" i="1"/>
  <c r="AK1377" i="1"/>
  <c r="P1378" i="1"/>
  <c r="R1378" i="1"/>
  <c r="S1378" i="1"/>
  <c r="T1378" i="1"/>
  <c r="AC1378" i="1"/>
  <c r="AK1378" i="1"/>
  <c r="P1380" i="1"/>
  <c r="R1380" i="1" s="1"/>
  <c r="S1380" i="1"/>
  <c r="T1380" i="1"/>
  <c r="AC1380" i="1"/>
  <c r="AK1380" i="1"/>
  <c r="P1381" i="1"/>
  <c r="R1381" i="1"/>
  <c r="S1381" i="1"/>
  <c r="T1381" i="1"/>
  <c r="AC1381" i="1"/>
  <c r="AK1381" i="1"/>
  <c r="P1383" i="1"/>
  <c r="R1383" i="1" s="1"/>
  <c r="S1383" i="1"/>
  <c r="T1383" i="1"/>
  <c r="AC1383" i="1"/>
  <c r="AK1383" i="1"/>
  <c r="P1384" i="1"/>
  <c r="R1384" i="1" s="1"/>
  <c r="S1384" i="1"/>
  <c r="T1384" i="1"/>
  <c r="AC1384" i="1"/>
  <c r="AK1384" i="1"/>
  <c r="P1385" i="1"/>
  <c r="R1385" i="1" s="1"/>
  <c r="S1385" i="1"/>
  <c r="T1385" i="1"/>
  <c r="AC1385" i="1"/>
  <c r="AK1385" i="1"/>
  <c r="P1386" i="1"/>
  <c r="R1386" i="1"/>
  <c r="S1386" i="1"/>
  <c r="T1386" i="1"/>
  <c r="AC1386" i="1"/>
  <c r="AK1386" i="1"/>
  <c r="P1387" i="1"/>
  <c r="R1387" i="1" s="1"/>
  <c r="S1387" i="1"/>
  <c r="T1387" i="1"/>
  <c r="AC1387" i="1"/>
  <c r="AK1387" i="1"/>
  <c r="P1388" i="1"/>
  <c r="R1388" i="1"/>
  <c r="S1388" i="1"/>
  <c r="T1388" i="1"/>
  <c r="AC1388" i="1"/>
  <c r="AK1388" i="1"/>
  <c r="P1389" i="1"/>
  <c r="R1389" i="1" s="1"/>
  <c r="S1389" i="1"/>
  <c r="T1389" i="1"/>
  <c r="AC1389" i="1"/>
  <c r="AK1389" i="1"/>
  <c r="P1390" i="1"/>
  <c r="R1390" i="1"/>
  <c r="S1390" i="1"/>
  <c r="T1390" i="1"/>
  <c r="AC1390" i="1"/>
  <c r="AK1390" i="1"/>
  <c r="P1391" i="1"/>
  <c r="R1391" i="1" s="1"/>
  <c r="S1391" i="1"/>
  <c r="T1391" i="1"/>
  <c r="AC1391" i="1"/>
  <c r="AK1391" i="1"/>
  <c r="P1392" i="1"/>
  <c r="R1392" i="1" s="1"/>
  <c r="S1392" i="1"/>
  <c r="T1392" i="1"/>
  <c r="AC1392" i="1"/>
  <c r="AK1392" i="1"/>
  <c r="P1393" i="1"/>
  <c r="R1393" i="1" s="1"/>
  <c r="S1393" i="1"/>
  <c r="T1393" i="1"/>
  <c r="AC1393" i="1"/>
  <c r="AK1393" i="1"/>
  <c r="P1394" i="1"/>
  <c r="R1394" i="1" s="1"/>
  <c r="S1394" i="1"/>
  <c r="T1394" i="1"/>
  <c r="AC1394" i="1"/>
  <c r="AK1394" i="1"/>
  <c r="P1396" i="1"/>
  <c r="R1396" i="1" s="1"/>
  <c r="S1396" i="1"/>
  <c r="T1396" i="1"/>
  <c r="AC1396" i="1"/>
  <c r="AK1396" i="1"/>
  <c r="P1397" i="1"/>
  <c r="R1397" i="1"/>
  <c r="S1397" i="1"/>
  <c r="T1397" i="1"/>
  <c r="AC1397" i="1"/>
  <c r="AK1397" i="1"/>
  <c r="P1399" i="1"/>
  <c r="R1399" i="1" s="1"/>
  <c r="AC1399" i="1"/>
  <c r="AK1399" i="1"/>
  <c r="P1401" i="1"/>
  <c r="R1401" i="1" s="1"/>
  <c r="S1401" i="1"/>
  <c r="T1401" i="1"/>
  <c r="AC1401" i="1"/>
  <c r="AK1401" i="1"/>
  <c r="P1402" i="1"/>
  <c r="R1402" i="1"/>
  <c r="S1402" i="1"/>
  <c r="T1402" i="1"/>
  <c r="AC1402" i="1"/>
  <c r="AK1402" i="1"/>
  <c r="P1403" i="1"/>
  <c r="R1403" i="1"/>
  <c r="S1403" i="1"/>
  <c r="T1403" i="1"/>
  <c r="AC1403" i="1"/>
  <c r="AK1403" i="1"/>
  <c r="P1404" i="1"/>
  <c r="R1404" i="1"/>
  <c r="S1404" i="1"/>
  <c r="T1404" i="1"/>
  <c r="AC1404" i="1"/>
  <c r="AK1404" i="1"/>
  <c r="P1405" i="1"/>
  <c r="R1405" i="1"/>
  <c r="S1405" i="1"/>
  <c r="T1405" i="1"/>
  <c r="AC1405" i="1"/>
  <c r="AK1405" i="1"/>
  <c r="P1406" i="1"/>
  <c r="R1406" i="1" s="1"/>
  <c r="S1406" i="1"/>
  <c r="T1406" i="1"/>
  <c r="AC1406" i="1"/>
  <c r="AK1406" i="1"/>
  <c r="P1407" i="1"/>
  <c r="R1407" i="1" s="1"/>
  <c r="S1407" i="1"/>
  <c r="T1407" i="1"/>
  <c r="AC1407" i="1"/>
  <c r="AK1407" i="1"/>
  <c r="P1408" i="1"/>
  <c r="R1408" i="1" s="1"/>
  <c r="S1408" i="1"/>
  <c r="T1408" i="1"/>
  <c r="AC1408" i="1"/>
  <c r="AK1408" i="1"/>
  <c r="P1409" i="1"/>
  <c r="R1409" i="1" s="1"/>
  <c r="S1409" i="1"/>
  <c r="T1409" i="1"/>
  <c r="AC1409" i="1"/>
  <c r="AK1409" i="1"/>
  <c r="P1410" i="1"/>
  <c r="R1410" i="1" s="1"/>
  <c r="S1410" i="1"/>
  <c r="T1410" i="1"/>
  <c r="AC1410" i="1"/>
  <c r="AK1410" i="1"/>
  <c r="P1411" i="1"/>
  <c r="R1411" i="1" s="1"/>
  <c r="S1411" i="1"/>
  <c r="T1411" i="1"/>
  <c r="AC1411" i="1"/>
  <c r="AK1411" i="1"/>
  <c r="P1413" i="1"/>
  <c r="R1413" i="1" s="1"/>
  <c r="S1413" i="1"/>
  <c r="T1413" i="1"/>
  <c r="AC1413" i="1"/>
  <c r="AK1413" i="1"/>
  <c r="P1414" i="1"/>
  <c r="R1414" i="1" s="1"/>
  <c r="S1414" i="1"/>
  <c r="T1414" i="1"/>
  <c r="AC1414" i="1"/>
  <c r="AK1414" i="1"/>
  <c r="P1415" i="1"/>
  <c r="R1415" i="1" s="1"/>
  <c r="S1415" i="1"/>
  <c r="T1415" i="1"/>
  <c r="AC1415" i="1"/>
  <c r="AK1415" i="1"/>
  <c r="P1416" i="1"/>
  <c r="R1416" i="1" s="1"/>
  <c r="S1416" i="1"/>
  <c r="T1416" i="1"/>
  <c r="AC1416" i="1"/>
  <c r="AK1416" i="1"/>
  <c r="P1418" i="1"/>
  <c r="R1418" i="1" s="1"/>
  <c r="S1418" i="1"/>
  <c r="T1418" i="1"/>
  <c r="AC1418" i="1"/>
  <c r="AK1418" i="1"/>
  <c r="P1419" i="1"/>
  <c r="R1419" i="1" s="1"/>
  <c r="S1419" i="1"/>
  <c r="T1419" i="1"/>
  <c r="AC1419" i="1"/>
  <c r="AK1419" i="1"/>
  <c r="P1421" i="1"/>
  <c r="R1421" i="1" s="1"/>
  <c r="S1421" i="1"/>
  <c r="T1421" i="1"/>
  <c r="AC1421" i="1"/>
  <c r="AK1421" i="1"/>
  <c r="P1422" i="1"/>
  <c r="R1422" i="1" s="1"/>
  <c r="S1422" i="1"/>
  <c r="T1422" i="1"/>
  <c r="AC1422" i="1"/>
  <c r="AK1422" i="1"/>
  <c r="P1424" i="1"/>
  <c r="R1424" i="1" s="1"/>
  <c r="S1424" i="1"/>
  <c r="T1424" i="1"/>
  <c r="AC1424" i="1"/>
  <c r="AK1424" i="1"/>
  <c r="P1425" i="1"/>
  <c r="R1425" i="1" s="1"/>
  <c r="S1425" i="1"/>
  <c r="T1425" i="1"/>
  <c r="AC1425" i="1"/>
  <c r="AK1425" i="1"/>
  <c r="P1426" i="1"/>
  <c r="R1426" i="1" s="1"/>
  <c r="S1426" i="1"/>
  <c r="T1426" i="1"/>
  <c r="AC1426" i="1"/>
  <c r="AK1426" i="1"/>
  <c r="P1427" i="1"/>
  <c r="R1427" i="1" s="1"/>
  <c r="S1427" i="1"/>
  <c r="T1427" i="1"/>
  <c r="AC1427" i="1"/>
  <c r="AK1427" i="1"/>
  <c r="P1429" i="1"/>
  <c r="R1429" i="1" s="1"/>
  <c r="S1429" i="1"/>
  <c r="AC1429" i="1"/>
  <c r="AK1429" i="1"/>
  <c r="P1430" i="1"/>
  <c r="R1430" i="1"/>
  <c r="S1430" i="1"/>
  <c r="AC1430" i="1"/>
  <c r="AK1430" i="1"/>
  <c r="P1432" i="1"/>
  <c r="R1432" i="1" s="1"/>
  <c r="S1432" i="1"/>
  <c r="T1432" i="1"/>
  <c r="AC1432" i="1"/>
  <c r="AK1432" i="1"/>
  <c r="P1433" i="1"/>
  <c r="R1433" i="1" s="1"/>
  <c r="S1433" i="1"/>
  <c r="T1433" i="1"/>
  <c r="AC1433" i="1"/>
  <c r="AK1433" i="1"/>
  <c r="P1435" i="1"/>
  <c r="R1435" i="1" s="1"/>
  <c r="S1435" i="1"/>
  <c r="T1435" i="1"/>
  <c r="AC1435" i="1"/>
  <c r="AK1435" i="1"/>
  <c r="P1436" i="1"/>
  <c r="R1436" i="1" s="1"/>
  <c r="S1436" i="1"/>
  <c r="T1436" i="1"/>
  <c r="AC1436" i="1"/>
  <c r="AK1436" i="1"/>
  <c r="P1438" i="1"/>
  <c r="R1438" i="1" s="1"/>
  <c r="S1438" i="1"/>
  <c r="T1438" i="1"/>
  <c r="AC1438" i="1"/>
  <c r="AK1438" i="1"/>
  <c r="P1440" i="1"/>
  <c r="R1440" i="1" s="1"/>
  <c r="AC1440" i="1"/>
  <c r="AK1440" i="1"/>
  <c r="P1441" i="1"/>
  <c r="R1441" i="1" s="1"/>
  <c r="S1441" i="1"/>
  <c r="T1441" i="1"/>
  <c r="AC1441" i="1"/>
  <c r="AK1441" i="1"/>
  <c r="P1442" i="1"/>
  <c r="R1442" i="1" s="1"/>
  <c r="S1442" i="1"/>
  <c r="T1442" i="1"/>
  <c r="AC1442" i="1"/>
  <c r="AK1442" i="1"/>
  <c r="P1443" i="1"/>
  <c r="R1443" i="1" s="1"/>
  <c r="S1443" i="1"/>
  <c r="T1443" i="1"/>
  <c r="AC1443" i="1"/>
  <c r="AK1443" i="1"/>
  <c r="P1445" i="1"/>
  <c r="R1445" i="1" s="1"/>
  <c r="S1445" i="1"/>
  <c r="T1445" i="1"/>
  <c r="AC1445" i="1"/>
  <c r="AK1445" i="1"/>
  <c r="P1446" i="1"/>
  <c r="R1446" i="1" s="1"/>
  <c r="S1446" i="1"/>
  <c r="T1446" i="1"/>
  <c r="AC1446" i="1"/>
  <c r="AK1446" i="1"/>
  <c r="P1447" i="1"/>
  <c r="R1447" i="1" s="1"/>
  <c r="S1447" i="1"/>
  <c r="T1447" i="1"/>
  <c r="AC1447" i="1"/>
  <c r="AK1447" i="1"/>
  <c r="P1448" i="1"/>
  <c r="R1448" i="1" s="1"/>
  <c r="S1448" i="1"/>
  <c r="T1448" i="1"/>
  <c r="AC1448" i="1"/>
  <c r="AK1448" i="1"/>
  <c r="P1450" i="1"/>
  <c r="R1450" i="1"/>
  <c r="S1450" i="1"/>
  <c r="T1450" i="1"/>
  <c r="AC1450" i="1"/>
  <c r="AK1450" i="1"/>
  <c r="P1451" i="1"/>
  <c r="R1451" i="1" s="1"/>
  <c r="S1451" i="1"/>
  <c r="T1451" i="1"/>
  <c r="AC1451" i="1"/>
  <c r="AK1451" i="1"/>
  <c r="P1453" i="1"/>
  <c r="R1453" i="1"/>
  <c r="S1453" i="1"/>
  <c r="T1453" i="1"/>
  <c r="AC1453" i="1"/>
  <c r="AK1453" i="1"/>
  <c r="P1454" i="1"/>
  <c r="R1454" i="1" s="1"/>
  <c r="S1454" i="1"/>
  <c r="T1454" i="1"/>
  <c r="AC1454" i="1"/>
  <c r="AK1454" i="1"/>
  <c r="P1455" i="1"/>
  <c r="R1455" i="1"/>
  <c r="S1455" i="1"/>
  <c r="T1455" i="1"/>
  <c r="AC1455" i="1"/>
  <c r="AK1455" i="1"/>
  <c r="P1457" i="1"/>
  <c r="R1457" i="1" s="1"/>
  <c r="S1457" i="1"/>
  <c r="T1457" i="1"/>
  <c r="AC1457" i="1"/>
  <c r="AK1457" i="1"/>
  <c r="P1459" i="1"/>
  <c r="R1459" i="1" s="1"/>
  <c r="S1459" i="1"/>
  <c r="T1459" i="1"/>
  <c r="AC1459" i="1"/>
  <c r="AK1459" i="1"/>
  <c r="P1460" i="1"/>
  <c r="R1460" i="1" s="1"/>
  <c r="S1460" i="1"/>
  <c r="T1460" i="1"/>
  <c r="AC1460" i="1"/>
  <c r="AK1460" i="1"/>
  <c r="P1464" i="1"/>
  <c r="R1464" i="1"/>
  <c r="S1464" i="1"/>
  <c r="T1464" i="1"/>
  <c r="AC1464" i="1"/>
  <c r="AK1464" i="1"/>
  <c r="P1465" i="1"/>
  <c r="R1465" i="1" s="1"/>
  <c r="S1465" i="1"/>
  <c r="T1465" i="1"/>
  <c r="AC1465" i="1"/>
  <c r="AK1465" i="1"/>
  <c r="P1467" i="1"/>
  <c r="R1467" i="1"/>
  <c r="S1467" i="1"/>
  <c r="T1467" i="1"/>
  <c r="AC1467" i="1"/>
  <c r="AK1467" i="1"/>
  <c r="P1469" i="1"/>
  <c r="R1469" i="1" s="1"/>
  <c r="S1469" i="1"/>
  <c r="T1469" i="1"/>
  <c r="AC1469" i="1"/>
  <c r="AK1469" i="1"/>
  <c r="P1470" i="1"/>
  <c r="R1470" i="1"/>
  <c r="S1470" i="1"/>
  <c r="T1470" i="1"/>
  <c r="AC1470" i="1"/>
  <c r="AK1470" i="1"/>
  <c r="P1471" i="1"/>
  <c r="R1471" i="1" s="1"/>
  <c r="S1471" i="1"/>
  <c r="T1471" i="1"/>
  <c r="AC1471" i="1"/>
  <c r="AK1471" i="1"/>
  <c r="P1472" i="1"/>
  <c r="R1472" i="1" s="1"/>
  <c r="S1472" i="1"/>
  <c r="T1472" i="1"/>
  <c r="AC1472" i="1"/>
  <c r="AK1472" i="1"/>
  <c r="P1473" i="1"/>
  <c r="R1473" i="1"/>
  <c r="S1473" i="1"/>
  <c r="T1473" i="1"/>
  <c r="AC1473" i="1"/>
  <c r="AK1473" i="1"/>
  <c r="P1474" i="1"/>
  <c r="R1474" i="1" s="1"/>
  <c r="S1474" i="1"/>
  <c r="T1474" i="1"/>
  <c r="AC1474" i="1"/>
  <c r="AK1474" i="1"/>
  <c r="P1475" i="1"/>
  <c r="R1475" i="1"/>
  <c r="S1475" i="1"/>
  <c r="T1475" i="1"/>
  <c r="AC1475" i="1"/>
  <c r="AK1475" i="1"/>
  <c r="P1476" i="1"/>
  <c r="R1476" i="1" s="1"/>
  <c r="S1476" i="1"/>
  <c r="T1476" i="1"/>
  <c r="AC1476" i="1"/>
  <c r="AK1476" i="1"/>
  <c r="P1478" i="1"/>
  <c r="R1478" i="1"/>
  <c r="S1478" i="1"/>
  <c r="T1478" i="1"/>
  <c r="AC1478" i="1"/>
  <c r="AK1478" i="1"/>
  <c r="P1479" i="1"/>
  <c r="R1479" i="1" s="1"/>
  <c r="S1479" i="1"/>
  <c r="T1479" i="1"/>
  <c r="AC1479" i="1"/>
  <c r="AK1479" i="1"/>
  <c r="P1480" i="1"/>
  <c r="R1480" i="1"/>
  <c r="S1480" i="1"/>
  <c r="T1480" i="1"/>
  <c r="AC1480" i="1"/>
  <c r="AK1480" i="1"/>
  <c r="P1481" i="1"/>
  <c r="R1481" i="1" s="1"/>
  <c r="S1481" i="1"/>
  <c r="T1481" i="1"/>
  <c r="AC1481" i="1"/>
  <c r="AK1481" i="1"/>
  <c r="P1482" i="1"/>
  <c r="R1482" i="1"/>
  <c r="S1482" i="1"/>
  <c r="T1482" i="1"/>
  <c r="AC1482" i="1"/>
  <c r="AK1482" i="1"/>
  <c r="P1483" i="1"/>
  <c r="R1483" i="1" s="1"/>
  <c r="S1483" i="1"/>
  <c r="T1483" i="1"/>
  <c r="AC1483" i="1"/>
  <c r="AK1483" i="1"/>
  <c r="P1484" i="1"/>
  <c r="R1484" i="1"/>
  <c r="S1484" i="1"/>
  <c r="T1484" i="1"/>
  <c r="AC1484" i="1"/>
  <c r="AK1484" i="1"/>
  <c r="P1485" i="1"/>
  <c r="R1485" i="1" s="1"/>
  <c r="S1485" i="1"/>
  <c r="T1485" i="1"/>
  <c r="AC1485" i="1"/>
  <c r="AK1485" i="1"/>
  <c r="P1487" i="1"/>
  <c r="R1487" i="1"/>
  <c r="S1487" i="1"/>
  <c r="T1487" i="1"/>
  <c r="AC1487" i="1"/>
  <c r="AK1487" i="1"/>
  <c r="P1488" i="1"/>
  <c r="R1488" i="1" s="1"/>
  <c r="S1488" i="1"/>
  <c r="T1488" i="1"/>
  <c r="AC1488" i="1"/>
  <c r="AK1488" i="1"/>
  <c r="P1489" i="1"/>
  <c r="R1489" i="1" s="1"/>
  <c r="S1489" i="1"/>
  <c r="T1489" i="1"/>
  <c r="AC1489" i="1"/>
  <c r="AK1489" i="1"/>
  <c r="P1490" i="1"/>
  <c r="R1490" i="1" s="1"/>
  <c r="S1490" i="1"/>
  <c r="T1490" i="1"/>
  <c r="AC1490" i="1"/>
  <c r="AK1490" i="1"/>
  <c r="P1493" i="1"/>
  <c r="R1493" i="1"/>
  <c r="S1493" i="1"/>
  <c r="T1493" i="1"/>
  <c r="P1495" i="1"/>
  <c r="R1495" i="1"/>
  <c r="S1495" i="1"/>
  <c r="T1495" i="1"/>
  <c r="AC1495" i="1"/>
  <c r="AK1495" i="1"/>
  <c r="P1496" i="1"/>
  <c r="R1496" i="1" s="1"/>
  <c r="AC1496" i="1"/>
  <c r="AK1496" i="1"/>
  <c r="P1497" i="1"/>
  <c r="R1497" i="1" s="1"/>
  <c r="S1497" i="1"/>
  <c r="T1497" i="1"/>
  <c r="AC1497" i="1"/>
  <c r="AK1497" i="1"/>
  <c r="P1498" i="1"/>
  <c r="R1498" i="1" s="1"/>
  <c r="S1498" i="1"/>
  <c r="T1498" i="1"/>
  <c r="AC1498" i="1"/>
  <c r="AK1498" i="1"/>
  <c r="P1499" i="1"/>
  <c r="R1499" i="1" s="1"/>
  <c r="S1499" i="1"/>
  <c r="T1499" i="1"/>
  <c r="AC1499" i="1"/>
  <c r="AK1499" i="1"/>
  <c r="P1500" i="1"/>
  <c r="R1500" i="1"/>
  <c r="S1500" i="1"/>
  <c r="T1500" i="1"/>
  <c r="AC1500" i="1"/>
  <c r="AK1500" i="1"/>
  <c r="P1501" i="1"/>
  <c r="R1501" i="1"/>
  <c r="S1501" i="1"/>
  <c r="T1501" i="1"/>
  <c r="AC1501" i="1"/>
  <c r="AK1501" i="1"/>
  <c r="P1502" i="1"/>
  <c r="R1502" i="1"/>
  <c r="S1502" i="1"/>
  <c r="T1502" i="1"/>
  <c r="AC1502" i="1"/>
  <c r="AK1502" i="1"/>
  <c r="P1504" i="1"/>
  <c r="R1504" i="1"/>
  <c r="S1504" i="1"/>
  <c r="T1504" i="1"/>
  <c r="AC1504" i="1"/>
  <c r="AK1504" i="1"/>
  <c r="P1505" i="1"/>
  <c r="R1505" i="1"/>
  <c r="S1505" i="1"/>
  <c r="T1505" i="1"/>
  <c r="AC1505" i="1"/>
  <c r="AK1505" i="1"/>
  <c r="P1506" i="1"/>
  <c r="R1506" i="1"/>
  <c r="S1506" i="1"/>
  <c r="T1506" i="1"/>
  <c r="AC1506" i="1"/>
  <c r="AK1506" i="1"/>
  <c r="P1507" i="1"/>
  <c r="R1507" i="1"/>
  <c r="S1507" i="1"/>
  <c r="T1507" i="1"/>
  <c r="AC1507" i="1"/>
  <c r="AK1507" i="1"/>
  <c r="P1508" i="1"/>
  <c r="R1508" i="1"/>
  <c r="S1508" i="1"/>
  <c r="T1508" i="1"/>
  <c r="AC1508" i="1"/>
  <c r="AK1508" i="1"/>
  <c r="P1509" i="1"/>
  <c r="R1509" i="1"/>
  <c r="S1509" i="1"/>
  <c r="T1509" i="1"/>
  <c r="AC1509" i="1"/>
  <c r="AK1509" i="1"/>
  <c r="P1510" i="1"/>
  <c r="R1510" i="1"/>
  <c r="S1510" i="1"/>
  <c r="T1510" i="1"/>
  <c r="AC1510" i="1"/>
  <c r="AK1510" i="1"/>
  <c r="P1511" i="1"/>
  <c r="R1511" i="1" s="1"/>
  <c r="S1511" i="1"/>
  <c r="T1511" i="1"/>
  <c r="AC1511" i="1"/>
  <c r="AK1511" i="1"/>
  <c r="P1512" i="1"/>
  <c r="R1512" i="1"/>
  <c r="S1512" i="1"/>
  <c r="T1512" i="1"/>
  <c r="AC1512" i="1"/>
  <c r="AK1512" i="1"/>
  <c r="P1513" i="1"/>
  <c r="R1513" i="1" s="1"/>
  <c r="S1513" i="1"/>
  <c r="T1513" i="1"/>
  <c r="AC1513" i="1"/>
  <c r="AK1513" i="1"/>
  <c r="P1514" i="1"/>
  <c r="R1514" i="1"/>
  <c r="S1514" i="1"/>
  <c r="T1514" i="1"/>
  <c r="AC1514" i="1"/>
  <c r="AK1514" i="1"/>
  <c r="P1515" i="1"/>
  <c r="R1515" i="1" s="1"/>
  <c r="S1515" i="1"/>
  <c r="T1515" i="1"/>
  <c r="AC1515" i="1"/>
  <c r="AK1515" i="1"/>
  <c r="P1516" i="1"/>
  <c r="R1516" i="1"/>
  <c r="S1516" i="1"/>
  <c r="T1516" i="1"/>
  <c r="AC1516" i="1"/>
  <c r="AK1516" i="1"/>
  <c r="P1517" i="1"/>
  <c r="R1517" i="1"/>
  <c r="S1517" i="1"/>
  <c r="T1517" i="1"/>
  <c r="AC1517" i="1"/>
  <c r="AK1517" i="1"/>
  <c r="P1518" i="1"/>
  <c r="R1518" i="1"/>
  <c r="S1518" i="1"/>
  <c r="T1518" i="1"/>
  <c r="AC1518" i="1"/>
  <c r="AK1518" i="1"/>
  <c r="P1519" i="1"/>
  <c r="R1519" i="1"/>
  <c r="S1519" i="1"/>
  <c r="T1519" i="1"/>
  <c r="AC1519" i="1"/>
  <c r="AK1519" i="1"/>
  <c r="P1520" i="1"/>
  <c r="R1520" i="1"/>
  <c r="S1520" i="1"/>
  <c r="T1520" i="1"/>
  <c r="AC1520" i="1"/>
  <c r="AK1520" i="1"/>
  <c r="P1521" i="1"/>
  <c r="R1521" i="1"/>
  <c r="S1521" i="1"/>
  <c r="T1521" i="1"/>
  <c r="AC1521" i="1"/>
  <c r="AK1521" i="1"/>
  <c r="P1522" i="1"/>
  <c r="R1522" i="1"/>
  <c r="S1522" i="1"/>
  <c r="T1522" i="1"/>
  <c r="AC1522" i="1"/>
  <c r="AK1522" i="1"/>
  <c r="P1523" i="1"/>
  <c r="R1523" i="1" s="1"/>
  <c r="S1523" i="1"/>
  <c r="T1523" i="1"/>
  <c r="AC1523" i="1"/>
  <c r="AK1523" i="1"/>
  <c r="P1524" i="1"/>
  <c r="R1524" i="1"/>
  <c r="S1524" i="1"/>
  <c r="T1524" i="1"/>
  <c r="AC1524" i="1"/>
  <c r="AK1524" i="1"/>
  <c r="P1525" i="1"/>
  <c r="R1525" i="1" s="1"/>
  <c r="S1525" i="1"/>
  <c r="T1525" i="1"/>
  <c r="AC1525" i="1"/>
  <c r="AK1525" i="1"/>
  <c r="P1526" i="1"/>
  <c r="R1526" i="1" s="1"/>
  <c r="S1526" i="1"/>
  <c r="T1526" i="1"/>
  <c r="AC1526" i="1"/>
  <c r="AK1526" i="1"/>
  <c r="P1527" i="1"/>
  <c r="R1527" i="1" s="1"/>
  <c r="S1527" i="1"/>
  <c r="T1527" i="1"/>
  <c r="AC1527" i="1"/>
  <c r="AK1527" i="1"/>
  <c r="P1528" i="1"/>
  <c r="R1528" i="1" s="1"/>
  <c r="S1528" i="1"/>
  <c r="T1528" i="1"/>
  <c r="AC1528" i="1"/>
  <c r="AK1528" i="1"/>
  <c r="P1529" i="1"/>
  <c r="R1529" i="1" s="1"/>
  <c r="S1529" i="1"/>
  <c r="T1529" i="1"/>
  <c r="AC1529" i="1"/>
  <c r="AK1529" i="1"/>
  <c r="P1530" i="1"/>
  <c r="R1530" i="1"/>
  <c r="S1530" i="1"/>
  <c r="T1530" i="1"/>
  <c r="AC1530" i="1"/>
  <c r="AK1530" i="1"/>
  <c r="P1531" i="1"/>
  <c r="R1531" i="1" s="1"/>
  <c r="S1531" i="1"/>
  <c r="T1531" i="1"/>
  <c r="AC1531" i="1"/>
  <c r="AK1531" i="1"/>
  <c r="P1532" i="1"/>
  <c r="R1532" i="1" s="1"/>
  <c r="S1532" i="1"/>
  <c r="T1532" i="1"/>
  <c r="AC1532" i="1"/>
  <c r="AK1532" i="1"/>
  <c r="P1533" i="1"/>
  <c r="R1533" i="1" s="1"/>
  <c r="S1533" i="1"/>
  <c r="T1533" i="1"/>
  <c r="AC1533" i="1"/>
  <c r="AK1533" i="1"/>
  <c r="P1534" i="1"/>
  <c r="R1534" i="1" s="1"/>
  <c r="S1534" i="1"/>
  <c r="T1534" i="1"/>
  <c r="AC1534" i="1"/>
  <c r="AK1534" i="1"/>
  <c r="P1535" i="1"/>
  <c r="R1535" i="1" s="1"/>
  <c r="S1535" i="1"/>
  <c r="T1535" i="1"/>
  <c r="AC1535" i="1"/>
  <c r="AK1535" i="1"/>
  <c r="P1536" i="1"/>
  <c r="R1536" i="1"/>
  <c r="S1536" i="1"/>
  <c r="T1536" i="1"/>
  <c r="AC1536" i="1"/>
  <c r="AK1536" i="1"/>
  <c r="P1538" i="1"/>
  <c r="R1538" i="1" s="1"/>
  <c r="S1538" i="1"/>
  <c r="T1538" i="1"/>
  <c r="AC1538" i="1"/>
  <c r="AK1538" i="1"/>
  <c r="P1539" i="1"/>
  <c r="R1539" i="1"/>
  <c r="S1539" i="1"/>
  <c r="T1539" i="1"/>
  <c r="AC1539" i="1"/>
  <c r="AK1539" i="1"/>
  <c r="P1540" i="1"/>
  <c r="R1540" i="1"/>
  <c r="AC1540" i="1"/>
  <c r="AK1540" i="1"/>
  <c r="P1541" i="1"/>
  <c r="R1541" i="1"/>
  <c r="AC1541" i="1"/>
  <c r="AK1541" i="1"/>
  <c r="P1542" i="1"/>
  <c r="R1542" i="1"/>
  <c r="AC1542" i="1"/>
  <c r="AK1542" i="1"/>
  <c r="P1543" i="1"/>
  <c r="R1543" i="1"/>
  <c r="S1543" i="1"/>
  <c r="T1543" i="1"/>
  <c r="AC1543" i="1"/>
  <c r="AK1543" i="1"/>
  <c r="P1544" i="1"/>
  <c r="R1544" i="1"/>
  <c r="AC1544" i="1"/>
  <c r="AK1544" i="1"/>
  <c r="P1546" i="1"/>
  <c r="R1546" i="1"/>
  <c r="S1546" i="1"/>
  <c r="T1546" i="1"/>
  <c r="AC1546" i="1"/>
  <c r="AK1546" i="1"/>
  <c r="P1547" i="1"/>
  <c r="R1547" i="1"/>
  <c r="S1547" i="1"/>
  <c r="T1547" i="1"/>
  <c r="AC1547" i="1"/>
  <c r="AK1547" i="1"/>
  <c r="P1548" i="1"/>
  <c r="R1548" i="1"/>
  <c r="S1548" i="1"/>
  <c r="T1548" i="1"/>
  <c r="AC1548" i="1"/>
  <c r="AK1548" i="1"/>
  <c r="P1549" i="1"/>
  <c r="R1549" i="1" s="1"/>
  <c r="S1549" i="1"/>
  <c r="T1549" i="1"/>
  <c r="AC1549" i="1"/>
  <c r="AK1549" i="1"/>
  <c r="P1551" i="1"/>
  <c r="R1551" i="1"/>
  <c r="S1551" i="1"/>
  <c r="T1551" i="1"/>
  <c r="AC1551" i="1"/>
  <c r="AK1551" i="1"/>
  <c r="P1552" i="1"/>
  <c r="R1552" i="1" s="1"/>
  <c r="S1552" i="1"/>
  <c r="T1552" i="1"/>
  <c r="AC1552" i="1"/>
  <c r="AK1552" i="1"/>
  <c r="P1553" i="1"/>
  <c r="R1553" i="1" s="1"/>
  <c r="S1553" i="1"/>
  <c r="T1553" i="1"/>
  <c r="AC1553" i="1"/>
  <c r="AK1553" i="1"/>
  <c r="P1554" i="1"/>
  <c r="R1554" i="1"/>
  <c r="S1554" i="1"/>
  <c r="T1554" i="1"/>
  <c r="AC1554" i="1"/>
  <c r="AK1554" i="1"/>
  <c r="P1555" i="1"/>
  <c r="R1555" i="1" s="1"/>
  <c r="S1555" i="1"/>
  <c r="T1555" i="1"/>
  <c r="AC1555" i="1"/>
  <c r="AK1555" i="1"/>
  <c r="P1556" i="1"/>
  <c r="R1556" i="1" s="1"/>
  <c r="S1556" i="1"/>
  <c r="T1556" i="1"/>
  <c r="AC1556" i="1"/>
  <c r="AK1556" i="1"/>
  <c r="P1557" i="1"/>
  <c r="R1557" i="1"/>
  <c r="S1557" i="1"/>
  <c r="T1557" i="1"/>
  <c r="AC1557" i="1"/>
  <c r="AK1557" i="1"/>
  <c r="P1558" i="1"/>
  <c r="R1558" i="1" s="1"/>
  <c r="S1558" i="1"/>
  <c r="T1558" i="1"/>
  <c r="AC1558" i="1"/>
  <c r="AK1558" i="1"/>
  <c r="P1559" i="1"/>
  <c r="R1559" i="1" s="1"/>
  <c r="S1559" i="1"/>
  <c r="T1559" i="1"/>
  <c r="AC1559" i="1"/>
  <c r="AK1559" i="1"/>
  <c r="P1560" i="1"/>
  <c r="R1560" i="1" s="1"/>
  <c r="S1560" i="1"/>
  <c r="T1560" i="1"/>
  <c r="AC1560" i="1"/>
  <c r="AK1560" i="1"/>
  <c r="P1561" i="1"/>
  <c r="R1561" i="1" s="1"/>
  <c r="S1561" i="1"/>
  <c r="T1561" i="1"/>
  <c r="AC1561" i="1"/>
  <c r="AK1561" i="1"/>
  <c r="P1562" i="1"/>
  <c r="R1562" i="1"/>
  <c r="S1562" i="1"/>
  <c r="T1562" i="1"/>
  <c r="AC1562" i="1"/>
  <c r="AK1562" i="1"/>
  <c r="P1563" i="1"/>
  <c r="R1563" i="1" s="1"/>
  <c r="S1563" i="1"/>
  <c r="T1563" i="1"/>
  <c r="AC1563" i="1"/>
  <c r="AK1563" i="1"/>
  <c r="P1564" i="1"/>
  <c r="R1564" i="1" s="1"/>
  <c r="S1564" i="1"/>
  <c r="T1564" i="1"/>
  <c r="AC1564" i="1"/>
  <c r="AK1564" i="1"/>
  <c r="P1565" i="1"/>
  <c r="R1565" i="1" s="1"/>
  <c r="S1565" i="1"/>
  <c r="T1565" i="1"/>
  <c r="AC1565" i="1"/>
  <c r="AK1565" i="1"/>
  <c r="P1567" i="1"/>
  <c r="R1567" i="1" s="1"/>
  <c r="S1567" i="1"/>
  <c r="T1567" i="1"/>
  <c r="AC1567" i="1"/>
  <c r="AK1567" i="1"/>
  <c r="P1568" i="1"/>
  <c r="R1568" i="1" s="1"/>
  <c r="S1568" i="1"/>
  <c r="T1568" i="1"/>
  <c r="AC1568" i="1"/>
  <c r="AK1568" i="1"/>
  <c r="P1569" i="1"/>
  <c r="R1569" i="1" s="1"/>
  <c r="S1569" i="1"/>
  <c r="T1569" i="1"/>
  <c r="AC1569" i="1"/>
  <c r="AK1569" i="1"/>
  <c r="P1571" i="1"/>
  <c r="R1571" i="1" s="1"/>
  <c r="AC1571" i="1"/>
  <c r="AK1571" i="1"/>
  <c r="P1572" i="1"/>
  <c r="R1572" i="1" s="1"/>
  <c r="AC1572" i="1"/>
  <c r="AK1572" i="1"/>
  <c r="P1574" i="1"/>
  <c r="R1574" i="1" s="1"/>
  <c r="S1574" i="1"/>
  <c r="T1574" i="1"/>
  <c r="AC1574" i="1"/>
  <c r="AK1574" i="1"/>
  <c r="P1575" i="1"/>
  <c r="R1575" i="1" s="1"/>
  <c r="S1575" i="1"/>
  <c r="T1575" i="1"/>
  <c r="AC1575" i="1"/>
  <c r="AK1575" i="1"/>
  <c r="P1576" i="1"/>
  <c r="R1576" i="1" s="1"/>
  <c r="S1576" i="1"/>
  <c r="T1576" i="1"/>
  <c r="AC1576" i="1"/>
  <c r="AK1576" i="1"/>
  <c r="P1577" i="1"/>
  <c r="R1577" i="1" s="1"/>
  <c r="S1577" i="1"/>
  <c r="T1577" i="1"/>
  <c r="AC1577" i="1"/>
  <c r="AK1577" i="1"/>
  <c r="P1580" i="1"/>
  <c r="R1580" i="1" s="1"/>
  <c r="AC1580" i="1"/>
  <c r="AK1580" i="1"/>
  <c r="P1582" i="1"/>
  <c r="R1582" i="1" s="1"/>
  <c r="S1582" i="1"/>
  <c r="T1582" i="1"/>
  <c r="AC1582" i="1"/>
  <c r="AK1582" i="1"/>
  <c r="P1584" i="1"/>
  <c r="R1584" i="1" s="1"/>
  <c r="S1584" i="1"/>
  <c r="T1584" i="1"/>
  <c r="AC1584" i="1"/>
  <c r="AK1584" i="1"/>
  <c r="P1585" i="1"/>
  <c r="R1585" i="1" s="1"/>
  <c r="S1585" i="1"/>
  <c r="T1585" i="1"/>
  <c r="AC1585" i="1"/>
  <c r="AK1585" i="1"/>
  <c r="P1586" i="1"/>
  <c r="R1586" i="1"/>
  <c r="S1586" i="1"/>
  <c r="T1586" i="1"/>
  <c r="AC1586" i="1"/>
  <c r="AK1586" i="1"/>
  <c r="P1587" i="1"/>
  <c r="R1587" i="1" s="1"/>
  <c r="S1587" i="1"/>
  <c r="T1587" i="1"/>
  <c r="AC1587" i="1"/>
  <c r="AK1587" i="1"/>
  <c r="P1588" i="1"/>
  <c r="R1588" i="1" s="1"/>
  <c r="S1588" i="1"/>
  <c r="T1588" i="1"/>
  <c r="AC1588" i="1"/>
  <c r="AK1588" i="1"/>
  <c r="P1589" i="1"/>
  <c r="R1589" i="1" s="1"/>
  <c r="S1589" i="1"/>
  <c r="T1589" i="1"/>
  <c r="AC1589" i="1"/>
  <c r="AK1589" i="1"/>
  <c r="P1590" i="1"/>
  <c r="R1590" i="1" s="1"/>
  <c r="S1590" i="1"/>
  <c r="T1590" i="1"/>
  <c r="AC1590" i="1"/>
  <c r="AK1590" i="1"/>
  <c r="P1591" i="1"/>
  <c r="R1591" i="1" s="1"/>
  <c r="S1591" i="1"/>
  <c r="T1591" i="1"/>
  <c r="AC1591" i="1"/>
  <c r="AK1591" i="1"/>
  <c r="P1592" i="1"/>
  <c r="R1592" i="1"/>
  <c r="S1592" i="1"/>
  <c r="T1592" i="1"/>
  <c r="AC1592" i="1"/>
  <c r="AK1592" i="1"/>
  <c r="P1593" i="1"/>
  <c r="R1593" i="1" s="1"/>
  <c r="S1593" i="1"/>
  <c r="T1593" i="1"/>
  <c r="AC1593" i="1"/>
  <c r="AK1593" i="1"/>
  <c r="P1595" i="1"/>
  <c r="R1595" i="1"/>
  <c r="AC1595" i="1"/>
  <c r="AK1595" i="1"/>
  <c r="P1598" i="1"/>
  <c r="R1598" i="1"/>
  <c r="S1598" i="1"/>
  <c r="T1598" i="1"/>
  <c r="AC1598" i="1"/>
  <c r="AK1598" i="1"/>
  <c r="P1599" i="1"/>
  <c r="R1599" i="1" s="1"/>
  <c r="S1599" i="1"/>
  <c r="T1599" i="1"/>
  <c r="AC1599" i="1"/>
  <c r="AK1599" i="1"/>
  <c r="P1600" i="1"/>
  <c r="R1600" i="1" s="1"/>
  <c r="S1600" i="1"/>
  <c r="T1600" i="1"/>
  <c r="AC1600" i="1"/>
  <c r="AK1600" i="1"/>
  <c r="P1601" i="1"/>
  <c r="R1601" i="1" s="1"/>
  <c r="S1601" i="1"/>
  <c r="T1601" i="1"/>
  <c r="AC1601" i="1"/>
  <c r="AK1601" i="1"/>
  <c r="P1602" i="1"/>
  <c r="R1602" i="1" s="1"/>
  <c r="S1602" i="1"/>
  <c r="T1602" i="1"/>
  <c r="AC1602" i="1"/>
  <c r="AK1602" i="1"/>
  <c r="P1603" i="1"/>
  <c r="R1603" i="1"/>
  <c r="S1603" i="1"/>
  <c r="T1603" i="1"/>
  <c r="AC1603" i="1"/>
  <c r="AK1603" i="1"/>
  <c r="P1605" i="1"/>
  <c r="R1605" i="1"/>
  <c r="S1605" i="1"/>
  <c r="T1605" i="1"/>
  <c r="AC1605" i="1"/>
  <c r="AK1605" i="1"/>
  <c r="P1606" i="1"/>
  <c r="R1606" i="1"/>
  <c r="S1606" i="1"/>
  <c r="T1606" i="1"/>
  <c r="AC1606" i="1"/>
  <c r="AK1606" i="1"/>
  <c r="P1607" i="1"/>
  <c r="R1607" i="1"/>
  <c r="S1607" i="1"/>
  <c r="T1607" i="1"/>
  <c r="AC1607" i="1"/>
  <c r="AK1607" i="1"/>
  <c r="P1608" i="1"/>
  <c r="R1608" i="1"/>
  <c r="S1608" i="1"/>
  <c r="T1608" i="1"/>
  <c r="AC1608" i="1"/>
  <c r="AK1608" i="1"/>
  <c r="P1609" i="1"/>
  <c r="R1609" i="1" s="1"/>
  <c r="S1609" i="1"/>
  <c r="T1609" i="1"/>
  <c r="AC1609" i="1"/>
  <c r="AK1609" i="1"/>
  <c r="P1610" i="1"/>
  <c r="R1610" i="1" s="1"/>
  <c r="S1610" i="1"/>
  <c r="T1610" i="1"/>
  <c r="AC1610" i="1"/>
  <c r="AK1610" i="1"/>
  <c r="P1611" i="1"/>
  <c r="R1611" i="1" s="1"/>
  <c r="S1611" i="1"/>
  <c r="T1611" i="1"/>
  <c r="AC1611" i="1"/>
  <c r="AK1611" i="1"/>
  <c r="P1612" i="1"/>
  <c r="R1612" i="1" s="1"/>
  <c r="S1612" i="1"/>
  <c r="T1612" i="1"/>
  <c r="AC1612" i="1"/>
  <c r="AK1612" i="1"/>
  <c r="P1614" i="1"/>
  <c r="R1614" i="1" s="1"/>
  <c r="S1614" i="1"/>
  <c r="T1614" i="1"/>
  <c r="AC1614" i="1"/>
  <c r="AK1614" i="1"/>
  <c r="P1615" i="1"/>
  <c r="R1615" i="1"/>
  <c r="S1615" i="1"/>
  <c r="T1615" i="1"/>
  <c r="AC1615" i="1"/>
  <c r="AK1615" i="1"/>
  <c r="P1616" i="1"/>
  <c r="R1616" i="1" s="1"/>
  <c r="S1616" i="1"/>
  <c r="T1616" i="1"/>
  <c r="AC1616" i="1"/>
  <c r="AK1616" i="1"/>
  <c r="P1618" i="1"/>
  <c r="R1618" i="1"/>
  <c r="S1618" i="1"/>
  <c r="T1618" i="1"/>
  <c r="AC1618" i="1"/>
  <c r="AK1618" i="1"/>
  <c r="P1619" i="1"/>
  <c r="R1619" i="1" s="1"/>
  <c r="S1619" i="1"/>
  <c r="T1619" i="1"/>
  <c r="AC1619" i="1"/>
  <c r="AK1619" i="1"/>
  <c r="P1621" i="1"/>
  <c r="R1621" i="1" s="1"/>
  <c r="S1621" i="1"/>
  <c r="T1621" i="1"/>
  <c r="AC1621" i="1"/>
  <c r="AK1621" i="1"/>
  <c r="P1622" i="1"/>
  <c r="R1622" i="1"/>
  <c r="S1622" i="1"/>
  <c r="T1622" i="1"/>
  <c r="AC1622" i="1"/>
  <c r="AK1622" i="1"/>
  <c r="P1623" i="1"/>
  <c r="R1623" i="1" s="1"/>
  <c r="S1623" i="1"/>
  <c r="T1623" i="1"/>
  <c r="AC1623" i="1"/>
  <c r="AK1623" i="1"/>
  <c r="P1624" i="1"/>
  <c r="R1624" i="1"/>
  <c r="S1624" i="1"/>
  <c r="T1624" i="1"/>
  <c r="AC1624" i="1"/>
  <c r="AK1624" i="1"/>
  <c r="P1626" i="1"/>
  <c r="R1626" i="1" s="1"/>
  <c r="S1626" i="1"/>
  <c r="T1626" i="1"/>
  <c r="AC1626" i="1"/>
  <c r="AK1626" i="1"/>
  <c r="P1627" i="1"/>
  <c r="R1627" i="1"/>
  <c r="S1627" i="1"/>
  <c r="T1627" i="1"/>
  <c r="AC1627" i="1"/>
  <c r="AK1627" i="1"/>
  <c r="P1628" i="1"/>
  <c r="R1628" i="1" s="1"/>
  <c r="S1628" i="1"/>
  <c r="T1628" i="1"/>
  <c r="AC1628" i="1"/>
  <c r="AK1628" i="1"/>
  <c r="P1629" i="1"/>
  <c r="R1629" i="1" s="1"/>
  <c r="S1629" i="1"/>
  <c r="T1629" i="1"/>
  <c r="AC1629" i="1"/>
  <c r="AK1629" i="1"/>
  <c r="P1631" i="1"/>
  <c r="R1631" i="1"/>
  <c r="AC1631" i="1"/>
  <c r="AK1631" i="1"/>
  <c r="P1632" i="1"/>
  <c r="R1632" i="1"/>
  <c r="AC1632" i="1"/>
  <c r="AK1632" i="1"/>
  <c r="P1633" i="1"/>
  <c r="R1633" i="1"/>
  <c r="S1633" i="1"/>
  <c r="T1633" i="1"/>
  <c r="AC1633" i="1"/>
  <c r="AK1633" i="1"/>
  <c r="P1634" i="1"/>
  <c r="R1634" i="1" s="1"/>
  <c r="AC1634" i="1"/>
  <c r="AK1634" i="1"/>
  <c r="P1636" i="1"/>
  <c r="R1636" i="1" s="1"/>
  <c r="S1636" i="1"/>
  <c r="T1636" i="1"/>
  <c r="AC1636" i="1"/>
  <c r="AK1636" i="1"/>
  <c r="P1637" i="1"/>
  <c r="R1637" i="1" s="1"/>
  <c r="S1637" i="1"/>
  <c r="T1637" i="1"/>
  <c r="AC1637" i="1"/>
  <c r="AK1637" i="1"/>
  <c r="P1638" i="1"/>
  <c r="R1638" i="1"/>
  <c r="S1638" i="1"/>
  <c r="T1638" i="1"/>
  <c r="AC1638" i="1"/>
  <c r="AK1638" i="1"/>
  <c r="P1639" i="1"/>
  <c r="R1639" i="1" s="1"/>
  <c r="S1639" i="1"/>
  <c r="T1639" i="1"/>
  <c r="AC1639" i="1"/>
  <c r="AK1639" i="1"/>
  <c r="P1640" i="1"/>
  <c r="R1640" i="1" s="1"/>
  <c r="S1640" i="1"/>
  <c r="T1640" i="1"/>
  <c r="AC1640" i="1"/>
  <c r="AK1640" i="1"/>
  <c r="P1641" i="1"/>
  <c r="R1641" i="1" s="1"/>
  <c r="S1641" i="1"/>
  <c r="T1641" i="1"/>
  <c r="AC1641" i="1"/>
  <c r="AK1641" i="1"/>
  <c r="P1643" i="1"/>
  <c r="R1643" i="1" s="1"/>
  <c r="S1643" i="1"/>
  <c r="T1643" i="1"/>
  <c r="AC1643" i="1"/>
  <c r="AK1643" i="1"/>
  <c r="P1644" i="1"/>
  <c r="R1644" i="1"/>
  <c r="S1644" i="1"/>
  <c r="T1644" i="1"/>
  <c r="AC1644" i="1"/>
  <c r="AK1644" i="1"/>
  <c r="P1645" i="1"/>
  <c r="R1645" i="1"/>
  <c r="S1645" i="1"/>
  <c r="T1645" i="1"/>
  <c r="AC1645" i="1"/>
  <c r="AK1645" i="1"/>
  <c r="P1647" i="1"/>
  <c r="R1647" i="1"/>
  <c r="S1647" i="1"/>
  <c r="T1647" i="1"/>
  <c r="AC1647" i="1"/>
  <c r="AK1647" i="1"/>
  <c r="P1648" i="1"/>
  <c r="R1648" i="1" s="1"/>
  <c r="S1648" i="1"/>
  <c r="T1648" i="1"/>
  <c r="AC1648" i="1"/>
  <c r="AK1648" i="1"/>
  <c r="P1649" i="1"/>
  <c r="R1649" i="1"/>
  <c r="S1649" i="1"/>
  <c r="T1649" i="1"/>
  <c r="AC1649" i="1"/>
  <c r="AK1649" i="1"/>
  <c r="P1650" i="1"/>
  <c r="R1650" i="1" s="1"/>
  <c r="S1650" i="1"/>
  <c r="T1650" i="1"/>
  <c r="AC1650" i="1"/>
  <c r="AK1650" i="1"/>
  <c r="P1652" i="1"/>
  <c r="R1652" i="1"/>
  <c r="S1652" i="1"/>
  <c r="T1652" i="1"/>
  <c r="AC1652" i="1"/>
  <c r="AK1652" i="1"/>
  <c r="P1653" i="1"/>
  <c r="R1653" i="1" s="1"/>
  <c r="S1653" i="1"/>
  <c r="T1653" i="1"/>
  <c r="AC1653" i="1"/>
  <c r="AK1653" i="1"/>
  <c r="P1654" i="1"/>
  <c r="R1654" i="1" s="1"/>
  <c r="S1654" i="1"/>
  <c r="T1654" i="1"/>
  <c r="AC1654" i="1"/>
  <c r="AK1654" i="1"/>
  <c r="P1655" i="1"/>
  <c r="R1655" i="1" s="1"/>
  <c r="S1655" i="1"/>
  <c r="T1655" i="1"/>
  <c r="AC1655" i="1"/>
  <c r="AK1655" i="1"/>
  <c r="P1657" i="1"/>
  <c r="R1657" i="1"/>
  <c r="S1657" i="1"/>
  <c r="T1657" i="1"/>
  <c r="AC1657" i="1"/>
  <c r="AK1657" i="1"/>
  <c r="P1658" i="1"/>
  <c r="R1658" i="1"/>
  <c r="S1658" i="1"/>
  <c r="T1658" i="1"/>
  <c r="AC1658" i="1"/>
  <c r="AK1658" i="1"/>
  <c r="P1659" i="1"/>
  <c r="R1659" i="1"/>
  <c r="S1659" i="1"/>
  <c r="T1659" i="1"/>
  <c r="AC1659" i="1"/>
  <c r="AK1659" i="1"/>
  <c r="P1660" i="1"/>
  <c r="R1660" i="1" s="1"/>
  <c r="S1660" i="1"/>
  <c r="T1660" i="1"/>
  <c r="AC1660" i="1"/>
  <c r="AK1660" i="1"/>
  <c r="P1661" i="1"/>
  <c r="R1661" i="1"/>
  <c r="S1661" i="1"/>
  <c r="T1661" i="1"/>
  <c r="AC1661" i="1"/>
  <c r="AK1661" i="1"/>
  <c r="P1662" i="1"/>
  <c r="R1662" i="1" s="1"/>
  <c r="S1662" i="1"/>
  <c r="T1662" i="1"/>
  <c r="AC1662" i="1"/>
  <c r="AK1662" i="1"/>
  <c r="P1663" i="1"/>
  <c r="R1663" i="1"/>
  <c r="S1663" i="1"/>
  <c r="T1663" i="1"/>
  <c r="AC1663" i="1"/>
  <c r="AK1663" i="1"/>
  <c r="P1664" i="1"/>
  <c r="R1664" i="1" s="1"/>
  <c r="S1664" i="1"/>
  <c r="T1664" i="1"/>
  <c r="AC1664" i="1"/>
  <c r="AK1664" i="1"/>
  <c r="P1665" i="1"/>
  <c r="R1665" i="1"/>
  <c r="S1665" i="1"/>
  <c r="T1665" i="1"/>
  <c r="AC1665" i="1"/>
  <c r="AK1665" i="1"/>
  <c r="P1666" i="1"/>
  <c r="R1666" i="1" s="1"/>
  <c r="S1666" i="1"/>
  <c r="T1666" i="1"/>
  <c r="AC1666" i="1"/>
  <c r="AK1666" i="1"/>
  <c r="P1667" i="1"/>
  <c r="R1667" i="1"/>
  <c r="S1667" i="1"/>
  <c r="T1667" i="1"/>
  <c r="AC1667" i="1"/>
  <c r="AK1667" i="1"/>
  <c r="P1668" i="1"/>
  <c r="R1668" i="1"/>
  <c r="S1668" i="1"/>
  <c r="T1668" i="1"/>
  <c r="AC1668" i="1"/>
  <c r="AK1668" i="1"/>
  <c r="P1669" i="1"/>
  <c r="R1669" i="1"/>
  <c r="S1669" i="1"/>
  <c r="T1669" i="1"/>
  <c r="AC1669" i="1"/>
  <c r="AK1669" i="1"/>
  <c r="P1672" i="1"/>
  <c r="R1672" i="1" s="1"/>
  <c r="S1672" i="1"/>
  <c r="T1672" i="1"/>
  <c r="AC1672" i="1"/>
  <c r="AK1672" i="1"/>
  <c r="P1673" i="1"/>
  <c r="R1673" i="1" s="1"/>
  <c r="S1673" i="1"/>
  <c r="T1673" i="1"/>
  <c r="AC1673" i="1"/>
  <c r="AK1673" i="1"/>
  <c r="P1674" i="1"/>
  <c r="R1674" i="1" s="1"/>
  <c r="S1674" i="1"/>
  <c r="T1674" i="1"/>
  <c r="AC1674" i="1"/>
  <c r="AK1674" i="1"/>
  <c r="P1675" i="1"/>
  <c r="R1675" i="1"/>
  <c r="S1675" i="1"/>
  <c r="T1675" i="1"/>
  <c r="AC1675" i="1"/>
  <c r="AK1675" i="1"/>
  <c r="P1677" i="1"/>
  <c r="R1677" i="1" s="1"/>
  <c r="S1677" i="1"/>
  <c r="T1677" i="1"/>
  <c r="AC1677" i="1"/>
  <c r="AK1677" i="1"/>
  <c r="P1678" i="1"/>
  <c r="R1678" i="1" s="1"/>
  <c r="S1678" i="1"/>
  <c r="T1678" i="1"/>
  <c r="AC1678" i="1"/>
  <c r="AK1678" i="1"/>
  <c r="P1680" i="1"/>
  <c r="R1680" i="1"/>
  <c r="S1680" i="1"/>
  <c r="T1680" i="1"/>
  <c r="AC1680" i="1"/>
  <c r="AK1680" i="1"/>
  <c r="P1681" i="1"/>
  <c r="R1681" i="1" s="1"/>
  <c r="S1681" i="1"/>
  <c r="T1681" i="1"/>
  <c r="AC1681" i="1"/>
  <c r="AK1681" i="1"/>
  <c r="P1682" i="1"/>
  <c r="R1682" i="1" s="1"/>
  <c r="S1682" i="1"/>
  <c r="T1682" i="1"/>
  <c r="AC1682" i="1"/>
  <c r="AK1682" i="1"/>
  <c r="P1683" i="1"/>
  <c r="R1683" i="1"/>
  <c r="S1683" i="1"/>
  <c r="T1683" i="1"/>
  <c r="AC1683" i="1"/>
  <c r="AK1683" i="1"/>
  <c r="P1684" i="1"/>
  <c r="R1684" i="1"/>
  <c r="S1684" i="1"/>
  <c r="T1684" i="1"/>
  <c r="AC1684" i="1"/>
  <c r="AK1684" i="1"/>
  <c r="P1685" i="1"/>
  <c r="R1685" i="1"/>
  <c r="S1685" i="1"/>
  <c r="T1685" i="1"/>
  <c r="AC1685" i="1"/>
  <c r="AK1685" i="1"/>
  <c r="P1686" i="1"/>
  <c r="R1686" i="1" s="1"/>
  <c r="S1686" i="1"/>
  <c r="T1686" i="1"/>
  <c r="AC1686" i="1"/>
  <c r="AK1686" i="1"/>
  <c r="P1687" i="1"/>
  <c r="R1687" i="1" s="1"/>
  <c r="S1687" i="1"/>
  <c r="T1687" i="1"/>
  <c r="AC1687" i="1"/>
  <c r="AK1687" i="1"/>
  <c r="P1688" i="1"/>
  <c r="R1688" i="1" s="1"/>
  <c r="AC1688" i="1"/>
  <c r="AK1688" i="1"/>
  <c r="P1689" i="1"/>
  <c r="R1689" i="1"/>
  <c r="S1689" i="1"/>
  <c r="T1689" i="1"/>
  <c r="AC1689" i="1"/>
  <c r="AK1689" i="1"/>
  <c r="P1691" i="1"/>
  <c r="R1691" i="1"/>
  <c r="S1691" i="1"/>
  <c r="T1691" i="1"/>
  <c r="AC1691" i="1"/>
  <c r="AK1691" i="1"/>
  <c r="P1693" i="1"/>
  <c r="R1693" i="1" s="1"/>
  <c r="S1693" i="1"/>
  <c r="T1693" i="1"/>
  <c r="AC1693" i="1"/>
  <c r="AK1693" i="1"/>
  <c r="P1694" i="1"/>
  <c r="R1694" i="1" s="1"/>
  <c r="S1694" i="1"/>
  <c r="T1694" i="1"/>
  <c r="AC1694" i="1"/>
  <c r="AK1694" i="1"/>
  <c r="P1695" i="1"/>
  <c r="R1695" i="1" s="1"/>
  <c r="S1695" i="1"/>
  <c r="T1695" i="1"/>
  <c r="AC1695" i="1"/>
  <c r="AK1695" i="1"/>
  <c r="P1696" i="1"/>
  <c r="R1696" i="1" s="1"/>
  <c r="S1696" i="1"/>
  <c r="T1696" i="1"/>
  <c r="AC1696" i="1"/>
  <c r="AK1696" i="1"/>
  <c r="P1698" i="1"/>
  <c r="R1698" i="1" s="1"/>
  <c r="S1698" i="1"/>
  <c r="T1698" i="1"/>
  <c r="AC1698" i="1"/>
  <c r="AK1698" i="1"/>
  <c r="P1699" i="1"/>
  <c r="R1699" i="1"/>
  <c r="S1699" i="1"/>
  <c r="T1699" i="1"/>
  <c r="AC1699" i="1"/>
  <c r="AK1699" i="1"/>
  <c r="P1701" i="1"/>
  <c r="R1701" i="1"/>
  <c r="S1701" i="1"/>
  <c r="T1701" i="1"/>
  <c r="AC1701" i="1"/>
  <c r="AK1701" i="1"/>
  <c r="P1703" i="1"/>
  <c r="R1703" i="1"/>
  <c r="AC1703" i="1"/>
  <c r="AK1703" i="1"/>
  <c r="P1704" i="1"/>
  <c r="R1704" i="1"/>
  <c r="S1704" i="1"/>
  <c r="T1704" i="1"/>
  <c r="AC1704" i="1"/>
  <c r="AK1704" i="1"/>
  <c r="P1706" i="1"/>
  <c r="R1706" i="1" s="1"/>
  <c r="S1706" i="1"/>
  <c r="T1706" i="1"/>
  <c r="AC1706" i="1"/>
  <c r="AK1706" i="1"/>
  <c r="P1708" i="1"/>
  <c r="R1708" i="1"/>
  <c r="S1708" i="1"/>
  <c r="T1708" i="1"/>
  <c r="AC1708" i="1"/>
  <c r="AK1708" i="1"/>
  <c r="P1709" i="1"/>
  <c r="R1709" i="1" s="1"/>
  <c r="S1709" i="1"/>
  <c r="T1709" i="1"/>
  <c r="AC1709" i="1"/>
  <c r="AK1709" i="1"/>
  <c r="P1710" i="1"/>
  <c r="R1710" i="1" s="1"/>
  <c r="S1710" i="1"/>
  <c r="T1710" i="1"/>
  <c r="AC1710" i="1"/>
  <c r="AK1710" i="1"/>
  <c r="P1711" i="1"/>
  <c r="R1711" i="1" s="1"/>
  <c r="S1711" i="1"/>
  <c r="T1711" i="1"/>
  <c r="AC1711" i="1"/>
  <c r="AK1711" i="1"/>
  <c r="P1714" i="1"/>
  <c r="R1714" i="1" s="1"/>
  <c r="S1714" i="1"/>
  <c r="T1714" i="1"/>
  <c r="AC1714" i="1"/>
  <c r="AK1714" i="1"/>
  <c r="P1715" i="1"/>
  <c r="R1715" i="1" s="1"/>
  <c r="S1715" i="1"/>
  <c r="T1715" i="1"/>
  <c r="AC1715" i="1"/>
  <c r="AK1715" i="1"/>
  <c r="P1716" i="1"/>
  <c r="R1716" i="1" s="1"/>
  <c r="S1716" i="1"/>
  <c r="T1716" i="1"/>
  <c r="AC1716" i="1"/>
  <c r="AK1716" i="1"/>
  <c r="P1718" i="1"/>
  <c r="R1718" i="1" s="1"/>
  <c r="S1718" i="1"/>
  <c r="T1718" i="1"/>
  <c r="AC1718" i="1"/>
  <c r="AK1718" i="1"/>
  <c r="P1719" i="1"/>
  <c r="R1719" i="1" s="1"/>
  <c r="S1719" i="1"/>
  <c r="T1719" i="1"/>
  <c r="AC1719" i="1"/>
  <c r="AK1719" i="1"/>
  <c r="P1720" i="1"/>
  <c r="R1720" i="1" s="1"/>
  <c r="S1720" i="1"/>
  <c r="T1720" i="1"/>
  <c r="AC1720" i="1"/>
  <c r="AK1720" i="1"/>
  <c r="P1721" i="1"/>
  <c r="R1721" i="1" s="1"/>
  <c r="S1721" i="1"/>
  <c r="T1721" i="1"/>
  <c r="AC1721" i="1"/>
  <c r="AK1721" i="1"/>
  <c r="P1723" i="1"/>
  <c r="R1723" i="1" s="1"/>
  <c r="S1723" i="1"/>
  <c r="T1723" i="1"/>
  <c r="AC1723" i="1"/>
  <c r="AK1723" i="1"/>
  <c r="P1724" i="1"/>
  <c r="R1724" i="1" s="1"/>
  <c r="S1724" i="1"/>
  <c r="T1724" i="1"/>
  <c r="AC1724" i="1"/>
  <c r="AK1724" i="1"/>
  <c r="P1726" i="1"/>
  <c r="R1726" i="1"/>
  <c r="S1726" i="1"/>
  <c r="T1726" i="1"/>
  <c r="AC1726" i="1"/>
  <c r="AK1726" i="1"/>
  <c r="P1727" i="1"/>
  <c r="R1727" i="1" s="1"/>
  <c r="S1727" i="1"/>
  <c r="T1727" i="1"/>
  <c r="AC1727" i="1"/>
  <c r="AK1727" i="1"/>
  <c r="P1728" i="1"/>
  <c r="R1728" i="1" s="1"/>
  <c r="S1728" i="1"/>
  <c r="T1728" i="1"/>
  <c r="AC1728" i="1"/>
  <c r="AK1728" i="1"/>
  <c r="P1729" i="1"/>
  <c r="R1729" i="1" s="1"/>
  <c r="S1729" i="1"/>
  <c r="T1729" i="1"/>
  <c r="AC1729" i="1"/>
  <c r="AK1729" i="1"/>
  <c r="P1731" i="1"/>
  <c r="R1731" i="1" s="1"/>
  <c r="S1731" i="1"/>
  <c r="T1731" i="1"/>
  <c r="AC1731" i="1"/>
  <c r="AK1731" i="1"/>
  <c r="P1732" i="1"/>
  <c r="R1732" i="1"/>
  <c r="S1732" i="1"/>
  <c r="T1732" i="1"/>
  <c r="AC1732" i="1"/>
  <c r="AK1732" i="1"/>
  <c r="P1734" i="1"/>
  <c r="R1734" i="1"/>
  <c r="S1734" i="1"/>
  <c r="T1734" i="1"/>
  <c r="AC1734" i="1"/>
  <c r="AK1734" i="1"/>
  <c r="P1735" i="1"/>
  <c r="R1735" i="1"/>
  <c r="S1735" i="1"/>
  <c r="T1735" i="1"/>
  <c r="AC1735" i="1"/>
  <c r="AK1735" i="1"/>
  <c r="P1737" i="1"/>
  <c r="R1737" i="1"/>
  <c r="S1737" i="1"/>
  <c r="T1737" i="1"/>
  <c r="AC1737" i="1"/>
  <c r="AK1737" i="1"/>
  <c r="P1738" i="1"/>
  <c r="R1738" i="1"/>
  <c r="S1738" i="1"/>
  <c r="T1738" i="1"/>
  <c r="AC1738" i="1"/>
  <c r="AK1738" i="1"/>
  <c r="P1739" i="1"/>
  <c r="R1739" i="1"/>
  <c r="S1739" i="1"/>
  <c r="T1739" i="1"/>
  <c r="AC1739" i="1"/>
  <c r="AK1739" i="1"/>
  <c r="P1740" i="1"/>
  <c r="R1740" i="1"/>
  <c r="S1740" i="1"/>
  <c r="T1740" i="1"/>
  <c r="AC1740" i="1"/>
  <c r="AK1740" i="1"/>
  <c r="P1741" i="1"/>
  <c r="R1741" i="1" s="1"/>
  <c r="S1741" i="1"/>
  <c r="T1741" i="1"/>
  <c r="AC1741" i="1"/>
  <c r="AK1741" i="1"/>
  <c r="P1742" i="1"/>
  <c r="R1742" i="1" s="1"/>
  <c r="S1742" i="1"/>
  <c r="T1742" i="1"/>
  <c r="AC1742" i="1"/>
  <c r="AK1742" i="1"/>
  <c r="P1743" i="1"/>
  <c r="R1743" i="1" s="1"/>
  <c r="S1743" i="1"/>
  <c r="T1743" i="1"/>
  <c r="AC1743" i="1"/>
  <c r="AK1743" i="1"/>
  <c r="P1744" i="1"/>
  <c r="R1744" i="1" s="1"/>
  <c r="S1744" i="1"/>
  <c r="T1744" i="1"/>
  <c r="AC1744" i="1"/>
  <c r="AK1744" i="1"/>
  <c r="P1745" i="1"/>
  <c r="R1745" i="1"/>
  <c r="S1745" i="1"/>
  <c r="T1745" i="1"/>
  <c r="AC1745" i="1"/>
  <c r="AK1745" i="1"/>
  <c r="P1746" i="1"/>
  <c r="R1746" i="1" s="1"/>
  <c r="S1746" i="1"/>
  <c r="T1746" i="1"/>
  <c r="AC1746" i="1"/>
  <c r="AK1746" i="1"/>
  <c r="P1748" i="1"/>
  <c r="R1748" i="1"/>
  <c r="S1748" i="1"/>
  <c r="T1748" i="1"/>
  <c r="AC1748" i="1"/>
  <c r="AK1748" i="1"/>
  <c r="P1750" i="1"/>
  <c r="R1750" i="1"/>
  <c r="AC1750" i="1"/>
  <c r="AK1750" i="1"/>
  <c r="P1751" i="1"/>
  <c r="R1751" i="1"/>
  <c r="S1751" i="1"/>
  <c r="T1751" i="1"/>
  <c r="AC1751" i="1"/>
  <c r="AK1751" i="1"/>
  <c r="P1752" i="1"/>
  <c r="R1752" i="1"/>
  <c r="S1752" i="1"/>
  <c r="T1752" i="1"/>
  <c r="AC1752" i="1"/>
  <c r="AK1752" i="1"/>
  <c r="P1753" i="1"/>
  <c r="R1753" i="1"/>
  <c r="S1753" i="1"/>
  <c r="T1753" i="1"/>
  <c r="AC1753" i="1"/>
  <c r="AK1753" i="1"/>
  <c r="P1755" i="1"/>
  <c r="R1755" i="1"/>
  <c r="S1755" i="1"/>
  <c r="T1755" i="1"/>
  <c r="AC1755" i="1"/>
  <c r="AK1755" i="1"/>
  <c r="P1756" i="1"/>
  <c r="R1756" i="1"/>
  <c r="S1756" i="1"/>
  <c r="T1756" i="1"/>
  <c r="AC1756" i="1"/>
  <c r="AK1756" i="1"/>
  <c r="P1757" i="1"/>
  <c r="R1757" i="1"/>
  <c r="S1757" i="1"/>
  <c r="T1757" i="1"/>
  <c r="AC1757" i="1"/>
  <c r="AK1757" i="1"/>
  <c r="P1758" i="1"/>
  <c r="R1758" i="1"/>
  <c r="S1758" i="1"/>
  <c r="T1758" i="1"/>
  <c r="AC1758" i="1"/>
  <c r="AK1758" i="1"/>
  <c r="P1759" i="1"/>
  <c r="R1759" i="1"/>
  <c r="S1759" i="1"/>
  <c r="T1759" i="1"/>
  <c r="AC1759" i="1"/>
  <c r="AK1759" i="1"/>
  <c r="P1760" i="1"/>
  <c r="R1760" i="1"/>
  <c r="S1760" i="1"/>
  <c r="T1760" i="1"/>
  <c r="AC1760" i="1"/>
  <c r="AK1760" i="1"/>
  <c r="P1761" i="1"/>
  <c r="R1761" i="1"/>
  <c r="S1761" i="1"/>
  <c r="T1761" i="1"/>
  <c r="AC1761" i="1"/>
  <c r="AK1761" i="1"/>
  <c r="P1762" i="1"/>
  <c r="R1762" i="1"/>
  <c r="S1762" i="1"/>
  <c r="T1762" i="1"/>
  <c r="AC1762" i="1"/>
  <c r="AK1762" i="1"/>
  <c r="P1764" i="1"/>
  <c r="R1764" i="1" s="1"/>
  <c r="S1764" i="1"/>
  <c r="T1764" i="1"/>
  <c r="AC1764" i="1"/>
  <c r="AK1764" i="1"/>
  <c r="P1765" i="1"/>
  <c r="R1765" i="1" s="1"/>
  <c r="S1765" i="1"/>
  <c r="T1765" i="1"/>
  <c r="AC1765" i="1"/>
  <c r="AK1765" i="1"/>
  <c r="P1766" i="1"/>
  <c r="R1766" i="1" s="1"/>
  <c r="S1766" i="1"/>
  <c r="T1766" i="1"/>
  <c r="AC1766" i="1"/>
  <c r="AK1766" i="1"/>
  <c r="P1767" i="1"/>
  <c r="R1767" i="1"/>
  <c r="AC1767" i="1"/>
  <c r="AK1767" i="1"/>
  <c r="P1769" i="1"/>
  <c r="R1769" i="1"/>
  <c r="S1769" i="1"/>
  <c r="T1769" i="1"/>
  <c r="AC1769" i="1"/>
  <c r="AK1769" i="1"/>
  <c r="P1770" i="1"/>
  <c r="R1770" i="1" s="1"/>
  <c r="S1770" i="1"/>
  <c r="T1770" i="1"/>
  <c r="AC1770" i="1"/>
  <c r="AK1770" i="1"/>
  <c r="P1772" i="1"/>
  <c r="R1772" i="1" s="1"/>
  <c r="S1772" i="1"/>
  <c r="T1772" i="1"/>
  <c r="AC1772" i="1"/>
  <c r="AK1772" i="1"/>
  <c r="P1773" i="1"/>
  <c r="R1773" i="1"/>
  <c r="S1773" i="1"/>
  <c r="T1773" i="1"/>
  <c r="AC1773" i="1"/>
  <c r="AK1773" i="1"/>
  <c r="P1774" i="1"/>
  <c r="R1774" i="1" s="1"/>
  <c r="S1774" i="1"/>
  <c r="T1774" i="1"/>
  <c r="AC1774" i="1"/>
  <c r="AK1774" i="1"/>
  <c r="P1775" i="1"/>
  <c r="R1775" i="1"/>
  <c r="S1775" i="1"/>
  <c r="T1775" i="1"/>
  <c r="AC1775" i="1"/>
  <c r="AK1775" i="1"/>
  <c r="P1776" i="1"/>
  <c r="R1776" i="1" s="1"/>
  <c r="S1776" i="1"/>
  <c r="T1776" i="1"/>
  <c r="AC1776" i="1"/>
  <c r="AK1776" i="1"/>
  <c r="P1777" i="1"/>
  <c r="R1777" i="1"/>
  <c r="S1777" i="1"/>
  <c r="T1777" i="1"/>
  <c r="AC1777" i="1"/>
  <c r="AK1777" i="1"/>
  <c r="P1778" i="1"/>
  <c r="R1778" i="1" s="1"/>
  <c r="S1778" i="1"/>
  <c r="T1778" i="1"/>
  <c r="AC1778" i="1"/>
  <c r="AK1778" i="1"/>
  <c r="P1780" i="1"/>
  <c r="R1780" i="1"/>
  <c r="S1780" i="1"/>
  <c r="T1780" i="1"/>
  <c r="AC1780" i="1"/>
  <c r="AK1780" i="1"/>
  <c r="P1781" i="1"/>
  <c r="R1781" i="1"/>
  <c r="S1781" i="1"/>
  <c r="T1781" i="1"/>
  <c r="AC1781" i="1"/>
  <c r="AK1781" i="1"/>
  <c r="P1782" i="1"/>
  <c r="R1782" i="1"/>
  <c r="S1782" i="1"/>
  <c r="T1782" i="1"/>
  <c r="AC1782" i="1"/>
  <c r="AK1782" i="1"/>
  <c r="P1783" i="1"/>
  <c r="R1783" i="1" s="1"/>
  <c r="S1783" i="1"/>
  <c r="T1783" i="1"/>
  <c r="AC1783" i="1"/>
  <c r="AK1783" i="1"/>
  <c r="P1785" i="1"/>
  <c r="R1785" i="1"/>
  <c r="S1785" i="1"/>
  <c r="T1785" i="1"/>
  <c r="AC1785" i="1"/>
  <c r="AK1785" i="1"/>
  <c r="P1786" i="1"/>
  <c r="R1786" i="1" s="1"/>
  <c r="S1786" i="1"/>
  <c r="T1786" i="1"/>
  <c r="AC1786" i="1"/>
  <c r="AK1786" i="1"/>
  <c r="P1787" i="1"/>
  <c r="R1787" i="1"/>
  <c r="S1787" i="1"/>
  <c r="T1787" i="1"/>
  <c r="AC1787" i="1"/>
  <c r="AK1787" i="1"/>
  <c r="P1788" i="1"/>
  <c r="R1788" i="1" s="1"/>
  <c r="S1788" i="1"/>
  <c r="T1788" i="1"/>
  <c r="AC1788" i="1"/>
  <c r="AK1788" i="1"/>
  <c r="P1790" i="1"/>
  <c r="R1790" i="1"/>
  <c r="S1790" i="1"/>
  <c r="T1790" i="1"/>
  <c r="AC1790" i="1"/>
  <c r="AK1790" i="1"/>
  <c r="P1791" i="1"/>
  <c r="R1791" i="1" s="1"/>
  <c r="S1791" i="1"/>
  <c r="T1791" i="1"/>
  <c r="AC1791" i="1"/>
  <c r="AK1791" i="1"/>
  <c r="P1792" i="1"/>
  <c r="R1792" i="1"/>
  <c r="S1792" i="1"/>
  <c r="T1792" i="1"/>
  <c r="AC1792" i="1"/>
  <c r="AK1792" i="1"/>
  <c r="P1793" i="1"/>
  <c r="R1793" i="1" s="1"/>
  <c r="S1793" i="1"/>
  <c r="T1793" i="1"/>
  <c r="AC1793" i="1"/>
  <c r="AK1793" i="1"/>
  <c r="P1795" i="1"/>
  <c r="R1795" i="1"/>
  <c r="S1795" i="1"/>
  <c r="T1795" i="1"/>
  <c r="AC1795" i="1"/>
  <c r="AK1795" i="1"/>
  <c r="P1796" i="1"/>
  <c r="R1796" i="1" s="1"/>
  <c r="S1796" i="1"/>
  <c r="T1796" i="1"/>
  <c r="AC1796" i="1"/>
  <c r="AK1796" i="1"/>
  <c r="P1797" i="1"/>
  <c r="R1797" i="1" s="1"/>
  <c r="S1797" i="1"/>
  <c r="T1797" i="1"/>
  <c r="AC1797" i="1"/>
  <c r="AK1797" i="1"/>
  <c r="P1798" i="1"/>
  <c r="R1798" i="1" s="1"/>
  <c r="S1798" i="1"/>
  <c r="T1798" i="1"/>
  <c r="AC1798" i="1"/>
  <c r="AK1798" i="1"/>
  <c r="P1799" i="1"/>
  <c r="R1799" i="1" s="1"/>
  <c r="S1799" i="1"/>
  <c r="T1799" i="1"/>
  <c r="AC1799" i="1"/>
  <c r="AK1799" i="1"/>
  <c r="P1800" i="1"/>
  <c r="R1800" i="1" s="1"/>
  <c r="S1800" i="1"/>
  <c r="T1800" i="1"/>
  <c r="AC1800" i="1"/>
  <c r="AK1800" i="1"/>
  <c r="P1802" i="1"/>
  <c r="R1802" i="1" s="1"/>
  <c r="S1802" i="1"/>
  <c r="T1802" i="1"/>
  <c r="AC1802" i="1"/>
  <c r="AK1802" i="1"/>
  <c r="P1804" i="1"/>
  <c r="R1804" i="1" s="1"/>
  <c r="S1804" i="1"/>
  <c r="T1804" i="1"/>
  <c r="AC1804" i="1"/>
  <c r="AK1804" i="1"/>
  <c r="P1805" i="1"/>
  <c r="R1805" i="1"/>
  <c r="S1805" i="1"/>
  <c r="T1805" i="1"/>
  <c r="AC1805" i="1"/>
  <c r="AK1805" i="1"/>
  <c r="P1807" i="1"/>
  <c r="R1807" i="1" s="1"/>
  <c r="S1807" i="1"/>
  <c r="T1807" i="1"/>
  <c r="AC1807" i="1"/>
  <c r="AK1807" i="1"/>
  <c r="P1809" i="1"/>
  <c r="R1809" i="1"/>
  <c r="S1809" i="1"/>
  <c r="T1809" i="1"/>
  <c r="AC1809" i="1"/>
  <c r="AK1809" i="1"/>
  <c r="P1811" i="1"/>
  <c r="R1811" i="1" s="1"/>
  <c r="S1811" i="1"/>
  <c r="T1811" i="1"/>
  <c r="AC1811" i="1"/>
  <c r="AK1811" i="1"/>
  <c r="P1812" i="1"/>
  <c r="R1812" i="1"/>
  <c r="AC1812" i="1"/>
  <c r="AK1812" i="1"/>
  <c r="P1813" i="1"/>
  <c r="R1813" i="1"/>
  <c r="AC1813" i="1"/>
  <c r="AK1813" i="1"/>
  <c r="P1814" i="1"/>
  <c r="R1814" i="1"/>
  <c r="AC1814" i="1"/>
  <c r="AK1814" i="1"/>
  <c r="P1816" i="1"/>
  <c r="R1816" i="1"/>
  <c r="S1816" i="1"/>
  <c r="T1816" i="1"/>
  <c r="AC1816" i="1"/>
  <c r="AK1816" i="1"/>
  <c r="P1817" i="1"/>
  <c r="R1817" i="1" s="1"/>
  <c r="S1817" i="1"/>
  <c r="T1817" i="1"/>
  <c r="AC1817" i="1"/>
  <c r="AK1817" i="1"/>
  <c r="P1818" i="1"/>
  <c r="R1818" i="1" s="1"/>
  <c r="S1818" i="1"/>
  <c r="T1818" i="1"/>
  <c r="AC1818" i="1"/>
  <c r="AK1818" i="1"/>
  <c r="P1819" i="1"/>
  <c r="R1819" i="1" s="1"/>
  <c r="S1819" i="1"/>
  <c r="T1819" i="1"/>
  <c r="AC1819" i="1"/>
  <c r="AK1819" i="1"/>
  <c r="P1820" i="1"/>
  <c r="R1820" i="1" s="1"/>
  <c r="S1820" i="1"/>
  <c r="T1820" i="1"/>
  <c r="AC1820" i="1"/>
  <c r="AK1820" i="1"/>
  <c r="P1821" i="1"/>
  <c r="R1821" i="1" s="1"/>
  <c r="S1821" i="1"/>
  <c r="T1821" i="1"/>
  <c r="AC1821" i="1"/>
  <c r="AK1821" i="1"/>
  <c r="P1822" i="1"/>
  <c r="R1822" i="1"/>
  <c r="S1822" i="1"/>
  <c r="T1822" i="1"/>
  <c r="AC1822" i="1"/>
  <c r="AK1822" i="1"/>
  <c r="P1823" i="1"/>
  <c r="R1823" i="1" s="1"/>
  <c r="S1823" i="1"/>
  <c r="T1823" i="1"/>
  <c r="AC1823" i="1"/>
  <c r="AK1823" i="1"/>
  <c r="P1825" i="1"/>
  <c r="R1825" i="1" s="1"/>
  <c r="S1825" i="1"/>
  <c r="T1825" i="1"/>
  <c r="AC1825" i="1"/>
  <c r="AK1825" i="1"/>
  <c r="P1826" i="1"/>
  <c r="R1826" i="1" s="1"/>
  <c r="S1826" i="1"/>
  <c r="T1826" i="1"/>
  <c r="AC1826" i="1"/>
  <c r="AK1826" i="1"/>
  <c r="P1827" i="1"/>
  <c r="R1827" i="1" s="1"/>
  <c r="S1827" i="1"/>
  <c r="T1827" i="1"/>
  <c r="AC1827" i="1"/>
  <c r="AK1827" i="1"/>
  <c r="P1828" i="1"/>
  <c r="R1828" i="1" s="1"/>
  <c r="S1828" i="1"/>
  <c r="T1828" i="1"/>
  <c r="AC1828" i="1"/>
  <c r="AK1828" i="1"/>
  <c r="P1830" i="1"/>
  <c r="R1830" i="1" s="1"/>
  <c r="S1830" i="1"/>
  <c r="T1830" i="1"/>
  <c r="AC1830" i="1"/>
  <c r="AK1830" i="1"/>
  <c r="P1831" i="1"/>
  <c r="R1831" i="1" s="1"/>
  <c r="S1831" i="1"/>
  <c r="T1831" i="1"/>
  <c r="AC1831" i="1"/>
  <c r="AK1831" i="1"/>
  <c r="P1832" i="1"/>
  <c r="R1832" i="1"/>
  <c r="S1832" i="1"/>
  <c r="T1832" i="1"/>
  <c r="AC1832" i="1"/>
  <c r="AK1832" i="1"/>
  <c r="P1833" i="1"/>
  <c r="R1833" i="1" s="1"/>
  <c r="S1833" i="1"/>
  <c r="T1833" i="1"/>
  <c r="AC1833" i="1"/>
  <c r="AK1833" i="1"/>
  <c r="P1835" i="1"/>
  <c r="R1835" i="1" s="1"/>
  <c r="S1835" i="1"/>
  <c r="T1835" i="1"/>
  <c r="AC1835" i="1"/>
  <c r="AK1835" i="1"/>
  <c r="P1836" i="1"/>
  <c r="R1836" i="1" s="1"/>
  <c r="S1836" i="1"/>
  <c r="T1836" i="1"/>
  <c r="AC1836" i="1"/>
  <c r="AK1836" i="1"/>
  <c r="P1838" i="1"/>
  <c r="R1838" i="1" s="1"/>
  <c r="S1838" i="1"/>
  <c r="T1838" i="1"/>
  <c r="AC1838" i="1"/>
  <c r="AK1838" i="1"/>
  <c r="P1839" i="1"/>
  <c r="R1839" i="1" s="1"/>
  <c r="S1839" i="1"/>
  <c r="T1839" i="1"/>
  <c r="AC1839" i="1"/>
  <c r="AK1839" i="1"/>
  <c r="P1840" i="1"/>
  <c r="R1840" i="1"/>
  <c r="S1840" i="1"/>
  <c r="T1840" i="1"/>
  <c r="AC1840" i="1"/>
  <c r="AK1840" i="1"/>
  <c r="P1841" i="1"/>
  <c r="R1841" i="1" s="1"/>
  <c r="S1841" i="1"/>
  <c r="T1841" i="1"/>
  <c r="AC1841" i="1"/>
  <c r="AK1841" i="1"/>
  <c r="P1842" i="1"/>
  <c r="R1842" i="1" s="1"/>
  <c r="S1842" i="1"/>
  <c r="T1842" i="1"/>
  <c r="AC1842" i="1"/>
  <c r="AK1842" i="1"/>
  <c r="P1843" i="1"/>
  <c r="R1843" i="1" s="1"/>
  <c r="S1843" i="1"/>
  <c r="T1843" i="1"/>
  <c r="AC1843" i="1"/>
  <c r="AK1843" i="1"/>
  <c r="P1845" i="1"/>
  <c r="R1845" i="1"/>
  <c r="S1845" i="1"/>
  <c r="T1845" i="1"/>
  <c r="AC1845" i="1"/>
  <c r="AK1845" i="1"/>
  <c r="P1846" i="1"/>
  <c r="R1846" i="1" s="1"/>
  <c r="S1846" i="1"/>
  <c r="T1846" i="1"/>
  <c r="AC1846" i="1"/>
  <c r="AK1846" i="1"/>
  <c r="P1847" i="1"/>
  <c r="R1847" i="1" s="1"/>
  <c r="S1847" i="1"/>
  <c r="T1847" i="1"/>
  <c r="AC1847" i="1"/>
  <c r="AK1847" i="1"/>
  <c r="P1848" i="1"/>
  <c r="R1848" i="1" s="1"/>
  <c r="S1848" i="1"/>
  <c r="T1848" i="1"/>
  <c r="AC1848" i="1"/>
  <c r="AK1848" i="1"/>
  <c r="P1849" i="1"/>
  <c r="R1849" i="1" s="1"/>
  <c r="S1849" i="1"/>
  <c r="T1849" i="1"/>
  <c r="AC1849" i="1"/>
  <c r="AK1849" i="1"/>
  <c r="P1850" i="1"/>
  <c r="R1850" i="1" s="1"/>
  <c r="S1850" i="1"/>
  <c r="T1850" i="1"/>
  <c r="AC1850" i="1"/>
  <c r="AK1850" i="1"/>
  <c r="P1851" i="1"/>
  <c r="R1851" i="1"/>
  <c r="S1851" i="1"/>
  <c r="T1851" i="1"/>
  <c r="AC1851" i="1"/>
  <c r="AK1851" i="1"/>
  <c r="P1852" i="1"/>
  <c r="R1852" i="1" s="1"/>
  <c r="S1852" i="1"/>
  <c r="T1852" i="1"/>
  <c r="AC1852" i="1"/>
  <c r="AK1852" i="1"/>
  <c r="P1854" i="1"/>
  <c r="R1854" i="1" s="1"/>
  <c r="S1854" i="1"/>
  <c r="T1854" i="1"/>
  <c r="AC1854" i="1"/>
  <c r="AK1854" i="1"/>
  <c r="P1855" i="1"/>
  <c r="R1855" i="1" s="1"/>
  <c r="S1855" i="1"/>
  <c r="T1855" i="1"/>
  <c r="AC1855" i="1"/>
  <c r="AK1855" i="1"/>
  <c r="P1856" i="1"/>
  <c r="R1856" i="1" s="1"/>
  <c r="S1856" i="1"/>
  <c r="T1856" i="1"/>
  <c r="AC1856" i="1"/>
  <c r="AK1856" i="1"/>
  <c r="P1857" i="1"/>
  <c r="R1857" i="1" s="1"/>
  <c r="S1857" i="1"/>
  <c r="T1857" i="1"/>
  <c r="AC1857" i="1"/>
  <c r="AK1857" i="1"/>
  <c r="P1859" i="1"/>
  <c r="R1859" i="1" s="1"/>
  <c r="S1859" i="1"/>
  <c r="T1859" i="1"/>
  <c r="AC1859" i="1"/>
  <c r="AK1859" i="1"/>
  <c r="P1860" i="1"/>
  <c r="R1860" i="1" s="1"/>
  <c r="S1860" i="1"/>
  <c r="T1860" i="1"/>
  <c r="AC1860" i="1"/>
  <c r="AK1860" i="1"/>
  <c r="P1862" i="1"/>
  <c r="R1862" i="1" s="1"/>
  <c r="S1862" i="1"/>
  <c r="T1862" i="1"/>
  <c r="AC1862" i="1"/>
  <c r="AK1862" i="1"/>
  <c r="P1863" i="1"/>
  <c r="R1863" i="1" s="1"/>
  <c r="S1863" i="1"/>
  <c r="T1863" i="1"/>
  <c r="AC1863" i="1"/>
  <c r="AK1863" i="1"/>
  <c r="P1865" i="1"/>
  <c r="R1865" i="1" s="1"/>
  <c r="S1865" i="1"/>
  <c r="T1865" i="1"/>
  <c r="AC1865" i="1"/>
  <c r="AK1865" i="1"/>
  <c r="P1866" i="1"/>
  <c r="R1866" i="1" s="1"/>
  <c r="AC1866" i="1"/>
  <c r="AK1866" i="1"/>
  <c r="P1868" i="1"/>
  <c r="R1868" i="1" s="1"/>
  <c r="S1868" i="1"/>
  <c r="T1868" i="1"/>
  <c r="AC1868" i="1"/>
  <c r="AK1868" i="1"/>
  <c r="P1869" i="1"/>
  <c r="R1869" i="1" s="1"/>
  <c r="S1869" i="1"/>
  <c r="T1869" i="1"/>
  <c r="AC1869" i="1"/>
  <c r="AK1869" i="1"/>
  <c r="P1871" i="1"/>
  <c r="R1871" i="1" s="1"/>
  <c r="S1871" i="1"/>
  <c r="T1871" i="1"/>
  <c r="AC1871" i="1"/>
  <c r="AK1871" i="1"/>
  <c r="P1872" i="1"/>
  <c r="R1872" i="1" s="1"/>
  <c r="S1872" i="1"/>
  <c r="T1872" i="1"/>
  <c r="AC1872" i="1"/>
  <c r="AK1872" i="1"/>
  <c r="P1873" i="1"/>
  <c r="R1873" i="1" s="1"/>
  <c r="S1873" i="1"/>
  <c r="T1873" i="1"/>
  <c r="AC1873" i="1"/>
  <c r="AK1873" i="1"/>
  <c r="P1874" i="1"/>
  <c r="R1874" i="1" s="1"/>
  <c r="S1874" i="1"/>
  <c r="T1874" i="1"/>
  <c r="AC1874" i="1"/>
  <c r="AK1874" i="1"/>
  <c r="P1876" i="1"/>
  <c r="R1876" i="1" s="1"/>
  <c r="S1876" i="1"/>
  <c r="T1876" i="1"/>
  <c r="AC1876" i="1"/>
  <c r="AK1876" i="1"/>
  <c r="P1877" i="1"/>
  <c r="R1877" i="1" s="1"/>
  <c r="S1877" i="1"/>
  <c r="T1877" i="1"/>
  <c r="AC1877" i="1"/>
  <c r="AK1877" i="1"/>
  <c r="P1878" i="1"/>
  <c r="R1878" i="1" s="1"/>
  <c r="S1878" i="1"/>
  <c r="T1878" i="1"/>
  <c r="AC1878" i="1"/>
  <c r="AK1878" i="1"/>
  <c r="P1879" i="1"/>
  <c r="R1879" i="1" s="1"/>
  <c r="S1879" i="1"/>
  <c r="T1879" i="1"/>
  <c r="AC1879" i="1"/>
  <c r="AK1879" i="1"/>
  <c r="P1880" i="1"/>
  <c r="R1880" i="1" s="1"/>
  <c r="S1880" i="1"/>
  <c r="T1880" i="1"/>
  <c r="AC1880" i="1"/>
  <c r="AK1880" i="1"/>
  <c r="P1881" i="1"/>
  <c r="R1881" i="1" s="1"/>
  <c r="S1881" i="1"/>
  <c r="T1881" i="1"/>
  <c r="AC1881" i="1"/>
  <c r="AK1881" i="1"/>
  <c r="P1882" i="1"/>
  <c r="R1882" i="1" s="1"/>
  <c r="S1882" i="1"/>
  <c r="T1882" i="1"/>
  <c r="AC1882" i="1"/>
  <c r="AK1882" i="1"/>
  <c r="P1883" i="1"/>
  <c r="R1883" i="1" s="1"/>
  <c r="S1883" i="1"/>
  <c r="T1883" i="1"/>
  <c r="AC1883" i="1"/>
  <c r="AK1883" i="1"/>
  <c r="P1884" i="1"/>
  <c r="R1884" i="1" s="1"/>
  <c r="S1884" i="1"/>
  <c r="T1884" i="1"/>
  <c r="AC1884" i="1"/>
  <c r="AK1884" i="1"/>
  <c r="P1885" i="1"/>
  <c r="R1885" i="1" s="1"/>
  <c r="S1885" i="1"/>
  <c r="T1885" i="1"/>
  <c r="AC1885" i="1"/>
  <c r="AK1885" i="1"/>
  <c r="P1886" i="1"/>
  <c r="R1886" i="1" s="1"/>
  <c r="S1886" i="1"/>
  <c r="T1886" i="1"/>
  <c r="AC1886" i="1"/>
  <c r="AK1886" i="1"/>
  <c r="P1887" i="1"/>
  <c r="R1887" i="1" s="1"/>
  <c r="S1887" i="1"/>
  <c r="T1887" i="1"/>
  <c r="AC1887" i="1"/>
  <c r="AK1887" i="1"/>
  <c r="P1889" i="1"/>
  <c r="R1889" i="1" s="1"/>
  <c r="S1889" i="1"/>
  <c r="T1889" i="1"/>
  <c r="AC1889" i="1"/>
  <c r="AK1889" i="1"/>
  <c r="P1890" i="1"/>
  <c r="R1890" i="1" s="1"/>
  <c r="S1890" i="1"/>
  <c r="T1890" i="1"/>
  <c r="AC1890" i="1"/>
  <c r="AK1890" i="1"/>
  <c r="P1891" i="1"/>
  <c r="R1891" i="1" s="1"/>
  <c r="S1891" i="1"/>
  <c r="T1891" i="1"/>
  <c r="AC1891" i="1"/>
  <c r="AK1891" i="1"/>
  <c r="P1892" i="1"/>
  <c r="R1892" i="1" s="1"/>
  <c r="S1892" i="1"/>
  <c r="T1892" i="1"/>
  <c r="AC1892" i="1"/>
  <c r="AK1892" i="1"/>
  <c r="P1894" i="1"/>
  <c r="R1894" i="1" s="1"/>
  <c r="S1894" i="1"/>
  <c r="T1894" i="1"/>
  <c r="AC1894" i="1"/>
  <c r="AK1894" i="1"/>
  <c r="P1895" i="1"/>
  <c r="R1895" i="1" s="1"/>
  <c r="S1895" i="1"/>
  <c r="T1895" i="1"/>
  <c r="AC1895" i="1"/>
  <c r="AK1895" i="1"/>
  <c r="P1896" i="1"/>
  <c r="R1896" i="1" s="1"/>
  <c r="S1896" i="1"/>
  <c r="T1896" i="1"/>
  <c r="AC1896" i="1"/>
  <c r="AK1896" i="1"/>
  <c r="P1897" i="1"/>
  <c r="R1897" i="1" s="1"/>
  <c r="S1897" i="1"/>
  <c r="T1897" i="1"/>
  <c r="AC1897" i="1"/>
  <c r="AK1897" i="1"/>
  <c r="P1899" i="1"/>
  <c r="R1899" i="1" s="1"/>
  <c r="S1899" i="1"/>
  <c r="T1899" i="1"/>
  <c r="AC1899" i="1"/>
  <c r="AK1899" i="1"/>
  <c r="P1901" i="1"/>
  <c r="R1901" i="1" s="1"/>
  <c r="S1901" i="1"/>
  <c r="T1901" i="1"/>
  <c r="AC1901" i="1"/>
  <c r="AK1901" i="1"/>
  <c r="P1902" i="1"/>
  <c r="R1902" i="1" s="1"/>
  <c r="S1902" i="1"/>
  <c r="T1902" i="1"/>
  <c r="AC1902" i="1"/>
  <c r="AK1902" i="1"/>
  <c r="P1903" i="1"/>
  <c r="R1903" i="1" s="1"/>
  <c r="S1903" i="1"/>
  <c r="T1903" i="1"/>
  <c r="AC1903" i="1"/>
  <c r="AK1903" i="1"/>
  <c r="P1904" i="1"/>
  <c r="R1904" i="1" s="1"/>
  <c r="S1904" i="1"/>
  <c r="T1904" i="1"/>
  <c r="AC1904" i="1"/>
  <c r="AK1904" i="1"/>
  <c r="P1906" i="1"/>
  <c r="R1906" i="1" s="1"/>
  <c r="S1906" i="1"/>
  <c r="T1906" i="1"/>
  <c r="AC1906" i="1"/>
  <c r="AK1906" i="1"/>
  <c r="P1907" i="1"/>
  <c r="R1907" i="1" s="1"/>
  <c r="S1907" i="1"/>
  <c r="T1907" i="1"/>
  <c r="AC1907" i="1"/>
  <c r="AK1907" i="1"/>
  <c r="P1908" i="1"/>
  <c r="R1908" i="1" s="1"/>
  <c r="S1908" i="1"/>
  <c r="T1908" i="1"/>
  <c r="AC1908" i="1"/>
  <c r="AK1908" i="1"/>
  <c r="P1909" i="1"/>
  <c r="R1909" i="1" s="1"/>
  <c r="S1909" i="1"/>
  <c r="T1909" i="1"/>
  <c r="AC1909" i="1"/>
  <c r="AK1909" i="1"/>
  <c r="P1911" i="1"/>
  <c r="R1911" i="1" s="1"/>
  <c r="S1911" i="1"/>
  <c r="T1911" i="1"/>
  <c r="AC1911" i="1"/>
  <c r="AK1911" i="1"/>
  <c r="P1912" i="1"/>
  <c r="R1912" i="1" s="1"/>
  <c r="S1912" i="1"/>
  <c r="T1912" i="1"/>
  <c r="AC1912" i="1"/>
  <c r="AK1912" i="1"/>
  <c r="P1913" i="1"/>
  <c r="R1913" i="1" s="1"/>
  <c r="S1913" i="1"/>
  <c r="T1913" i="1"/>
  <c r="AC1913" i="1"/>
  <c r="AK1913" i="1"/>
  <c r="P1914" i="1"/>
  <c r="R1914" i="1" s="1"/>
  <c r="S1914" i="1"/>
  <c r="T1914" i="1"/>
  <c r="AC1914" i="1"/>
  <c r="AK1914" i="1"/>
  <c r="P1915" i="1"/>
  <c r="R1915" i="1" s="1"/>
  <c r="S1915" i="1"/>
  <c r="T1915" i="1"/>
  <c r="AC1915" i="1"/>
  <c r="AK1915" i="1"/>
  <c r="P1916" i="1"/>
  <c r="R1916" i="1" s="1"/>
  <c r="S1916" i="1"/>
  <c r="T1916" i="1"/>
  <c r="AC1916" i="1"/>
  <c r="AK1916" i="1"/>
  <c r="P1917" i="1"/>
  <c r="R1917" i="1" s="1"/>
  <c r="S1917" i="1"/>
  <c r="T1917" i="1"/>
  <c r="AC1917" i="1"/>
  <c r="AK1917" i="1"/>
  <c r="P1918" i="1"/>
  <c r="R1918" i="1" s="1"/>
  <c r="S1918" i="1"/>
  <c r="T1918" i="1"/>
  <c r="AC1918" i="1"/>
  <c r="AK1918" i="1"/>
  <c r="P1920" i="1"/>
  <c r="R1920" i="1" s="1"/>
  <c r="S1920" i="1"/>
  <c r="T1920" i="1"/>
  <c r="AC1920" i="1"/>
  <c r="AK1920" i="1"/>
  <c r="P1921" i="1"/>
  <c r="R1921" i="1" s="1"/>
  <c r="S1921" i="1"/>
  <c r="T1921" i="1"/>
  <c r="AC1921" i="1"/>
  <c r="AK1921" i="1"/>
  <c r="P1922" i="1"/>
  <c r="R1922" i="1" s="1"/>
  <c r="S1922" i="1"/>
  <c r="T1922" i="1"/>
  <c r="AC1922" i="1"/>
  <c r="AK1922" i="1"/>
  <c r="P1923" i="1"/>
  <c r="R1923" i="1" s="1"/>
  <c r="S1923" i="1"/>
  <c r="T1923" i="1"/>
  <c r="AC1923" i="1"/>
  <c r="AK1923" i="1"/>
  <c r="P1924" i="1"/>
  <c r="R1924" i="1" s="1"/>
  <c r="S1924" i="1"/>
  <c r="T1924" i="1"/>
  <c r="AC1924" i="1"/>
  <c r="AK1924" i="1"/>
  <c r="P1925" i="1"/>
  <c r="R1925" i="1" s="1"/>
  <c r="S1925" i="1"/>
  <c r="T1925" i="1"/>
  <c r="AC1925" i="1"/>
  <c r="AK1925" i="1"/>
  <c r="P1927" i="1"/>
  <c r="R1927" i="1" s="1"/>
  <c r="S1927" i="1"/>
  <c r="T1927" i="1"/>
  <c r="AC1927" i="1"/>
  <c r="AK1927" i="1"/>
  <c r="P1928" i="1"/>
  <c r="R1928" i="1" s="1"/>
  <c r="S1928" i="1"/>
  <c r="T1928" i="1"/>
  <c r="AC1928" i="1"/>
  <c r="AK1928" i="1"/>
  <c r="P1929" i="1"/>
  <c r="R1929" i="1" s="1"/>
  <c r="S1929" i="1"/>
  <c r="T1929" i="1"/>
  <c r="AC1929" i="1"/>
  <c r="AK1929" i="1"/>
  <c r="P1930" i="1"/>
  <c r="R1930" i="1" s="1"/>
  <c r="S1930" i="1"/>
  <c r="T1930" i="1"/>
  <c r="AC1930" i="1"/>
  <c r="AK1930" i="1"/>
  <c r="P1932" i="1"/>
  <c r="R1932" i="1" s="1"/>
  <c r="S1932" i="1"/>
  <c r="T1932" i="1"/>
  <c r="AC1932" i="1"/>
  <c r="AK1932" i="1"/>
  <c r="P1934" i="1"/>
  <c r="R1934" i="1" s="1"/>
  <c r="S1934" i="1"/>
  <c r="T1934" i="1"/>
  <c r="AC1934" i="1"/>
  <c r="AK1934" i="1"/>
  <c r="P1935" i="1"/>
  <c r="R1935" i="1" s="1"/>
  <c r="S1935" i="1"/>
  <c r="T1935" i="1"/>
  <c r="AC1935" i="1"/>
  <c r="AK1935" i="1"/>
  <c r="P1936" i="1"/>
  <c r="R1936" i="1" s="1"/>
  <c r="S1936" i="1"/>
  <c r="T1936" i="1"/>
  <c r="AC1936" i="1"/>
  <c r="AK1936" i="1"/>
  <c r="P1937" i="1"/>
  <c r="R1937" i="1" s="1"/>
  <c r="S1937" i="1"/>
  <c r="T1937" i="1"/>
  <c r="AC1937" i="1"/>
  <c r="AK1937" i="1"/>
  <c r="P1939" i="1"/>
  <c r="R1939" i="1" s="1"/>
  <c r="S1939" i="1"/>
  <c r="T1939" i="1"/>
  <c r="AC1939" i="1"/>
  <c r="AK1939" i="1"/>
  <c r="P1940" i="1"/>
  <c r="R1940" i="1" s="1"/>
  <c r="S1940" i="1"/>
  <c r="T1940" i="1"/>
  <c r="AC1940" i="1"/>
  <c r="AK1940" i="1"/>
  <c r="P1941" i="1"/>
  <c r="R1941" i="1" s="1"/>
  <c r="S1941" i="1"/>
  <c r="T1941" i="1"/>
  <c r="AC1941" i="1"/>
  <c r="AK1941" i="1"/>
  <c r="P1942" i="1"/>
  <c r="R1942" i="1" s="1"/>
  <c r="S1942" i="1"/>
  <c r="T1942" i="1"/>
  <c r="AC1942" i="1"/>
  <c r="AK1942" i="1"/>
  <c r="P1944" i="1"/>
  <c r="R1944" i="1" s="1"/>
  <c r="S1944" i="1"/>
  <c r="T1944" i="1"/>
  <c r="AC1944" i="1"/>
  <c r="AK1944" i="1"/>
  <c r="P1945" i="1"/>
  <c r="R1945" i="1" s="1"/>
  <c r="S1945" i="1"/>
  <c r="T1945" i="1"/>
  <c r="AC1945" i="1"/>
  <c r="AK1945" i="1"/>
  <c r="P1947" i="1"/>
  <c r="R1947" i="1" s="1"/>
  <c r="AC1947" i="1"/>
  <c r="AK1947" i="1"/>
  <c r="P1949" i="1"/>
  <c r="R1949" i="1" s="1"/>
  <c r="S1949" i="1"/>
  <c r="T1949" i="1"/>
  <c r="AC1949" i="1"/>
  <c r="AK1949" i="1"/>
  <c r="P1950" i="1"/>
  <c r="R1950" i="1" s="1"/>
  <c r="S1950" i="1"/>
  <c r="T1950" i="1"/>
  <c r="AC1950" i="1"/>
  <c r="AK1950" i="1"/>
  <c r="P1951" i="1"/>
  <c r="R1951" i="1" s="1"/>
  <c r="AC1951" i="1"/>
  <c r="AK1951" i="1"/>
  <c r="P1952" i="1"/>
  <c r="R1952" i="1" s="1"/>
  <c r="S1952" i="1"/>
  <c r="T1952" i="1"/>
  <c r="AC1952" i="1"/>
  <c r="AK1952" i="1"/>
  <c r="P1954" i="1"/>
  <c r="R1954" i="1" s="1"/>
  <c r="S1954" i="1"/>
  <c r="T1954" i="1"/>
  <c r="AC1954" i="1"/>
  <c r="AK1954" i="1"/>
  <c r="P1955" i="1"/>
  <c r="R1955" i="1" s="1"/>
  <c r="S1955" i="1"/>
  <c r="T1955" i="1"/>
  <c r="AC1955" i="1"/>
  <c r="AK1955" i="1"/>
  <c r="P1956" i="1"/>
  <c r="R1956" i="1" s="1"/>
  <c r="S1956" i="1"/>
  <c r="T1956" i="1"/>
  <c r="AC1956" i="1"/>
  <c r="AK1956" i="1"/>
  <c r="P1957" i="1"/>
  <c r="R1957" i="1" s="1"/>
  <c r="S1957" i="1"/>
  <c r="T1957" i="1"/>
  <c r="AC1957" i="1"/>
  <c r="AK1957" i="1"/>
  <c r="P1958" i="1"/>
  <c r="R1958" i="1" s="1"/>
  <c r="S1958" i="1"/>
  <c r="T1958" i="1"/>
  <c r="AC1958" i="1"/>
  <c r="AK1958" i="1"/>
  <c r="P1959" i="1"/>
  <c r="R1959" i="1" s="1"/>
  <c r="S1959" i="1"/>
  <c r="T1959" i="1"/>
  <c r="AC1959" i="1"/>
  <c r="AK1959" i="1"/>
  <c r="P1960" i="1"/>
  <c r="R1960" i="1" s="1"/>
  <c r="S1960" i="1"/>
  <c r="T1960" i="1"/>
  <c r="AC1960" i="1"/>
  <c r="AK1960" i="1"/>
  <c r="P1962" i="1"/>
  <c r="R1962" i="1" s="1"/>
  <c r="S1962" i="1"/>
  <c r="T1962" i="1"/>
  <c r="AC1962" i="1"/>
  <c r="AK1962" i="1"/>
  <c r="P1963" i="1"/>
  <c r="R1963" i="1" s="1"/>
  <c r="S1963" i="1"/>
  <c r="T1963" i="1"/>
  <c r="AC1963" i="1"/>
  <c r="AK1963" i="1"/>
  <c r="P1964" i="1"/>
  <c r="R1964" i="1" s="1"/>
  <c r="S1964" i="1"/>
  <c r="T1964" i="1"/>
  <c r="AC1964" i="1"/>
  <c r="AK1964" i="1"/>
  <c r="P1966" i="1"/>
  <c r="R1966" i="1" s="1"/>
  <c r="S1966" i="1"/>
  <c r="T1966" i="1"/>
  <c r="AC1966" i="1"/>
  <c r="AK1966" i="1"/>
  <c r="P1967" i="1"/>
  <c r="R1967" i="1" s="1"/>
  <c r="S1967" i="1"/>
  <c r="T1967" i="1"/>
  <c r="AC1967" i="1"/>
  <c r="AK1967" i="1"/>
  <c r="P1968" i="1"/>
  <c r="R1968" i="1" s="1"/>
  <c r="S1968" i="1"/>
  <c r="T1968" i="1"/>
  <c r="AC1968" i="1"/>
  <c r="AK1968" i="1"/>
  <c r="P1969" i="1"/>
  <c r="R1969" i="1" s="1"/>
  <c r="S1969" i="1"/>
  <c r="T1969" i="1"/>
  <c r="AC1969" i="1"/>
  <c r="AK1969" i="1"/>
  <c r="P1971" i="1"/>
  <c r="R1971" i="1" s="1"/>
  <c r="S1971" i="1"/>
  <c r="T1971" i="1"/>
  <c r="P1973" i="1"/>
  <c r="R1973" i="1" s="1"/>
  <c r="S1973" i="1"/>
  <c r="T1973" i="1"/>
  <c r="AC1973" i="1"/>
  <c r="AK1973" i="1"/>
  <c r="P1974" i="1"/>
  <c r="R1974" i="1" s="1"/>
  <c r="S1974" i="1"/>
  <c r="T1974" i="1"/>
  <c r="AC1974" i="1"/>
  <c r="AK1974" i="1"/>
  <c r="P1975" i="1"/>
  <c r="R1975" i="1" s="1"/>
  <c r="S1975" i="1"/>
  <c r="T1975" i="1"/>
  <c r="AC1975" i="1"/>
  <c r="AK1975" i="1"/>
  <c r="P1976" i="1"/>
  <c r="R1976" i="1" s="1"/>
  <c r="S1976" i="1"/>
  <c r="T1976" i="1"/>
  <c r="AC1976" i="1"/>
  <c r="AK1976" i="1"/>
  <c r="P1977" i="1"/>
  <c r="R1977" i="1" s="1"/>
  <c r="S1977" i="1"/>
  <c r="T1977" i="1"/>
  <c r="AC1977" i="1"/>
  <c r="AK1977" i="1"/>
  <c r="P1978" i="1"/>
  <c r="R1978" i="1" s="1"/>
  <c r="S1978" i="1"/>
  <c r="T1978" i="1"/>
  <c r="AC1978" i="1"/>
  <c r="AK1978" i="1"/>
  <c r="P1979" i="1"/>
  <c r="R1979" i="1" s="1"/>
  <c r="S1979" i="1"/>
  <c r="T1979" i="1"/>
  <c r="AC1979" i="1"/>
  <c r="AK1979" i="1"/>
  <c r="P1980" i="1"/>
  <c r="R1980" i="1" s="1"/>
  <c r="S1980" i="1"/>
  <c r="T1980" i="1"/>
  <c r="AC1980" i="1"/>
  <c r="AK1980" i="1"/>
  <c r="P1982" i="1"/>
  <c r="R1982" i="1" s="1"/>
  <c r="S1982" i="1"/>
  <c r="T1982" i="1"/>
  <c r="AC1982" i="1"/>
  <c r="AK1982" i="1"/>
  <c r="P1983" i="1"/>
  <c r="R1983" i="1" s="1"/>
  <c r="S1983" i="1"/>
  <c r="T1983" i="1"/>
  <c r="AC1983" i="1"/>
  <c r="AK1983" i="1"/>
  <c r="P1984" i="1"/>
  <c r="R1984" i="1" s="1"/>
  <c r="S1984" i="1"/>
  <c r="T1984" i="1"/>
  <c r="AC1984" i="1"/>
  <c r="AK1984" i="1"/>
  <c r="P1985" i="1"/>
  <c r="R1985" i="1" s="1"/>
  <c r="S1985" i="1"/>
  <c r="T1985" i="1"/>
  <c r="AC1985" i="1"/>
  <c r="AK1985" i="1"/>
  <c r="P1986" i="1"/>
  <c r="R1986" i="1" s="1"/>
  <c r="S1986" i="1"/>
  <c r="T1986" i="1"/>
  <c r="AC1986" i="1"/>
  <c r="AK1986" i="1"/>
  <c r="P1987" i="1"/>
  <c r="R1987" i="1" s="1"/>
  <c r="S1987" i="1"/>
  <c r="T1987" i="1"/>
  <c r="AC1987" i="1"/>
  <c r="AK1987" i="1"/>
  <c r="P1988" i="1"/>
  <c r="R1988" i="1" s="1"/>
  <c r="S1988" i="1"/>
  <c r="T1988" i="1"/>
  <c r="AC1988" i="1"/>
  <c r="AK1988" i="1"/>
  <c r="P1990" i="1"/>
  <c r="R1990" i="1" s="1"/>
  <c r="S1990" i="1"/>
  <c r="T1990" i="1"/>
  <c r="AC1990" i="1"/>
  <c r="AK1990" i="1"/>
  <c r="P1991" i="1"/>
  <c r="R1991" i="1" s="1"/>
  <c r="S1991" i="1"/>
  <c r="T1991" i="1"/>
  <c r="AC1991" i="1"/>
  <c r="AK1991" i="1"/>
  <c r="P1994" i="1"/>
  <c r="R1994" i="1" s="1"/>
  <c r="S1994" i="1"/>
  <c r="T1994" i="1"/>
  <c r="AC1994" i="1"/>
  <c r="AK1994" i="1"/>
  <c r="P1995" i="1"/>
  <c r="R1995" i="1" s="1"/>
  <c r="S1995" i="1"/>
  <c r="T1995" i="1"/>
  <c r="AC1995" i="1"/>
  <c r="AK1995" i="1"/>
  <c r="P1996" i="1"/>
  <c r="R1996" i="1" s="1"/>
  <c r="S1996" i="1"/>
  <c r="T1996" i="1"/>
  <c r="AC1996" i="1"/>
  <c r="AK1996" i="1"/>
  <c r="P1998" i="1"/>
  <c r="R1998" i="1" s="1"/>
  <c r="S1998" i="1"/>
  <c r="T1998" i="1"/>
  <c r="AC1998" i="1"/>
  <c r="AK1998" i="1"/>
  <c r="P1999" i="1"/>
  <c r="R1999" i="1" s="1"/>
  <c r="S1999" i="1"/>
  <c r="T1999" i="1"/>
  <c r="AC1999" i="1"/>
  <c r="AK1999" i="1"/>
  <c r="P2001" i="1"/>
  <c r="R2001" i="1" s="1"/>
  <c r="S2001" i="1"/>
  <c r="T2001" i="1"/>
  <c r="AC2001" i="1"/>
  <c r="AK2001" i="1"/>
  <c r="P2002" i="1"/>
  <c r="R2002" i="1" s="1"/>
  <c r="S2002" i="1"/>
  <c r="T2002" i="1"/>
  <c r="AC2002" i="1"/>
  <c r="AK2002" i="1"/>
  <c r="P2003" i="1"/>
  <c r="R2003" i="1" s="1"/>
  <c r="S2003" i="1"/>
  <c r="T2003" i="1"/>
  <c r="AC2003" i="1"/>
  <c r="AK2003" i="1"/>
  <c r="P2004" i="1"/>
  <c r="R2004" i="1" s="1"/>
  <c r="S2004" i="1"/>
  <c r="T2004" i="1"/>
  <c r="AC2004" i="1"/>
  <c r="AK2004" i="1"/>
  <c r="P2005" i="1"/>
  <c r="R2005" i="1" s="1"/>
  <c r="S2005" i="1"/>
  <c r="T2005" i="1"/>
  <c r="AC2005" i="1"/>
  <c r="AK2005" i="1"/>
  <c r="P2007" i="1"/>
  <c r="R2007" i="1" s="1"/>
  <c r="S2007" i="1"/>
  <c r="T2007" i="1"/>
  <c r="AC2007" i="1"/>
  <c r="AK2007" i="1"/>
  <c r="P2008" i="1"/>
  <c r="R2008" i="1" s="1"/>
  <c r="S2008" i="1"/>
  <c r="T2008" i="1"/>
  <c r="AC2008" i="1"/>
  <c r="AK2008" i="1"/>
  <c r="P2011" i="1"/>
  <c r="R2011" i="1" s="1"/>
  <c r="S2011" i="1"/>
  <c r="T2011" i="1"/>
  <c r="AC2011" i="1"/>
  <c r="AK2011" i="1"/>
  <c r="P2012" i="1"/>
  <c r="R2012" i="1" s="1"/>
  <c r="S2012" i="1"/>
  <c r="T2012" i="1"/>
  <c r="AC2012" i="1"/>
  <c r="AK2012" i="1"/>
  <c r="P2013" i="1"/>
  <c r="R2013" i="1" s="1"/>
  <c r="S2013" i="1"/>
  <c r="T2013" i="1"/>
  <c r="AC2013" i="1"/>
  <c r="AK2013" i="1"/>
  <c r="P2014" i="1"/>
  <c r="R2014" i="1" s="1"/>
  <c r="S2014" i="1"/>
  <c r="T2014" i="1"/>
  <c r="AC2014" i="1"/>
  <c r="AK2014" i="1"/>
  <c r="P2015" i="1"/>
  <c r="R2015" i="1" s="1"/>
  <c r="S2015" i="1"/>
  <c r="T2015" i="1"/>
  <c r="AC2015" i="1"/>
  <c r="AK2015" i="1"/>
  <c r="P2016" i="1"/>
  <c r="R2016" i="1" s="1"/>
  <c r="S2016" i="1"/>
  <c r="T2016" i="1"/>
  <c r="AC2016" i="1"/>
  <c r="AK2016" i="1"/>
  <c r="P2017" i="1"/>
  <c r="R2017" i="1" s="1"/>
  <c r="S2017" i="1"/>
  <c r="T2017" i="1"/>
  <c r="AC2017" i="1"/>
  <c r="AK2017" i="1"/>
  <c r="P2018" i="1"/>
  <c r="R2018" i="1" s="1"/>
  <c r="S2018" i="1"/>
  <c r="T2018" i="1"/>
  <c r="AC2018" i="1"/>
  <c r="AK2018" i="1"/>
  <c r="P2019" i="1"/>
  <c r="R2019" i="1" s="1"/>
  <c r="S2019" i="1"/>
  <c r="T2019" i="1"/>
  <c r="AC2019" i="1"/>
  <c r="AK2019" i="1"/>
  <c r="P2020" i="1"/>
  <c r="R2020" i="1" s="1"/>
  <c r="S2020" i="1"/>
  <c r="T2020" i="1"/>
  <c r="AC2020" i="1"/>
  <c r="AK2020" i="1"/>
  <c r="P2021" i="1"/>
  <c r="R2021" i="1" s="1"/>
  <c r="S2021" i="1"/>
  <c r="AC2021" i="1"/>
  <c r="AK2021" i="1"/>
  <c r="P2022" i="1"/>
  <c r="R2022" i="1"/>
  <c r="S2022" i="1"/>
  <c r="T2022" i="1"/>
  <c r="AC2022" i="1"/>
  <c r="AK2022" i="1"/>
  <c r="P2023" i="1"/>
  <c r="R2023" i="1"/>
  <c r="S2023" i="1"/>
  <c r="T2023" i="1"/>
  <c r="AC2023" i="1"/>
  <c r="AK2023" i="1"/>
  <c r="P2024" i="1"/>
  <c r="R2024" i="1"/>
  <c r="S2024" i="1"/>
  <c r="T2024" i="1"/>
  <c r="AC2024" i="1"/>
  <c r="AK2024" i="1"/>
  <c r="P2025" i="1"/>
  <c r="R2025" i="1"/>
  <c r="S2025" i="1"/>
  <c r="T2025" i="1"/>
  <c r="AC2025" i="1"/>
  <c r="AK2025" i="1"/>
  <c r="P2026" i="1"/>
  <c r="R2026" i="1"/>
  <c r="S2026" i="1"/>
  <c r="T2026" i="1"/>
  <c r="AC2026" i="1"/>
  <c r="AK2026" i="1"/>
  <c r="P2027" i="1"/>
  <c r="R2027" i="1"/>
  <c r="S2027" i="1"/>
  <c r="T2027" i="1"/>
  <c r="AC2027" i="1"/>
  <c r="AK2027" i="1"/>
  <c r="P2029" i="1"/>
  <c r="R2029" i="1"/>
  <c r="S2029" i="1"/>
  <c r="T2029" i="1"/>
  <c r="AC2029" i="1"/>
  <c r="AK2029" i="1"/>
  <c r="P2030" i="1"/>
  <c r="R2030" i="1" s="1"/>
  <c r="S2030" i="1"/>
  <c r="T2030" i="1"/>
  <c r="AC2030" i="1"/>
  <c r="AK2030" i="1"/>
  <c r="P2031" i="1"/>
  <c r="R2031" i="1"/>
  <c r="S2031" i="1"/>
  <c r="T2031" i="1"/>
  <c r="AC2031" i="1"/>
  <c r="AK2031" i="1"/>
  <c r="P2032" i="1"/>
  <c r="R2032" i="1"/>
  <c r="S2032" i="1"/>
  <c r="T2032" i="1"/>
  <c r="AC2032" i="1"/>
  <c r="AK2032" i="1"/>
  <c r="P2033" i="1"/>
  <c r="R2033" i="1"/>
  <c r="S2033" i="1"/>
  <c r="T2033" i="1"/>
  <c r="AC2033" i="1"/>
  <c r="AK2033" i="1"/>
  <c r="P2034" i="1"/>
  <c r="R2034" i="1" s="1"/>
  <c r="AC2034" i="1"/>
  <c r="AK2034" i="1"/>
  <c r="P2035" i="1"/>
  <c r="R2035" i="1" s="1"/>
  <c r="S2035" i="1"/>
  <c r="T2035" i="1"/>
  <c r="AC2035" i="1"/>
  <c r="AK2035" i="1"/>
  <c r="P2036" i="1"/>
  <c r="R2036" i="1"/>
  <c r="S2036" i="1"/>
  <c r="T2036" i="1"/>
  <c r="AC2036" i="1"/>
  <c r="AK2036" i="1"/>
  <c r="P2037" i="1"/>
  <c r="R2037" i="1"/>
  <c r="S2037" i="1"/>
  <c r="T2037" i="1"/>
  <c r="AC2037" i="1"/>
  <c r="AK2037" i="1"/>
  <c r="P2038" i="1"/>
  <c r="R2038" i="1"/>
  <c r="S2038" i="1"/>
  <c r="T2038" i="1"/>
  <c r="AC2038" i="1"/>
  <c r="AK2038" i="1"/>
  <c r="P2039" i="1"/>
  <c r="R2039" i="1"/>
  <c r="S2039" i="1"/>
  <c r="T2039" i="1"/>
  <c r="AC2039" i="1"/>
  <c r="AK2039" i="1"/>
  <c r="P2040" i="1"/>
  <c r="R2040" i="1"/>
  <c r="S2040" i="1"/>
  <c r="T2040" i="1"/>
  <c r="AC2040" i="1"/>
  <c r="AK2040" i="1"/>
  <c r="P2041" i="1"/>
  <c r="R2041" i="1"/>
  <c r="S2041" i="1"/>
  <c r="T2041" i="1"/>
  <c r="AC2041" i="1"/>
  <c r="AK2041" i="1"/>
  <c r="P2042" i="1"/>
  <c r="R2042" i="1" s="1"/>
  <c r="S2042" i="1"/>
  <c r="T2042" i="1"/>
  <c r="AC2042" i="1"/>
  <c r="AK2042" i="1"/>
  <c r="P2043" i="1"/>
  <c r="R2043" i="1"/>
  <c r="S2043" i="1"/>
  <c r="T2043" i="1"/>
  <c r="AC2043" i="1"/>
  <c r="AK2043" i="1"/>
  <c r="P2044" i="1"/>
  <c r="R2044" i="1"/>
  <c r="S2044" i="1"/>
  <c r="T2044" i="1"/>
  <c r="AC2044" i="1"/>
  <c r="AK2044" i="1"/>
  <c r="P2047" i="1"/>
  <c r="R2047" i="1"/>
  <c r="S2047" i="1"/>
  <c r="T2047" i="1"/>
  <c r="AC2047" i="1"/>
  <c r="AK2047" i="1"/>
  <c r="P2048" i="1"/>
  <c r="R2048" i="1" s="1"/>
  <c r="S2048" i="1"/>
  <c r="T2048" i="1"/>
  <c r="AC2048" i="1"/>
  <c r="AK2048" i="1"/>
  <c r="P2050" i="1"/>
  <c r="R2050" i="1"/>
  <c r="S2050" i="1"/>
  <c r="T2050" i="1"/>
  <c r="AC2050" i="1"/>
  <c r="AK2050" i="1"/>
  <c r="P2052" i="1"/>
  <c r="R2052" i="1" s="1"/>
  <c r="S2052" i="1"/>
  <c r="T2052" i="1"/>
  <c r="AC2052" i="1"/>
  <c r="AK2052" i="1"/>
  <c r="P2054" i="1"/>
  <c r="R2054" i="1"/>
  <c r="S2054" i="1"/>
  <c r="T2054" i="1"/>
  <c r="AC2054" i="1"/>
  <c r="AK2054" i="1"/>
  <c r="P2055" i="1"/>
  <c r="R2055" i="1" s="1"/>
  <c r="S2055" i="1"/>
  <c r="T2055" i="1"/>
  <c r="AC2055" i="1"/>
  <c r="AK2055" i="1"/>
  <c r="P2056" i="1"/>
  <c r="R2056" i="1"/>
  <c r="S2056" i="1"/>
  <c r="T2056" i="1"/>
  <c r="AC2056" i="1"/>
  <c r="AK2056" i="1"/>
  <c r="P2057" i="1"/>
  <c r="R2057" i="1"/>
  <c r="S2057" i="1"/>
  <c r="T2057" i="1"/>
  <c r="AC2057" i="1"/>
  <c r="AK2057" i="1"/>
  <c r="P2058" i="1"/>
  <c r="R2058" i="1"/>
  <c r="S2058" i="1"/>
  <c r="T2058" i="1"/>
  <c r="AC2058" i="1"/>
  <c r="AK2058" i="1"/>
  <c r="P2059" i="1"/>
  <c r="R2059" i="1"/>
  <c r="S2059" i="1"/>
  <c r="T2059" i="1"/>
  <c r="AC2059" i="1"/>
  <c r="AK2059" i="1"/>
  <c r="P2061" i="1"/>
  <c r="R2061" i="1"/>
  <c r="S2061" i="1"/>
  <c r="T2061" i="1"/>
  <c r="AC2061" i="1"/>
  <c r="AK2061" i="1"/>
  <c r="P2062" i="1"/>
  <c r="R2062" i="1"/>
  <c r="S2062" i="1"/>
  <c r="T2062" i="1"/>
  <c r="AC2062" i="1"/>
  <c r="AK2062" i="1"/>
  <c r="P2063" i="1"/>
  <c r="R2063" i="1"/>
  <c r="AC2063" i="1"/>
  <c r="AK2063" i="1"/>
  <c r="P2065" i="1"/>
  <c r="R2065" i="1"/>
  <c r="S2065" i="1"/>
  <c r="T2065" i="1"/>
  <c r="AC2065" i="1"/>
  <c r="AK2065" i="1"/>
  <c r="P2066" i="1"/>
  <c r="R2066" i="1"/>
  <c r="S2066" i="1"/>
  <c r="T2066" i="1"/>
  <c r="AC2066" i="1"/>
  <c r="AK2066" i="1"/>
  <c r="P2067" i="1"/>
  <c r="R2067" i="1"/>
  <c r="S2067" i="1"/>
  <c r="T2067" i="1"/>
  <c r="AC2067" i="1"/>
  <c r="AK2067" i="1"/>
  <c r="P2068" i="1"/>
  <c r="R2068" i="1"/>
  <c r="S2068" i="1"/>
  <c r="T2068" i="1"/>
  <c r="AC2068" i="1"/>
  <c r="AK2068" i="1"/>
  <c r="P2069" i="1"/>
  <c r="R2069" i="1"/>
  <c r="S2069" i="1"/>
  <c r="T2069" i="1"/>
  <c r="AC2069" i="1"/>
  <c r="AK2069" i="1"/>
  <c r="P2070" i="1"/>
  <c r="R2070" i="1"/>
  <c r="S2070" i="1"/>
  <c r="T2070" i="1"/>
  <c r="AC2070" i="1"/>
  <c r="AK2070" i="1"/>
  <c r="P2071" i="1"/>
  <c r="R2071" i="1"/>
  <c r="S2071" i="1"/>
  <c r="T2071" i="1"/>
  <c r="AC2071" i="1"/>
  <c r="AK2071" i="1"/>
  <c r="P2072" i="1"/>
  <c r="R2072" i="1"/>
  <c r="S2072" i="1"/>
  <c r="T2072" i="1"/>
  <c r="AC2072" i="1"/>
  <c r="AK2072" i="1"/>
  <c r="P2073" i="1"/>
  <c r="R2073" i="1"/>
  <c r="S2073" i="1"/>
  <c r="T2073" i="1"/>
  <c r="AC2073" i="1"/>
  <c r="AK2073" i="1"/>
  <c r="P2074" i="1"/>
  <c r="R2074" i="1"/>
  <c r="S2074" i="1"/>
  <c r="T2074" i="1"/>
  <c r="AC2074" i="1"/>
  <c r="AK2074" i="1"/>
  <c r="P2075" i="1"/>
  <c r="R2075" i="1"/>
  <c r="S2075" i="1"/>
  <c r="T2075" i="1"/>
  <c r="AC2075" i="1"/>
  <c r="AK2075" i="1"/>
  <c r="P2076" i="1"/>
  <c r="R2076" i="1"/>
  <c r="S2076" i="1"/>
  <c r="T2076" i="1"/>
  <c r="AC2076" i="1"/>
  <c r="AK2076" i="1"/>
  <c r="P2077" i="1"/>
  <c r="R2077" i="1"/>
  <c r="S2077" i="1"/>
  <c r="T2077" i="1"/>
  <c r="AC2077" i="1"/>
  <c r="AK2077" i="1"/>
  <c r="P2079" i="1"/>
  <c r="R2079" i="1"/>
  <c r="S2079" i="1"/>
  <c r="T2079" i="1"/>
  <c r="AC2079" i="1"/>
  <c r="AK2079" i="1"/>
  <c r="P2080" i="1"/>
  <c r="R2080" i="1"/>
  <c r="S2080" i="1"/>
  <c r="T2080" i="1"/>
  <c r="AC2080" i="1"/>
  <c r="AK2080" i="1"/>
  <c r="P2081" i="1"/>
  <c r="R2081" i="1"/>
  <c r="S2081" i="1"/>
  <c r="T2081" i="1"/>
  <c r="AC2081" i="1"/>
  <c r="AK2081" i="1"/>
  <c r="P2082" i="1"/>
  <c r="R2082" i="1"/>
  <c r="S2082" i="1"/>
  <c r="T2082" i="1"/>
  <c r="AC2082" i="1"/>
  <c r="AK2082" i="1"/>
  <c r="P2083" i="1"/>
  <c r="R2083" i="1"/>
  <c r="S2083" i="1"/>
  <c r="T2083" i="1"/>
  <c r="AC2083" i="1"/>
  <c r="AK2083" i="1"/>
  <c r="P2084" i="1"/>
  <c r="R2084" i="1"/>
  <c r="S2084" i="1"/>
  <c r="T2084" i="1"/>
  <c r="AC2084" i="1"/>
  <c r="AK2084" i="1"/>
  <c r="P2085" i="1"/>
  <c r="R2085" i="1"/>
  <c r="S2085" i="1"/>
  <c r="T2085" i="1"/>
  <c r="AC2085" i="1"/>
  <c r="AK2085" i="1"/>
  <c r="P2086" i="1"/>
  <c r="R2086" i="1"/>
  <c r="S2086" i="1"/>
  <c r="T2086" i="1"/>
  <c r="AC2086" i="1"/>
  <c r="AK2086" i="1"/>
  <c r="P2087" i="1"/>
  <c r="R2087" i="1"/>
  <c r="S2087" i="1"/>
  <c r="T2087" i="1"/>
  <c r="AC2087" i="1"/>
  <c r="AK2087" i="1"/>
  <c r="P2088" i="1"/>
  <c r="R2088" i="1"/>
  <c r="S2088" i="1"/>
  <c r="T2088" i="1"/>
  <c r="AC2088" i="1"/>
  <c r="AK2088" i="1"/>
  <c r="P2090" i="1"/>
  <c r="R2090" i="1"/>
  <c r="S2090" i="1"/>
  <c r="T2090" i="1"/>
  <c r="AC2090" i="1"/>
  <c r="AK2090" i="1"/>
  <c r="P2091" i="1"/>
  <c r="R2091" i="1"/>
  <c r="S2091" i="1"/>
  <c r="T2091" i="1"/>
  <c r="AC2091" i="1"/>
  <c r="AK2091" i="1"/>
  <c r="P2092" i="1"/>
  <c r="R2092" i="1"/>
  <c r="S2092" i="1"/>
  <c r="T2092" i="1"/>
  <c r="AC2092" i="1"/>
  <c r="AK2092" i="1"/>
  <c r="P2094" i="1"/>
  <c r="R2094" i="1"/>
  <c r="S2094" i="1"/>
  <c r="T2094" i="1"/>
  <c r="AC2094" i="1"/>
  <c r="AK2094" i="1"/>
  <c r="P2096" i="1"/>
  <c r="R2096" i="1"/>
  <c r="S2096" i="1"/>
  <c r="T2096" i="1"/>
  <c r="AC2096" i="1"/>
  <c r="AK2096" i="1"/>
  <c r="P2097" i="1"/>
  <c r="R2097" i="1"/>
  <c r="S2097" i="1"/>
  <c r="T2097" i="1"/>
  <c r="AC2097" i="1"/>
  <c r="AK2097" i="1"/>
  <c r="P2098" i="1"/>
  <c r="R2098" i="1"/>
  <c r="S2098" i="1"/>
  <c r="T2098" i="1"/>
  <c r="AC2098" i="1"/>
  <c r="AK2098" i="1"/>
  <c r="P2099" i="1"/>
  <c r="R2099" i="1"/>
  <c r="S2099" i="1"/>
  <c r="T2099" i="1"/>
  <c r="AC2099" i="1"/>
  <c r="AK2099" i="1"/>
  <c r="P2100" i="1"/>
  <c r="R2100" i="1"/>
  <c r="S2100" i="1"/>
  <c r="T2100" i="1"/>
  <c r="AC2100" i="1"/>
  <c r="AK2100" i="1"/>
  <c r="P2101" i="1"/>
  <c r="R2101" i="1"/>
  <c r="S2101" i="1"/>
  <c r="T2101" i="1"/>
  <c r="AC2101" i="1"/>
  <c r="AK2101" i="1"/>
  <c r="P2102" i="1"/>
  <c r="R2102" i="1"/>
  <c r="S2102" i="1"/>
  <c r="T2102" i="1"/>
  <c r="AC2102" i="1"/>
  <c r="AK2102" i="1"/>
  <c r="P2103" i="1"/>
  <c r="R2103" i="1"/>
  <c r="S2103" i="1"/>
  <c r="T2103" i="1"/>
  <c r="AC2103" i="1"/>
  <c r="AK2103" i="1"/>
  <c r="P2105" i="1"/>
  <c r="R2105" i="1"/>
  <c r="S2105" i="1"/>
  <c r="T2105" i="1"/>
  <c r="AC2105" i="1"/>
  <c r="AK2105" i="1"/>
  <c r="P2107" i="1"/>
  <c r="R2107" i="1"/>
  <c r="S2107" i="1"/>
  <c r="T2107" i="1"/>
  <c r="AC2107" i="1"/>
  <c r="AK2107" i="1"/>
  <c r="P2108" i="1"/>
  <c r="R2108" i="1"/>
  <c r="S2108" i="1"/>
  <c r="T2108" i="1"/>
  <c r="AC2108" i="1"/>
  <c r="AK2108" i="1"/>
  <c r="P2109" i="1"/>
  <c r="R2109" i="1"/>
  <c r="S2109" i="1"/>
  <c r="T2109" i="1"/>
  <c r="AC2109" i="1"/>
  <c r="AK2109" i="1"/>
  <c r="P2112" i="1"/>
  <c r="R2112" i="1" s="1"/>
  <c r="S2112" i="1"/>
  <c r="T2112" i="1"/>
  <c r="AC2112" i="1"/>
  <c r="AK2112" i="1"/>
  <c r="P2114" i="1"/>
  <c r="R2114" i="1" s="1"/>
  <c r="S2114" i="1"/>
  <c r="T2114" i="1"/>
  <c r="AC2114" i="1"/>
  <c r="AK2114" i="1"/>
  <c r="P2115" i="1"/>
  <c r="R2115" i="1" s="1"/>
  <c r="S2115" i="1"/>
  <c r="T2115" i="1"/>
  <c r="AC2115" i="1"/>
  <c r="AK2115" i="1"/>
  <c r="P2117" i="1"/>
  <c r="R2117" i="1" s="1"/>
  <c r="S2117" i="1"/>
  <c r="T2117" i="1"/>
  <c r="AC2117" i="1"/>
  <c r="AK2117" i="1"/>
  <c r="P2118" i="1"/>
  <c r="R2118" i="1" s="1"/>
  <c r="S2118" i="1"/>
  <c r="T2118" i="1"/>
  <c r="AC2118" i="1"/>
  <c r="AK2118" i="1"/>
  <c r="P2119" i="1"/>
  <c r="R2119" i="1"/>
  <c r="S2119" i="1"/>
  <c r="T2119" i="1"/>
  <c r="AC2119" i="1"/>
  <c r="AK2119" i="1"/>
  <c r="P2120" i="1"/>
  <c r="R2120" i="1"/>
  <c r="S2120" i="1"/>
  <c r="T2120" i="1"/>
  <c r="AC2120" i="1"/>
  <c r="AK2120" i="1"/>
  <c r="P2121" i="1"/>
  <c r="R2121" i="1"/>
  <c r="S2121" i="1"/>
  <c r="T2121" i="1"/>
  <c r="AC2121" i="1"/>
  <c r="AK2121" i="1"/>
  <c r="P2122" i="1"/>
  <c r="R2122" i="1"/>
  <c r="S2122" i="1"/>
  <c r="T2122" i="1"/>
  <c r="AC2122" i="1"/>
  <c r="AK2122" i="1"/>
  <c r="P2123" i="1"/>
  <c r="R2123" i="1"/>
  <c r="S2123" i="1"/>
  <c r="T2123" i="1"/>
  <c r="AC2123" i="1"/>
  <c r="AK2123" i="1"/>
  <c r="P2124" i="1"/>
  <c r="R2124" i="1"/>
  <c r="S2124" i="1"/>
  <c r="T2124" i="1"/>
  <c r="AC2124" i="1"/>
  <c r="AK2124" i="1"/>
  <c r="P2126" i="1"/>
  <c r="R2126" i="1"/>
  <c r="S2126" i="1"/>
  <c r="T2126" i="1"/>
  <c r="AC2126" i="1"/>
  <c r="AK2126" i="1"/>
  <c r="P2127" i="1"/>
  <c r="R2127" i="1"/>
  <c r="S2127" i="1"/>
  <c r="T2127" i="1"/>
  <c r="AC2127" i="1"/>
  <c r="AK2127" i="1"/>
  <c r="P2128" i="1"/>
  <c r="R2128" i="1"/>
  <c r="S2128" i="1"/>
  <c r="T2128" i="1"/>
  <c r="AC2128" i="1"/>
  <c r="AK2128" i="1"/>
  <c r="P2129" i="1"/>
  <c r="R2129" i="1"/>
  <c r="S2129" i="1"/>
  <c r="T2129" i="1"/>
  <c r="AC2129" i="1"/>
  <c r="AK2129" i="1"/>
  <c r="P2130" i="1"/>
  <c r="R2130" i="1"/>
  <c r="S2130" i="1"/>
  <c r="T2130" i="1"/>
  <c r="AC2130" i="1"/>
  <c r="AK2130" i="1"/>
  <c r="P2132" i="1"/>
  <c r="R2132" i="1"/>
  <c r="S2132" i="1"/>
  <c r="T2132" i="1"/>
  <c r="AC2132" i="1"/>
  <c r="AK2132" i="1"/>
  <c r="P2133" i="1"/>
  <c r="R2133" i="1" s="1"/>
  <c r="S2133" i="1"/>
  <c r="T2133" i="1"/>
  <c r="AC2133" i="1"/>
  <c r="AK2133" i="1"/>
  <c r="P2134" i="1"/>
  <c r="R2134" i="1" s="1"/>
  <c r="S2134" i="1"/>
  <c r="T2134" i="1"/>
  <c r="AC2134" i="1"/>
  <c r="AK2134" i="1"/>
  <c r="P2136" i="1"/>
  <c r="R2136" i="1" s="1"/>
  <c r="S2136" i="1"/>
  <c r="T2136" i="1"/>
  <c r="AC2136" i="1"/>
  <c r="AK2136" i="1"/>
  <c r="P2137" i="1"/>
  <c r="R2137" i="1" s="1"/>
  <c r="S2137" i="1"/>
  <c r="T2137" i="1"/>
  <c r="AC2137" i="1"/>
  <c r="AK2137" i="1"/>
  <c r="P2138" i="1"/>
  <c r="R2138" i="1" s="1"/>
  <c r="S2138" i="1"/>
  <c r="T2138" i="1"/>
  <c r="AC2138" i="1"/>
  <c r="AK2138" i="1"/>
  <c r="P2139" i="1"/>
  <c r="R2139" i="1" s="1"/>
  <c r="S2139" i="1"/>
  <c r="T2139" i="1"/>
  <c r="AC2139" i="1"/>
  <c r="AK2139" i="1"/>
  <c r="P2140" i="1"/>
  <c r="R2140" i="1" s="1"/>
  <c r="S2140" i="1"/>
  <c r="T2140" i="1"/>
  <c r="AC2140" i="1"/>
  <c r="AK2140" i="1"/>
  <c r="P2141" i="1"/>
  <c r="R2141" i="1"/>
  <c r="S2141" i="1"/>
  <c r="T2141" i="1"/>
  <c r="AC2141" i="1"/>
  <c r="AK2141" i="1"/>
  <c r="P2142" i="1"/>
  <c r="R2142" i="1"/>
  <c r="S2142" i="1"/>
  <c r="T2142" i="1"/>
  <c r="AC2142" i="1"/>
  <c r="AK2142" i="1"/>
  <c r="P2143" i="1"/>
  <c r="R2143" i="1" s="1"/>
  <c r="S2143" i="1"/>
  <c r="T2143" i="1"/>
  <c r="AC2143" i="1"/>
  <c r="AK2143" i="1"/>
  <c r="P2144" i="1"/>
  <c r="R2144" i="1" s="1"/>
  <c r="S2144" i="1"/>
  <c r="T2144" i="1"/>
  <c r="AC2144" i="1"/>
  <c r="AK2144" i="1"/>
  <c r="P2145" i="1"/>
  <c r="R2145" i="1" s="1"/>
  <c r="S2145" i="1"/>
  <c r="T2145" i="1"/>
  <c r="AC2145" i="1"/>
  <c r="AK2145" i="1"/>
  <c r="P2146" i="1"/>
  <c r="R2146" i="1" s="1"/>
  <c r="S2146" i="1"/>
  <c r="T2146" i="1"/>
  <c r="AC2146" i="1"/>
  <c r="AK2146" i="1"/>
  <c r="P2147" i="1"/>
  <c r="R2147" i="1" s="1"/>
  <c r="S2147" i="1"/>
  <c r="T2147" i="1"/>
  <c r="AC2147" i="1"/>
  <c r="AK2147" i="1"/>
  <c r="P2148" i="1"/>
  <c r="R2148" i="1" s="1"/>
  <c r="S2148" i="1"/>
  <c r="T2148" i="1"/>
  <c r="AC2148" i="1"/>
  <c r="AK2148" i="1"/>
  <c r="P2149" i="1"/>
  <c r="R2149" i="1" s="1"/>
  <c r="S2149" i="1"/>
  <c r="T2149" i="1"/>
  <c r="AC2149" i="1"/>
  <c r="AK2149" i="1"/>
  <c r="P2150" i="1"/>
  <c r="R2150" i="1" s="1"/>
  <c r="S2150" i="1"/>
  <c r="T2150" i="1"/>
  <c r="AC2150" i="1"/>
  <c r="AK2150" i="1"/>
  <c r="P2152" i="1"/>
  <c r="R2152" i="1"/>
  <c r="S2152" i="1"/>
  <c r="T2152" i="1"/>
  <c r="AC2152" i="1"/>
  <c r="AK2152" i="1"/>
  <c r="P2153" i="1"/>
  <c r="R2153" i="1" s="1"/>
  <c r="S2153" i="1"/>
  <c r="T2153" i="1"/>
  <c r="AC2153" i="1"/>
  <c r="AK2153" i="1"/>
  <c r="P2154" i="1"/>
  <c r="R2154" i="1" s="1"/>
  <c r="S2154" i="1"/>
  <c r="T2154" i="1"/>
  <c r="AC2154" i="1"/>
  <c r="AK2154" i="1"/>
  <c r="P2155" i="1"/>
  <c r="R2155" i="1" s="1"/>
  <c r="S2155" i="1"/>
  <c r="T2155" i="1"/>
  <c r="AC2155" i="1"/>
  <c r="AK2155" i="1"/>
  <c r="P2158" i="1"/>
  <c r="R2158" i="1" s="1"/>
  <c r="S2158" i="1"/>
  <c r="T2158" i="1"/>
  <c r="AC2158" i="1"/>
  <c r="AK2158" i="1"/>
  <c r="P2159" i="1"/>
  <c r="R2159" i="1"/>
  <c r="S2159" i="1"/>
  <c r="T2159" i="1"/>
  <c r="AC2159" i="1"/>
  <c r="AK2159" i="1"/>
  <c r="P2161" i="1"/>
  <c r="R2161" i="1" s="1"/>
  <c r="S2161" i="1"/>
  <c r="T2161" i="1"/>
  <c r="AC2161" i="1"/>
  <c r="AK2161" i="1"/>
  <c r="P2162" i="1"/>
  <c r="R2162" i="1" s="1"/>
  <c r="S2162" i="1"/>
  <c r="T2162" i="1"/>
  <c r="AC2162" i="1"/>
  <c r="AK2162" i="1"/>
  <c r="P2163" i="1"/>
  <c r="R2163" i="1" s="1"/>
  <c r="S2163" i="1"/>
  <c r="T2163" i="1"/>
  <c r="AC2163" i="1"/>
  <c r="AK2163" i="1"/>
  <c r="P2164" i="1"/>
  <c r="R2164" i="1" s="1"/>
  <c r="S2164" i="1"/>
  <c r="T2164" i="1"/>
  <c r="AC2164" i="1"/>
  <c r="AK2164" i="1"/>
  <c r="P2165" i="1"/>
  <c r="R2165" i="1" s="1"/>
  <c r="S2165" i="1"/>
  <c r="T2165" i="1"/>
  <c r="AC2165" i="1"/>
  <c r="AK2165" i="1"/>
  <c r="P2166" i="1"/>
  <c r="R2166" i="1" s="1"/>
  <c r="S2166" i="1"/>
  <c r="T2166" i="1"/>
  <c r="AC2166" i="1"/>
  <c r="AK2166" i="1"/>
  <c r="P2167" i="1"/>
  <c r="R2167" i="1" s="1"/>
  <c r="S2167" i="1"/>
  <c r="T2167" i="1"/>
  <c r="AC2167" i="1"/>
  <c r="AK2167" i="1"/>
  <c r="P2168" i="1"/>
  <c r="R2168" i="1" s="1"/>
  <c r="S2168" i="1"/>
  <c r="T2168" i="1"/>
  <c r="AC2168" i="1"/>
  <c r="AK2168" i="1"/>
  <c r="P2169" i="1"/>
  <c r="R2169" i="1" s="1"/>
  <c r="S2169" i="1"/>
  <c r="T2169" i="1"/>
  <c r="AC2169" i="1"/>
  <c r="AK2169" i="1"/>
  <c r="P2170" i="1"/>
  <c r="R2170" i="1" s="1"/>
  <c r="S2170" i="1"/>
  <c r="T2170" i="1"/>
  <c r="AC2170" i="1"/>
  <c r="AK2170" i="1"/>
  <c r="P2171" i="1"/>
  <c r="R2171" i="1"/>
  <c r="S2171" i="1"/>
  <c r="T2171" i="1"/>
  <c r="AC2171" i="1"/>
  <c r="AK2171" i="1"/>
  <c r="P2174" i="1"/>
  <c r="R2174" i="1" s="1"/>
  <c r="S2174" i="1"/>
  <c r="T2174" i="1"/>
  <c r="AC2174" i="1"/>
  <c r="AK2174" i="1"/>
  <c r="P2175" i="1"/>
  <c r="R2175" i="1" s="1"/>
  <c r="S2175" i="1"/>
  <c r="T2175" i="1"/>
  <c r="AC2175" i="1"/>
  <c r="AK2175" i="1"/>
  <c r="P2176" i="1"/>
  <c r="R2176" i="1" s="1"/>
  <c r="S2176" i="1"/>
  <c r="T2176" i="1"/>
  <c r="AC2176" i="1"/>
  <c r="AK2176" i="1"/>
  <c r="P2177" i="1"/>
  <c r="R2177" i="1"/>
  <c r="S2177" i="1"/>
  <c r="T2177" i="1"/>
  <c r="AC2177" i="1"/>
  <c r="AK2177" i="1"/>
  <c r="P2178" i="1"/>
  <c r="R2178" i="1" s="1"/>
  <c r="S2178" i="1"/>
  <c r="T2178" i="1"/>
  <c r="AC2178" i="1"/>
  <c r="AK2178" i="1"/>
  <c r="P2179" i="1"/>
  <c r="R2179" i="1" s="1"/>
  <c r="S2179" i="1"/>
  <c r="T2179" i="1"/>
  <c r="AC2179" i="1"/>
  <c r="AK2179" i="1"/>
  <c r="P2180" i="1"/>
  <c r="R2180" i="1"/>
  <c r="S2180" i="1"/>
  <c r="T2180" i="1"/>
  <c r="AC2180" i="1"/>
  <c r="AK2180" i="1"/>
  <c r="P2182" i="1"/>
  <c r="R2182" i="1" s="1"/>
  <c r="S2182" i="1"/>
  <c r="T2182" i="1"/>
  <c r="AC2182" i="1"/>
  <c r="AK2182" i="1"/>
  <c r="P2183" i="1"/>
  <c r="R2183" i="1"/>
  <c r="S2183" i="1"/>
  <c r="T2183" i="1"/>
  <c r="AC2183" i="1"/>
  <c r="AK2183" i="1"/>
  <c r="P2185" i="1"/>
  <c r="R2185" i="1" s="1"/>
  <c r="S2185" i="1"/>
  <c r="T2185" i="1"/>
  <c r="AC2185" i="1"/>
  <c r="AK2185" i="1"/>
  <c r="P2186" i="1"/>
  <c r="R2186" i="1"/>
  <c r="S2186" i="1"/>
  <c r="T2186" i="1"/>
  <c r="AC2186" i="1"/>
  <c r="AK2186" i="1"/>
  <c r="P2187" i="1"/>
  <c r="R2187" i="1" s="1"/>
  <c r="S2187" i="1"/>
  <c r="T2187" i="1"/>
  <c r="AC2187" i="1"/>
  <c r="AK2187" i="1"/>
  <c r="P2188" i="1"/>
  <c r="R2188" i="1" s="1"/>
  <c r="S2188" i="1"/>
  <c r="T2188" i="1"/>
  <c r="AC2188" i="1"/>
  <c r="AK2188" i="1"/>
  <c r="P2189" i="1"/>
  <c r="R2189" i="1" s="1"/>
  <c r="S2189" i="1"/>
  <c r="T2189" i="1"/>
  <c r="AC2189" i="1"/>
  <c r="AK2189" i="1"/>
  <c r="P2191" i="1"/>
  <c r="R2191" i="1" s="1"/>
  <c r="S2191" i="1"/>
  <c r="T2191" i="1"/>
  <c r="AC2191" i="1"/>
  <c r="AK2191" i="1"/>
  <c r="P2192" i="1"/>
  <c r="R2192" i="1"/>
  <c r="S2192" i="1"/>
  <c r="T2192" i="1"/>
  <c r="AC2192" i="1"/>
  <c r="AK2192" i="1"/>
  <c r="P2193" i="1"/>
  <c r="R2193" i="1" s="1"/>
  <c r="S2193" i="1"/>
  <c r="T2193" i="1"/>
  <c r="AC2193" i="1"/>
  <c r="AK2193" i="1"/>
  <c r="P2194" i="1"/>
  <c r="R2194" i="1"/>
  <c r="S2194" i="1"/>
  <c r="T2194" i="1"/>
  <c r="AC2194" i="1"/>
  <c r="AK2194" i="1"/>
  <c r="P2196" i="1"/>
  <c r="R2196" i="1" s="1"/>
  <c r="S2196" i="1"/>
  <c r="T2196" i="1"/>
  <c r="AC2196" i="1"/>
  <c r="AK2196" i="1"/>
  <c r="P2197" i="1"/>
  <c r="R2197" i="1"/>
  <c r="S2197" i="1"/>
  <c r="T2197" i="1"/>
  <c r="AC2197" i="1"/>
  <c r="AK2197" i="1"/>
  <c r="P2200" i="1"/>
  <c r="R2200" i="1" s="1"/>
  <c r="S2200" i="1"/>
  <c r="T2200" i="1"/>
  <c r="AC2200" i="1"/>
  <c r="AK2200" i="1"/>
  <c r="P2201" i="1"/>
  <c r="R2201" i="1"/>
  <c r="S2201" i="1"/>
  <c r="T2201" i="1"/>
  <c r="AC2201" i="1"/>
  <c r="AK2201" i="1"/>
  <c r="P2203" i="1"/>
  <c r="R2203" i="1" s="1"/>
  <c r="S2203" i="1"/>
  <c r="T2203" i="1"/>
  <c r="AC2203" i="1"/>
  <c r="AK2203" i="1"/>
  <c r="P2204" i="1"/>
  <c r="R2204" i="1"/>
  <c r="S2204" i="1"/>
  <c r="T2204" i="1"/>
  <c r="AC2204" i="1"/>
  <c r="AK2204" i="1"/>
  <c r="P2206" i="1"/>
  <c r="R2206" i="1" s="1"/>
  <c r="S2206" i="1"/>
  <c r="T2206" i="1"/>
  <c r="AC2206" i="1"/>
  <c r="AK2206" i="1"/>
  <c r="P2207" i="1"/>
  <c r="R2207" i="1" s="1"/>
  <c r="S2207" i="1"/>
  <c r="T2207" i="1"/>
  <c r="AC2207" i="1"/>
  <c r="AK2207" i="1"/>
  <c r="P2208" i="1"/>
  <c r="R2208" i="1" s="1"/>
  <c r="S2208" i="1"/>
  <c r="T2208" i="1"/>
  <c r="AC2208" i="1"/>
  <c r="AK2208" i="1"/>
  <c r="P2209" i="1"/>
  <c r="R2209" i="1" s="1"/>
  <c r="S2209" i="1"/>
  <c r="T2209" i="1"/>
  <c r="AC2209" i="1"/>
  <c r="AK2209" i="1"/>
  <c r="P2210" i="1"/>
  <c r="R2210" i="1" s="1"/>
  <c r="S2210" i="1"/>
  <c r="T2210" i="1"/>
  <c r="AC2210" i="1"/>
  <c r="AK2210" i="1"/>
  <c r="P2211" i="1"/>
  <c r="R2211" i="1" s="1"/>
  <c r="S2211" i="1"/>
  <c r="T2211" i="1"/>
  <c r="AC2211" i="1"/>
  <c r="AK2211" i="1"/>
  <c r="P2212" i="1"/>
  <c r="R2212" i="1" s="1"/>
  <c r="S2212" i="1"/>
  <c r="T2212" i="1"/>
  <c r="AC2212" i="1"/>
  <c r="AK2212" i="1"/>
  <c r="P2213" i="1"/>
  <c r="R2213" i="1" s="1"/>
  <c r="S2213" i="1"/>
  <c r="T2213" i="1"/>
  <c r="AC2213" i="1"/>
  <c r="AK2213" i="1"/>
  <c r="P2214" i="1"/>
  <c r="R2214" i="1" s="1"/>
  <c r="S2214" i="1"/>
  <c r="T2214" i="1"/>
  <c r="AC2214" i="1"/>
  <c r="AK2214" i="1"/>
  <c r="P2215" i="1"/>
  <c r="R2215" i="1" s="1"/>
  <c r="S2215" i="1"/>
  <c r="T2215" i="1"/>
  <c r="AC2215" i="1"/>
  <c r="AK2215" i="1"/>
  <c r="P2216" i="1"/>
  <c r="R2216" i="1" s="1"/>
  <c r="S2216" i="1"/>
  <c r="T2216" i="1"/>
  <c r="AC2216" i="1"/>
  <c r="AK2216" i="1"/>
  <c r="P2217" i="1"/>
  <c r="R2217" i="1" s="1"/>
  <c r="S2217" i="1"/>
  <c r="T2217" i="1"/>
  <c r="AC2217" i="1"/>
  <c r="AK2217" i="1"/>
  <c r="P2219" i="1"/>
  <c r="R2219" i="1" s="1"/>
  <c r="S2219" i="1"/>
  <c r="T2219" i="1"/>
  <c r="AC2219" i="1"/>
  <c r="AK2219" i="1"/>
  <c r="P2221" i="1"/>
  <c r="R2221" i="1" s="1"/>
  <c r="S2221" i="1"/>
  <c r="T2221" i="1"/>
  <c r="AC2221" i="1"/>
  <c r="AK2221" i="1"/>
  <c r="P2223" i="1"/>
  <c r="R2223" i="1"/>
  <c r="S2223" i="1"/>
  <c r="T2223" i="1"/>
  <c r="AC2223" i="1"/>
  <c r="AK2223" i="1"/>
  <c r="P2224" i="1"/>
  <c r="R2224" i="1" s="1"/>
  <c r="S2224" i="1"/>
  <c r="T2224" i="1"/>
  <c r="AC2224" i="1"/>
  <c r="AK2224" i="1"/>
  <c r="P2225" i="1"/>
  <c r="R2225" i="1"/>
  <c r="S2225" i="1"/>
  <c r="T2225" i="1"/>
  <c r="AC2225" i="1"/>
  <c r="AK2225" i="1"/>
  <c r="P2226" i="1"/>
  <c r="R2226" i="1" s="1"/>
  <c r="S2226" i="1"/>
  <c r="T2226" i="1"/>
  <c r="AC2226" i="1"/>
  <c r="AK2226" i="1"/>
  <c r="P2227" i="1"/>
  <c r="R2227" i="1"/>
  <c r="S2227" i="1"/>
  <c r="T2227" i="1"/>
  <c r="AC2227" i="1"/>
  <c r="AK2227" i="1"/>
  <c r="P2228" i="1"/>
  <c r="R2228" i="1" s="1"/>
  <c r="S2228" i="1"/>
  <c r="T2228" i="1"/>
  <c r="AC2228" i="1"/>
  <c r="AK2228" i="1"/>
  <c r="P2229" i="1"/>
  <c r="R2229" i="1" s="1"/>
  <c r="S2229" i="1"/>
  <c r="T2229" i="1"/>
  <c r="AC2229" i="1"/>
  <c r="AK2229" i="1"/>
  <c r="P2231" i="1"/>
  <c r="R2231" i="1" s="1"/>
  <c r="S2231" i="1"/>
  <c r="T2231" i="1"/>
  <c r="AC2231" i="1"/>
  <c r="AK2231" i="1"/>
  <c r="P2232" i="1"/>
  <c r="R2232" i="1"/>
  <c r="S2232" i="1"/>
  <c r="T2232" i="1"/>
  <c r="AC2232" i="1"/>
  <c r="AK2232" i="1"/>
  <c r="P2233" i="1"/>
  <c r="R2233" i="1" s="1"/>
  <c r="S2233" i="1"/>
  <c r="T2233" i="1"/>
  <c r="AC2233" i="1"/>
  <c r="AK2233" i="1"/>
  <c r="P2234" i="1"/>
  <c r="R2234" i="1" s="1"/>
  <c r="S2234" i="1"/>
  <c r="T2234" i="1"/>
  <c r="AC2234" i="1"/>
  <c r="AK2234" i="1"/>
  <c r="P2235" i="1"/>
  <c r="R2235" i="1" s="1"/>
  <c r="S2235" i="1"/>
  <c r="T2235" i="1"/>
  <c r="AC2235" i="1"/>
  <c r="AK2235" i="1"/>
  <c r="P2237" i="1"/>
  <c r="R2237" i="1" s="1"/>
  <c r="S2237" i="1"/>
  <c r="T2237" i="1"/>
  <c r="AC2237" i="1"/>
  <c r="AK2237" i="1"/>
  <c r="P2238" i="1"/>
  <c r="R2238" i="1" s="1"/>
  <c r="S2238" i="1"/>
  <c r="T2238" i="1"/>
  <c r="AC2238" i="1"/>
  <c r="AK2238" i="1"/>
  <c r="P2239" i="1"/>
  <c r="R2239" i="1"/>
  <c r="S2239" i="1"/>
  <c r="T2239" i="1"/>
  <c r="AC2239" i="1"/>
  <c r="AK2239" i="1"/>
  <c r="P2240" i="1"/>
  <c r="R2240" i="1" s="1"/>
  <c r="S2240" i="1"/>
  <c r="T2240" i="1"/>
  <c r="AC2240" i="1"/>
  <c r="AK2240" i="1"/>
  <c r="P2241" i="1"/>
  <c r="R2241" i="1" s="1"/>
  <c r="S2241" i="1"/>
  <c r="T2241" i="1"/>
  <c r="AC2241" i="1"/>
  <c r="AK2241" i="1"/>
  <c r="P2242" i="1"/>
  <c r="R2242" i="1" s="1"/>
  <c r="S2242" i="1"/>
  <c r="T2242" i="1"/>
  <c r="AC2242" i="1"/>
  <c r="AK2242" i="1"/>
  <c r="P2243" i="1"/>
  <c r="R2243" i="1"/>
  <c r="S2243" i="1"/>
  <c r="T2243" i="1"/>
  <c r="AC2243" i="1"/>
  <c r="AK2243" i="1"/>
  <c r="P2244" i="1"/>
  <c r="R2244" i="1" s="1"/>
  <c r="S2244" i="1"/>
  <c r="T2244" i="1"/>
  <c r="AC2244" i="1"/>
  <c r="AK2244" i="1"/>
  <c r="P2245" i="1"/>
  <c r="R2245" i="1" s="1"/>
  <c r="S2245" i="1"/>
  <c r="T2245" i="1"/>
  <c r="AC2245" i="1"/>
  <c r="AK2245" i="1"/>
  <c r="P2246" i="1"/>
  <c r="R2246" i="1" s="1"/>
  <c r="S2246" i="1"/>
  <c r="T2246" i="1"/>
  <c r="AC2246" i="1"/>
  <c r="AK2246" i="1"/>
  <c r="P2247" i="1"/>
  <c r="R2247" i="1"/>
  <c r="S2247" i="1"/>
  <c r="T2247" i="1"/>
  <c r="AC2247" i="1"/>
  <c r="AK2247" i="1"/>
  <c r="P2248" i="1"/>
  <c r="R2248" i="1" s="1"/>
  <c r="S2248" i="1"/>
  <c r="T2248" i="1"/>
  <c r="AC2248" i="1"/>
  <c r="AK2248" i="1"/>
  <c r="P2250" i="1"/>
  <c r="R2250" i="1" s="1"/>
  <c r="S2250" i="1"/>
  <c r="T2250" i="1"/>
  <c r="AC2250" i="1"/>
  <c r="AK2250" i="1"/>
  <c r="P2251" i="1"/>
  <c r="R2251" i="1" s="1"/>
  <c r="S2251" i="1"/>
  <c r="T2251" i="1"/>
  <c r="AC2251" i="1"/>
  <c r="AK2251" i="1"/>
  <c r="P2252" i="1"/>
  <c r="R2252" i="1" s="1"/>
  <c r="S2252" i="1"/>
  <c r="T2252" i="1"/>
  <c r="AC2252" i="1"/>
  <c r="AK2252" i="1"/>
  <c r="P2254" i="1"/>
  <c r="R2254" i="1" s="1"/>
  <c r="S2254" i="1"/>
  <c r="T2254" i="1"/>
  <c r="AC2254" i="1"/>
  <c r="AK2254" i="1"/>
  <c r="P2255" i="1"/>
  <c r="R2255" i="1"/>
  <c r="S2255" i="1"/>
  <c r="T2255" i="1"/>
  <c r="AC2255" i="1"/>
  <c r="AK2255" i="1"/>
  <c r="P2256" i="1"/>
  <c r="R2256" i="1" s="1"/>
  <c r="S2256" i="1"/>
  <c r="T2256" i="1"/>
  <c r="AC2256" i="1"/>
  <c r="AK2256" i="1"/>
  <c r="P2258" i="1"/>
  <c r="R2258" i="1" s="1"/>
  <c r="S2258" i="1"/>
  <c r="T2258" i="1"/>
  <c r="AC2258" i="1"/>
  <c r="AK2258" i="1"/>
  <c r="P2259" i="1"/>
  <c r="R2259" i="1" s="1"/>
  <c r="S2259" i="1"/>
  <c r="T2259" i="1"/>
  <c r="AC2259" i="1"/>
  <c r="AK2259" i="1"/>
  <c r="P2260" i="1"/>
  <c r="R2260" i="1"/>
  <c r="S2260" i="1"/>
  <c r="T2260" i="1"/>
  <c r="AC2260" i="1"/>
  <c r="AK2260" i="1"/>
  <c r="P2261" i="1"/>
  <c r="R2261" i="1" s="1"/>
  <c r="S2261" i="1"/>
  <c r="T2261" i="1"/>
  <c r="AC2261" i="1"/>
  <c r="AK2261" i="1"/>
  <c r="P2262" i="1"/>
  <c r="R2262" i="1" s="1"/>
  <c r="S2262" i="1"/>
  <c r="T2262" i="1"/>
  <c r="AC2262" i="1"/>
  <c r="AK2262" i="1"/>
  <c r="P2263" i="1"/>
  <c r="R2263" i="1" s="1"/>
  <c r="S2263" i="1"/>
  <c r="T2263" i="1"/>
  <c r="AC2263" i="1"/>
  <c r="AK2263" i="1"/>
  <c r="P2264" i="1"/>
  <c r="R2264" i="1" s="1"/>
  <c r="S2264" i="1"/>
  <c r="T2264" i="1"/>
  <c r="AC2264" i="1"/>
  <c r="AK2264" i="1"/>
  <c r="P2265" i="1"/>
  <c r="R2265" i="1" s="1"/>
  <c r="S2265" i="1"/>
  <c r="T2265" i="1"/>
  <c r="AC2265" i="1"/>
  <c r="AK2265" i="1"/>
  <c r="P2266" i="1"/>
  <c r="R2266" i="1"/>
  <c r="S2266" i="1"/>
  <c r="T2266" i="1"/>
  <c r="AC2266" i="1"/>
  <c r="AK2266" i="1"/>
  <c r="P2267" i="1"/>
  <c r="R2267" i="1"/>
  <c r="S2267" i="1"/>
  <c r="T2267" i="1"/>
  <c r="AC2267" i="1"/>
  <c r="AK2267" i="1"/>
  <c r="P2270" i="1"/>
  <c r="R2270" i="1" s="1"/>
  <c r="S2270" i="1"/>
  <c r="T2270" i="1"/>
  <c r="AC2270" i="1"/>
  <c r="AK2270" i="1"/>
  <c r="P2271" i="1"/>
  <c r="R2271" i="1" s="1"/>
  <c r="S2271" i="1"/>
  <c r="T2271" i="1"/>
  <c r="AC2271" i="1"/>
  <c r="AK2271" i="1"/>
  <c r="P2272" i="1"/>
  <c r="R2272" i="1" s="1"/>
  <c r="S2272" i="1"/>
  <c r="T2272" i="1"/>
  <c r="AC2272" i="1"/>
  <c r="AK2272" i="1"/>
  <c r="P2273" i="1"/>
  <c r="R2273" i="1"/>
  <c r="S2273" i="1"/>
  <c r="T2273" i="1"/>
  <c r="AC2273" i="1"/>
  <c r="AK2273" i="1"/>
  <c r="P2275" i="1"/>
  <c r="R2275" i="1" s="1"/>
  <c r="S2275" i="1"/>
  <c r="T2275" i="1"/>
  <c r="AC2275" i="1"/>
  <c r="AK2275" i="1"/>
  <c r="P2276" i="1"/>
  <c r="R2276" i="1" s="1"/>
  <c r="S2276" i="1"/>
  <c r="T2276" i="1"/>
  <c r="AC2276" i="1"/>
  <c r="AK2276" i="1"/>
  <c r="P2277" i="1"/>
  <c r="R2277" i="1" s="1"/>
  <c r="S2277" i="1"/>
  <c r="T2277" i="1"/>
  <c r="AC2277" i="1"/>
  <c r="AK2277" i="1"/>
  <c r="P2278" i="1"/>
  <c r="R2278" i="1"/>
  <c r="S2278" i="1"/>
  <c r="T2278" i="1"/>
  <c r="AC2278" i="1"/>
  <c r="AK2278" i="1"/>
  <c r="P2280" i="1"/>
  <c r="R2280" i="1" s="1"/>
  <c r="S2280" i="1"/>
  <c r="T2280" i="1"/>
  <c r="AC2280" i="1"/>
  <c r="AK2280" i="1"/>
  <c r="P2281" i="1"/>
  <c r="R2281" i="1" s="1"/>
  <c r="S2281" i="1"/>
  <c r="T2281" i="1"/>
  <c r="AC2281" i="1"/>
  <c r="AK2281" i="1"/>
  <c r="P2282" i="1"/>
  <c r="R2282" i="1" s="1"/>
  <c r="S2282" i="1"/>
  <c r="T2282" i="1"/>
  <c r="AC2282" i="1"/>
  <c r="AK2282" i="1"/>
  <c r="P2283" i="1"/>
  <c r="R2283" i="1" s="1"/>
  <c r="S2283" i="1"/>
  <c r="T2283" i="1"/>
  <c r="AC2283" i="1"/>
  <c r="AK2283" i="1"/>
  <c r="P2284" i="1"/>
  <c r="R2284" i="1"/>
  <c r="S2284" i="1"/>
  <c r="T2284" i="1"/>
  <c r="AC2284" i="1"/>
  <c r="AK2284" i="1"/>
  <c r="P2285" i="1"/>
  <c r="R2285" i="1"/>
  <c r="S2285" i="1"/>
  <c r="T2285" i="1"/>
  <c r="AC2285" i="1"/>
  <c r="AK2285" i="1"/>
  <c r="P2286" i="1"/>
  <c r="R2286" i="1"/>
  <c r="S2286" i="1"/>
  <c r="T2286" i="1"/>
  <c r="AC2286" i="1"/>
  <c r="AK2286" i="1"/>
  <c r="P2287" i="1"/>
  <c r="R2287" i="1" s="1"/>
  <c r="S2287" i="1"/>
  <c r="T2287" i="1"/>
  <c r="AC2287" i="1"/>
  <c r="AK2287" i="1"/>
  <c r="P2288" i="1"/>
  <c r="R2288" i="1" s="1"/>
  <c r="S2288" i="1"/>
  <c r="T2288" i="1"/>
  <c r="AC2288" i="1"/>
  <c r="AK2288" i="1"/>
  <c r="P2290" i="1"/>
  <c r="R2290" i="1" s="1"/>
  <c r="S2290" i="1"/>
  <c r="T2290" i="1"/>
  <c r="AC2290" i="1"/>
  <c r="AK2290" i="1"/>
  <c r="P2291" i="1"/>
  <c r="R2291" i="1" s="1"/>
  <c r="S2291" i="1"/>
  <c r="T2291" i="1"/>
  <c r="AC2291" i="1"/>
  <c r="AK2291" i="1"/>
  <c r="P2292" i="1"/>
  <c r="R2292" i="1"/>
  <c r="S2292" i="1"/>
  <c r="T2292" i="1"/>
  <c r="AC2292" i="1"/>
  <c r="AK2292" i="1"/>
  <c r="P2293" i="1"/>
  <c r="R2293" i="1" s="1"/>
  <c r="S2293" i="1"/>
  <c r="T2293" i="1"/>
  <c r="AC2293" i="1"/>
  <c r="AK2293" i="1"/>
  <c r="P2294" i="1"/>
  <c r="R2294" i="1" s="1"/>
  <c r="S2294" i="1"/>
  <c r="T2294" i="1"/>
  <c r="AC2294" i="1"/>
  <c r="AK2294" i="1"/>
  <c r="P2296" i="1"/>
  <c r="R2296" i="1" s="1"/>
  <c r="S2296" i="1"/>
  <c r="T2296" i="1"/>
  <c r="P2298" i="1"/>
  <c r="R2298" i="1" s="1"/>
  <c r="S2298" i="1"/>
  <c r="T2298" i="1"/>
  <c r="AC2298" i="1"/>
  <c r="AK2298" i="1"/>
  <c r="P2300" i="1"/>
  <c r="R2300" i="1" s="1"/>
  <c r="S2300" i="1"/>
  <c r="T2300" i="1"/>
  <c r="AC2300" i="1"/>
  <c r="AK2300" i="1"/>
  <c r="P2301" i="1"/>
  <c r="R2301" i="1" s="1"/>
  <c r="S2301" i="1"/>
  <c r="T2301" i="1"/>
  <c r="AC2301" i="1"/>
  <c r="AK2301" i="1"/>
  <c r="P2302" i="1"/>
  <c r="R2302" i="1"/>
  <c r="S2302" i="1"/>
  <c r="T2302" i="1"/>
  <c r="AC2302" i="1"/>
  <c r="AK2302" i="1"/>
  <c r="P2303" i="1"/>
  <c r="R2303" i="1" s="1"/>
  <c r="S2303" i="1"/>
  <c r="T2303" i="1"/>
  <c r="AC2303" i="1"/>
  <c r="AK2303" i="1"/>
  <c r="P2304" i="1"/>
  <c r="R2304" i="1" s="1"/>
  <c r="S2304" i="1"/>
  <c r="T2304" i="1"/>
  <c r="AC2304" i="1"/>
  <c r="AK2304" i="1"/>
  <c r="P2305" i="1"/>
  <c r="R2305" i="1" s="1"/>
  <c r="S2305" i="1"/>
  <c r="T2305" i="1"/>
  <c r="AC2305" i="1"/>
  <c r="AK2305" i="1"/>
  <c r="P2306" i="1"/>
  <c r="R2306" i="1" s="1"/>
  <c r="S2306" i="1"/>
  <c r="T2306" i="1"/>
  <c r="AC2306" i="1"/>
  <c r="AK2306" i="1"/>
  <c r="P2307" i="1"/>
  <c r="R2307" i="1" s="1"/>
  <c r="S2307" i="1"/>
  <c r="T2307" i="1"/>
  <c r="AC2307" i="1"/>
  <c r="AK2307" i="1"/>
  <c r="P2308" i="1"/>
  <c r="R2308" i="1" s="1"/>
  <c r="S2308" i="1"/>
  <c r="T2308" i="1"/>
  <c r="AC2308" i="1"/>
  <c r="AK2308" i="1"/>
  <c r="P2309" i="1"/>
  <c r="R2309" i="1" s="1"/>
  <c r="S2309" i="1"/>
  <c r="T2309" i="1"/>
  <c r="AC2309" i="1"/>
  <c r="AK2309" i="1"/>
  <c r="P2311" i="1"/>
  <c r="R2311" i="1" s="1"/>
  <c r="S2311" i="1"/>
  <c r="T2311" i="1"/>
  <c r="AC2311" i="1"/>
  <c r="AK2311" i="1"/>
  <c r="P2312" i="1"/>
  <c r="R2312" i="1" s="1"/>
  <c r="S2312" i="1"/>
  <c r="T2312" i="1"/>
  <c r="AC2312" i="1"/>
  <c r="AK2312" i="1"/>
  <c r="P2313" i="1"/>
  <c r="R2313" i="1" s="1"/>
  <c r="S2313" i="1"/>
  <c r="T2313" i="1"/>
  <c r="AC2313" i="1"/>
  <c r="AK2313" i="1"/>
  <c r="P2315" i="1"/>
  <c r="R2315" i="1" s="1"/>
  <c r="S2315" i="1"/>
  <c r="T2315" i="1"/>
  <c r="AC2315" i="1"/>
  <c r="AK2315" i="1"/>
  <c r="P2316" i="1"/>
  <c r="R2316" i="1" s="1"/>
  <c r="S2316" i="1"/>
  <c r="T2316" i="1"/>
  <c r="AC2316" i="1"/>
  <c r="AK2316" i="1"/>
  <c r="P2317" i="1"/>
  <c r="R2317" i="1" s="1"/>
  <c r="S2317" i="1"/>
  <c r="T2317" i="1"/>
  <c r="AC2317" i="1"/>
  <c r="AK2317" i="1"/>
  <c r="P2318" i="1"/>
  <c r="R2318" i="1" s="1"/>
  <c r="S2318" i="1"/>
  <c r="T2318" i="1"/>
  <c r="AC2318" i="1"/>
  <c r="AK2318" i="1"/>
  <c r="P2319" i="1"/>
  <c r="R2319" i="1" s="1"/>
  <c r="S2319" i="1"/>
  <c r="T2319" i="1"/>
  <c r="AC2319" i="1"/>
  <c r="AK2319" i="1"/>
  <c r="P2320" i="1"/>
  <c r="R2320" i="1" s="1"/>
  <c r="S2320" i="1"/>
  <c r="T2320" i="1"/>
  <c r="AC2320" i="1"/>
  <c r="AK2320" i="1"/>
  <c r="P2321" i="1"/>
  <c r="R2321" i="1" s="1"/>
  <c r="S2321" i="1"/>
  <c r="T2321" i="1"/>
  <c r="AC2321" i="1"/>
  <c r="AK2321" i="1"/>
  <c r="P2323" i="1"/>
  <c r="R2323" i="1"/>
  <c r="S2323" i="1"/>
  <c r="T2323" i="1"/>
  <c r="AC2323" i="1"/>
  <c r="AK2323" i="1"/>
  <c r="P2324" i="1"/>
  <c r="R2324" i="1"/>
  <c r="AC2324" i="1"/>
  <c r="AK2324" i="1"/>
  <c r="P2326" i="1"/>
  <c r="R2326" i="1"/>
  <c r="S2326" i="1"/>
  <c r="T2326" i="1"/>
  <c r="AC2326" i="1"/>
  <c r="AK2326" i="1"/>
  <c r="P2327" i="1"/>
  <c r="R2327" i="1"/>
  <c r="S2327" i="1"/>
  <c r="T2327" i="1"/>
  <c r="AC2327" i="1"/>
  <c r="AK2327" i="1"/>
  <c r="P2328" i="1"/>
  <c r="R2328" i="1" s="1"/>
  <c r="S2328" i="1"/>
  <c r="T2328" i="1"/>
  <c r="AC2328" i="1"/>
  <c r="AK2328" i="1"/>
  <c r="P2329" i="1"/>
  <c r="R2329" i="1"/>
  <c r="S2329" i="1"/>
  <c r="T2329" i="1"/>
  <c r="AC2329" i="1"/>
  <c r="AK2329" i="1"/>
  <c r="P2330" i="1"/>
  <c r="R2330" i="1" s="1"/>
  <c r="S2330" i="1"/>
  <c r="T2330" i="1"/>
  <c r="AC2330" i="1"/>
  <c r="AK2330" i="1"/>
  <c r="P2331" i="1"/>
  <c r="R2331" i="1"/>
  <c r="S2331" i="1"/>
  <c r="T2331" i="1"/>
  <c r="AC2331" i="1"/>
  <c r="AK2331" i="1"/>
  <c r="P2333" i="1"/>
  <c r="R2333" i="1" s="1"/>
  <c r="S2333" i="1"/>
  <c r="T2333" i="1"/>
  <c r="AC2333" i="1"/>
  <c r="AK2333" i="1"/>
  <c r="P2334" i="1"/>
  <c r="R2334" i="1" s="1"/>
  <c r="S2334" i="1"/>
  <c r="T2334" i="1"/>
  <c r="AC2334" i="1"/>
  <c r="AK2334" i="1"/>
  <c r="P2335" i="1"/>
  <c r="R2335" i="1"/>
  <c r="S2335" i="1"/>
  <c r="T2335" i="1"/>
  <c r="AC2335" i="1"/>
  <c r="AK2335" i="1"/>
  <c r="P2336" i="1"/>
  <c r="R2336" i="1" s="1"/>
  <c r="S2336" i="1"/>
  <c r="T2336" i="1"/>
  <c r="AC2336" i="1"/>
  <c r="AK2336" i="1"/>
  <c r="P2339" i="1"/>
  <c r="R2339" i="1"/>
  <c r="S2339" i="1"/>
  <c r="T2339" i="1"/>
  <c r="AC2339" i="1"/>
  <c r="AK2339" i="1"/>
  <c r="P2340" i="1"/>
  <c r="R2340" i="1" s="1"/>
  <c r="S2340" i="1"/>
  <c r="T2340" i="1"/>
  <c r="AC2340" i="1"/>
  <c r="AK2340" i="1"/>
  <c r="P2341" i="1"/>
  <c r="R2341" i="1" s="1"/>
  <c r="S2341" i="1"/>
  <c r="T2341" i="1"/>
  <c r="AC2341" i="1"/>
  <c r="AK2341" i="1"/>
  <c r="P2342" i="1"/>
  <c r="R2342" i="1" s="1"/>
  <c r="S2342" i="1"/>
  <c r="T2342" i="1"/>
  <c r="AC2342" i="1"/>
  <c r="AK2342" i="1"/>
  <c r="P2344" i="1"/>
  <c r="R2344" i="1" s="1"/>
  <c r="S2344" i="1"/>
  <c r="T2344" i="1"/>
  <c r="AC2344" i="1"/>
  <c r="AK2344" i="1"/>
  <c r="P2345" i="1"/>
  <c r="R2345" i="1"/>
  <c r="S2345" i="1"/>
  <c r="T2345" i="1"/>
  <c r="AC2345" i="1"/>
  <c r="AK2345" i="1"/>
  <c r="P2346" i="1"/>
  <c r="R2346" i="1" s="1"/>
  <c r="S2346" i="1"/>
  <c r="T2346" i="1"/>
  <c r="AC2346" i="1"/>
  <c r="AK2346" i="1"/>
  <c r="P2348" i="1"/>
  <c r="R2348" i="1"/>
  <c r="S2348" i="1"/>
  <c r="T2348" i="1"/>
  <c r="AC2348" i="1"/>
  <c r="AK2348" i="1"/>
  <c r="P2349" i="1"/>
  <c r="R2349" i="1" s="1"/>
  <c r="S2349" i="1"/>
  <c r="T2349" i="1"/>
  <c r="AC2349" i="1"/>
  <c r="AK2349" i="1"/>
  <c r="P2350" i="1"/>
  <c r="R2350" i="1"/>
  <c r="S2350" i="1"/>
  <c r="T2350" i="1"/>
  <c r="AC2350" i="1"/>
  <c r="AK2350" i="1"/>
  <c r="P2351" i="1"/>
  <c r="R2351" i="1" s="1"/>
  <c r="S2351" i="1"/>
  <c r="T2351" i="1"/>
  <c r="AC2351" i="1"/>
  <c r="AK2351" i="1"/>
  <c r="P2352" i="1"/>
  <c r="R2352" i="1"/>
  <c r="S2352" i="1"/>
  <c r="T2352" i="1"/>
  <c r="AC2352" i="1"/>
  <c r="AK2352" i="1"/>
  <c r="P2353" i="1"/>
  <c r="R2353" i="1" s="1"/>
  <c r="S2353" i="1"/>
  <c r="T2353" i="1"/>
  <c r="AC2353" i="1"/>
  <c r="AK2353" i="1"/>
  <c r="P2354" i="1"/>
  <c r="R2354" i="1"/>
  <c r="S2354" i="1"/>
  <c r="T2354" i="1"/>
  <c r="AC2354" i="1"/>
  <c r="AK2354" i="1"/>
  <c r="P2355" i="1"/>
  <c r="R2355" i="1" s="1"/>
  <c r="S2355" i="1"/>
  <c r="T2355" i="1"/>
  <c r="AC2355" i="1"/>
  <c r="AK2355" i="1"/>
  <c r="P2356" i="1"/>
  <c r="R2356" i="1"/>
  <c r="S2356" i="1"/>
  <c r="T2356" i="1"/>
  <c r="AC2356" i="1"/>
  <c r="AK2356" i="1"/>
  <c r="P2359" i="1"/>
  <c r="R2359" i="1" s="1"/>
  <c r="S2359" i="1"/>
  <c r="T2359" i="1"/>
  <c r="AC2359" i="1"/>
  <c r="AK2359" i="1"/>
  <c r="P2360" i="1"/>
  <c r="R2360" i="1"/>
  <c r="S2360" i="1"/>
  <c r="T2360" i="1"/>
  <c r="AC2360" i="1"/>
  <c r="AK2360" i="1"/>
  <c r="P2362" i="1"/>
  <c r="R2362" i="1" s="1"/>
  <c r="S2362" i="1"/>
  <c r="T2362" i="1"/>
  <c r="AC2362" i="1"/>
  <c r="AK2362" i="1"/>
  <c r="P2364" i="1"/>
  <c r="R2364" i="1"/>
  <c r="S2364" i="1"/>
  <c r="T2364" i="1"/>
  <c r="AC2364" i="1"/>
  <c r="AK2364" i="1"/>
  <c r="P2365" i="1"/>
  <c r="R2365" i="1" s="1"/>
  <c r="S2365" i="1"/>
  <c r="T2365" i="1"/>
  <c r="AC2365" i="1"/>
  <c r="AK2365" i="1"/>
  <c r="P2368" i="1"/>
  <c r="R2368" i="1"/>
  <c r="S2368" i="1"/>
  <c r="T2368" i="1"/>
  <c r="AC2368" i="1"/>
  <c r="AK2368" i="1"/>
  <c r="P2370" i="1"/>
  <c r="R2370" i="1"/>
  <c r="S2370" i="1"/>
  <c r="T2370" i="1"/>
  <c r="AC2370" i="1"/>
  <c r="AK2370" i="1"/>
  <c r="P2371" i="1"/>
  <c r="R2371" i="1"/>
  <c r="S2371" i="1"/>
  <c r="T2371" i="1"/>
  <c r="AC2371" i="1"/>
  <c r="AK2371" i="1"/>
  <c r="P2372" i="1"/>
  <c r="R2372" i="1"/>
  <c r="S2372" i="1"/>
  <c r="T2372" i="1"/>
  <c r="AC2372" i="1"/>
  <c r="AK2372" i="1"/>
  <c r="P2373" i="1"/>
  <c r="R2373" i="1"/>
  <c r="S2373" i="1"/>
  <c r="T2373" i="1"/>
  <c r="AC2373" i="1"/>
  <c r="AK2373" i="1"/>
  <c r="P2374" i="1"/>
  <c r="R2374" i="1"/>
  <c r="S2374" i="1"/>
  <c r="T2374" i="1"/>
  <c r="AC2374" i="1"/>
  <c r="AK2374" i="1"/>
  <c r="P2375" i="1"/>
  <c r="R2375" i="1" s="1"/>
  <c r="S2375" i="1"/>
  <c r="T2375" i="1"/>
  <c r="AC2375" i="1"/>
  <c r="AK2375" i="1"/>
  <c r="P2376" i="1"/>
  <c r="R2376" i="1" s="1"/>
  <c r="S2376" i="1"/>
  <c r="T2376" i="1"/>
  <c r="AC2376" i="1"/>
  <c r="AK2376" i="1"/>
  <c r="P2377" i="1"/>
  <c r="R2377" i="1" s="1"/>
  <c r="S2377" i="1"/>
  <c r="T2377" i="1"/>
  <c r="AC2377" i="1"/>
  <c r="AK2377" i="1"/>
  <c r="P2378" i="1"/>
  <c r="R2378" i="1" s="1"/>
  <c r="S2378" i="1"/>
  <c r="T2378" i="1"/>
  <c r="AC2378" i="1"/>
  <c r="AK2378" i="1"/>
  <c r="P2379" i="1"/>
  <c r="R2379" i="1" s="1"/>
  <c r="S2379" i="1"/>
  <c r="T2379" i="1"/>
  <c r="AC2379" i="1"/>
  <c r="AK2379" i="1"/>
  <c r="P2380" i="1"/>
  <c r="R2380" i="1" s="1"/>
  <c r="S2380" i="1"/>
  <c r="T2380" i="1"/>
  <c r="AC2380" i="1"/>
  <c r="AK2380" i="1"/>
  <c r="P2381" i="1"/>
  <c r="R2381" i="1" s="1"/>
  <c r="AC2381" i="1"/>
  <c r="AK2381" i="1"/>
  <c r="P2383" i="1"/>
  <c r="R2383" i="1" s="1"/>
  <c r="S2383" i="1"/>
  <c r="T2383" i="1"/>
  <c r="AC2383" i="1"/>
  <c r="AK2383" i="1"/>
  <c r="P2384" i="1"/>
  <c r="R2384" i="1" s="1"/>
  <c r="S2384" i="1"/>
  <c r="T2384" i="1"/>
  <c r="AC2384" i="1"/>
  <c r="AK2384" i="1"/>
  <c r="P2385" i="1"/>
  <c r="R2385" i="1" s="1"/>
  <c r="S2385" i="1"/>
  <c r="T2385" i="1"/>
  <c r="AC2385" i="1"/>
  <c r="AK2385" i="1"/>
  <c r="P2386" i="1"/>
  <c r="R2386" i="1" s="1"/>
  <c r="S2386" i="1"/>
  <c r="T2386" i="1"/>
  <c r="AC2386" i="1"/>
  <c r="AK2386" i="1"/>
  <c r="P2387" i="1"/>
  <c r="R2387" i="1" s="1"/>
  <c r="S2387" i="1"/>
  <c r="T2387" i="1"/>
  <c r="AC2387" i="1"/>
  <c r="AK2387" i="1"/>
  <c r="P2388" i="1"/>
  <c r="R2388" i="1" s="1"/>
  <c r="S2388" i="1"/>
  <c r="T2388" i="1"/>
  <c r="AC2388" i="1"/>
  <c r="AK2388" i="1"/>
  <c r="P2389" i="1"/>
  <c r="R2389" i="1" s="1"/>
  <c r="S2389" i="1"/>
  <c r="T2389" i="1"/>
  <c r="AC2389" i="1"/>
  <c r="AK2389" i="1"/>
  <c r="P2390" i="1"/>
  <c r="R2390" i="1" s="1"/>
  <c r="S2390" i="1"/>
  <c r="T2390" i="1"/>
  <c r="AC2390" i="1"/>
  <c r="AK2390" i="1"/>
  <c r="P2391" i="1"/>
  <c r="R2391" i="1" s="1"/>
  <c r="S2391" i="1"/>
  <c r="T2391" i="1"/>
  <c r="AC2391" i="1"/>
  <c r="AK2391" i="1"/>
  <c r="P2392" i="1"/>
  <c r="R2392" i="1" s="1"/>
  <c r="S2392" i="1"/>
  <c r="T2392" i="1"/>
  <c r="AC2392" i="1"/>
  <c r="AK2392" i="1"/>
  <c r="P2393" i="1"/>
  <c r="R2393" i="1"/>
  <c r="S2393" i="1"/>
  <c r="T2393" i="1"/>
  <c r="AC2393" i="1"/>
  <c r="AK2393" i="1"/>
  <c r="P2394" i="1"/>
  <c r="R2394" i="1" s="1"/>
  <c r="S2394" i="1"/>
  <c r="T2394" i="1"/>
  <c r="AC2394" i="1"/>
  <c r="AK2394" i="1"/>
  <c r="P2395" i="1"/>
  <c r="R2395" i="1" s="1"/>
  <c r="S2395" i="1"/>
  <c r="T2395" i="1"/>
  <c r="AC2395" i="1"/>
  <c r="AK2395" i="1"/>
  <c r="P2396" i="1"/>
  <c r="R2396" i="1" s="1"/>
  <c r="S2396" i="1"/>
  <c r="T2396" i="1"/>
  <c r="AC2396" i="1"/>
  <c r="AK2396" i="1"/>
  <c r="P2397" i="1"/>
  <c r="R2397" i="1" s="1"/>
  <c r="S2397" i="1"/>
  <c r="T2397" i="1"/>
  <c r="AC2397" i="1"/>
  <c r="AK2397" i="1"/>
  <c r="P2398" i="1"/>
  <c r="R2398" i="1"/>
  <c r="S2398" i="1"/>
  <c r="T2398" i="1"/>
  <c r="AC2398" i="1"/>
  <c r="AK2398" i="1"/>
  <c r="P2399" i="1"/>
  <c r="R2399" i="1" s="1"/>
  <c r="S2399" i="1"/>
  <c r="T2399" i="1"/>
  <c r="AC2399" i="1"/>
  <c r="AK2399" i="1"/>
  <c r="P2400" i="1"/>
  <c r="R2400" i="1"/>
  <c r="S2400" i="1"/>
  <c r="T2400" i="1"/>
  <c r="AC2400" i="1"/>
  <c r="AK2400" i="1"/>
  <c r="P2402" i="1"/>
  <c r="R2402" i="1" s="1"/>
  <c r="S2402" i="1"/>
  <c r="T2402" i="1"/>
  <c r="AC2402" i="1"/>
  <c r="AK2402" i="1"/>
  <c r="P2403" i="1"/>
  <c r="R2403" i="1"/>
  <c r="S2403" i="1"/>
  <c r="T2403" i="1"/>
  <c r="AC2403" i="1"/>
  <c r="AK2403" i="1"/>
  <c r="P2405" i="1"/>
  <c r="R2405" i="1" s="1"/>
  <c r="S2405" i="1"/>
  <c r="T2405" i="1"/>
  <c r="AC2405" i="1"/>
  <c r="AK2405" i="1"/>
  <c r="P2406" i="1"/>
  <c r="R2406" i="1" s="1"/>
  <c r="S2406" i="1"/>
  <c r="T2406" i="1"/>
  <c r="AC2406" i="1"/>
  <c r="AK2406" i="1"/>
  <c r="P2407" i="1"/>
  <c r="R2407" i="1" s="1"/>
  <c r="S2407" i="1"/>
  <c r="T2407" i="1"/>
  <c r="AC2407" i="1"/>
  <c r="AK2407" i="1"/>
  <c r="P2408" i="1"/>
  <c r="R2408" i="1"/>
  <c r="S2408" i="1"/>
  <c r="T2408" i="1"/>
  <c r="AC2408" i="1"/>
  <c r="AK2408" i="1"/>
  <c r="P2410" i="1"/>
  <c r="R2410" i="1"/>
  <c r="S2410" i="1"/>
  <c r="T2410" i="1"/>
  <c r="AC2410" i="1"/>
  <c r="AK2410" i="1"/>
  <c r="P2411" i="1"/>
  <c r="R2411" i="1" s="1"/>
  <c r="S2411" i="1"/>
  <c r="T2411" i="1"/>
  <c r="AC2411" i="1"/>
  <c r="AK2411" i="1"/>
  <c r="P2412" i="1"/>
  <c r="R2412" i="1"/>
  <c r="S2412" i="1"/>
  <c r="T2412" i="1"/>
  <c r="AC2412" i="1"/>
  <c r="AK2412" i="1"/>
  <c r="P2413" i="1"/>
  <c r="R2413" i="1" s="1"/>
  <c r="S2413" i="1"/>
  <c r="T2413" i="1"/>
  <c r="AC2413" i="1"/>
  <c r="AK2413" i="1"/>
  <c r="P2415" i="1"/>
  <c r="R2415" i="1"/>
  <c r="S2415" i="1"/>
  <c r="T2415" i="1"/>
  <c r="AC2415" i="1"/>
  <c r="AK2415" i="1"/>
  <c r="P2416" i="1"/>
  <c r="R2416" i="1"/>
  <c r="S2416" i="1"/>
  <c r="T2416" i="1"/>
  <c r="AC2416" i="1"/>
  <c r="AK2416" i="1"/>
  <c r="P2417" i="1"/>
  <c r="R2417" i="1"/>
  <c r="S2417" i="1"/>
  <c r="T2417" i="1"/>
  <c r="AC2417" i="1"/>
  <c r="AK2417" i="1"/>
  <c r="P2418" i="1"/>
  <c r="R2418" i="1"/>
  <c r="S2418" i="1"/>
  <c r="T2418" i="1"/>
  <c r="AC2418" i="1"/>
  <c r="AK2418" i="1"/>
  <c r="P2419" i="1"/>
  <c r="R2419" i="1" s="1"/>
  <c r="S2419" i="1"/>
  <c r="T2419" i="1"/>
  <c r="AC2419" i="1"/>
  <c r="AK2419" i="1"/>
  <c r="P2420" i="1"/>
  <c r="R2420" i="1"/>
  <c r="S2420" i="1"/>
  <c r="T2420" i="1"/>
  <c r="AC2420" i="1"/>
  <c r="AK2420" i="1"/>
  <c r="P2421" i="1"/>
  <c r="R2421" i="1" s="1"/>
  <c r="S2421" i="1"/>
  <c r="T2421" i="1"/>
  <c r="AC2421" i="1"/>
  <c r="AK2421" i="1"/>
  <c r="P2422" i="1"/>
  <c r="R2422" i="1"/>
  <c r="S2422" i="1"/>
  <c r="T2422" i="1"/>
  <c r="AC2422" i="1"/>
  <c r="AK2422" i="1"/>
  <c r="P2423" i="1"/>
  <c r="R2423" i="1"/>
  <c r="S2423" i="1"/>
  <c r="T2423" i="1"/>
  <c r="AC2423" i="1"/>
  <c r="AK2423" i="1"/>
  <c r="P2424" i="1"/>
  <c r="R2424" i="1"/>
  <c r="S2424" i="1"/>
  <c r="T2424" i="1"/>
  <c r="AC2424" i="1"/>
  <c r="AK2424" i="1"/>
  <c r="P2425" i="1"/>
  <c r="R2425" i="1"/>
  <c r="S2425" i="1"/>
  <c r="T2425" i="1"/>
  <c r="AC2425" i="1"/>
  <c r="AK2425" i="1"/>
  <c r="P2426" i="1"/>
  <c r="R2426" i="1"/>
  <c r="S2426" i="1"/>
  <c r="T2426" i="1"/>
  <c r="AC2426" i="1"/>
  <c r="AK2426" i="1"/>
  <c r="P2427" i="1"/>
  <c r="R2427" i="1" s="1"/>
  <c r="S2427" i="1"/>
  <c r="T2427" i="1"/>
  <c r="AC2427" i="1"/>
  <c r="AK2427" i="1"/>
  <c r="P2428" i="1"/>
  <c r="R2428" i="1" s="1"/>
  <c r="S2428" i="1"/>
  <c r="T2428" i="1"/>
  <c r="AC2428" i="1"/>
  <c r="AK2428" i="1"/>
  <c r="P2429" i="1"/>
  <c r="R2429" i="1"/>
  <c r="S2429" i="1"/>
  <c r="T2429" i="1"/>
  <c r="AC2429" i="1"/>
  <c r="AK2429" i="1"/>
  <c r="P2430" i="1"/>
  <c r="R2430" i="1" s="1"/>
  <c r="S2430" i="1"/>
  <c r="T2430" i="1"/>
  <c r="AC2430" i="1"/>
  <c r="AK2430" i="1"/>
  <c r="P2431" i="1"/>
  <c r="R2431" i="1" s="1"/>
  <c r="S2431" i="1"/>
  <c r="T2431" i="1"/>
  <c r="AC2431" i="1"/>
  <c r="AK2431" i="1"/>
  <c r="P2432" i="1"/>
  <c r="R2432" i="1"/>
  <c r="S2432" i="1"/>
  <c r="T2432" i="1"/>
  <c r="AC2432" i="1"/>
  <c r="AK2432" i="1"/>
  <c r="P2433" i="1"/>
  <c r="R2433" i="1" s="1"/>
  <c r="S2433" i="1"/>
  <c r="T2433" i="1"/>
  <c r="AC2433" i="1"/>
  <c r="AK2433" i="1"/>
  <c r="P2434" i="1"/>
  <c r="R2434" i="1" s="1"/>
  <c r="S2434" i="1"/>
  <c r="T2434" i="1"/>
  <c r="AC2434" i="1"/>
  <c r="AK2434" i="1"/>
  <c r="P2435" i="1"/>
  <c r="R2435" i="1" s="1"/>
  <c r="S2435" i="1"/>
  <c r="T2435" i="1"/>
  <c r="AC2435" i="1"/>
  <c r="AK2435" i="1"/>
  <c r="P2436" i="1"/>
  <c r="R2436" i="1" s="1"/>
  <c r="S2436" i="1"/>
  <c r="T2436" i="1"/>
  <c r="AC2436" i="1"/>
  <c r="AK2436" i="1"/>
  <c r="P2437" i="1"/>
  <c r="R2437" i="1" s="1"/>
  <c r="S2437" i="1"/>
  <c r="T2437" i="1"/>
  <c r="AC2437" i="1"/>
  <c r="AK2437" i="1"/>
  <c r="P2438" i="1"/>
  <c r="R2438" i="1" s="1"/>
  <c r="S2438" i="1"/>
  <c r="T2438" i="1"/>
  <c r="AC2438" i="1"/>
  <c r="AK2438" i="1"/>
  <c r="P2439" i="1"/>
  <c r="R2439" i="1"/>
  <c r="S2439" i="1"/>
  <c r="T2439" i="1"/>
  <c r="AC2439" i="1"/>
  <c r="AK2439" i="1"/>
  <c r="P2440" i="1"/>
  <c r="R2440" i="1" s="1"/>
  <c r="S2440" i="1"/>
  <c r="T2440" i="1"/>
  <c r="AC2440" i="1"/>
  <c r="AK2440" i="1"/>
  <c r="P2441" i="1"/>
  <c r="R2441" i="1" s="1"/>
  <c r="S2441" i="1"/>
  <c r="T2441" i="1"/>
  <c r="AC2441" i="1"/>
  <c r="AK2441" i="1"/>
  <c r="P2442" i="1"/>
  <c r="R2442" i="1" s="1"/>
  <c r="S2442" i="1"/>
  <c r="T2442" i="1"/>
  <c r="AC2442" i="1"/>
  <c r="AK2442" i="1"/>
  <c r="P2443" i="1"/>
  <c r="R2443" i="1"/>
  <c r="S2443" i="1"/>
  <c r="T2443" i="1"/>
  <c r="AC2443" i="1"/>
  <c r="AK2443" i="1"/>
  <c r="P2444" i="1"/>
  <c r="R2444" i="1" s="1"/>
  <c r="S2444" i="1"/>
  <c r="T2444" i="1"/>
  <c r="AC2444" i="1"/>
  <c r="AK2444" i="1"/>
  <c r="P2445" i="1"/>
  <c r="R2445" i="1" s="1"/>
  <c r="S2445" i="1"/>
  <c r="T2445" i="1"/>
  <c r="AC2445" i="1"/>
  <c r="AK2445" i="1"/>
  <c r="P2446" i="1"/>
  <c r="R2446" i="1" s="1"/>
  <c r="S2446" i="1"/>
  <c r="T2446" i="1"/>
  <c r="AC2446" i="1"/>
  <c r="AK2446" i="1"/>
  <c r="P2447" i="1"/>
  <c r="R2447" i="1"/>
  <c r="S2447" i="1"/>
  <c r="T2447" i="1"/>
  <c r="AC2447" i="1"/>
  <c r="AK2447" i="1"/>
  <c r="P2448" i="1"/>
  <c r="R2448" i="1" s="1"/>
  <c r="S2448" i="1"/>
  <c r="T2448" i="1"/>
  <c r="AC2448" i="1"/>
  <c r="AK2448" i="1"/>
  <c r="P2449" i="1"/>
  <c r="R2449" i="1" s="1"/>
  <c r="S2449" i="1"/>
  <c r="T2449" i="1"/>
  <c r="AC2449" i="1"/>
  <c r="AK2449" i="1"/>
  <c r="P2450" i="1"/>
  <c r="R2450" i="1" s="1"/>
  <c r="S2450" i="1"/>
  <c r="T2450" i="1"/>
  <c r="AC2450" i="1"/>
  <c r="AK2450" i="1"/>
  <c r="P2451" i="1"/>
  <c r="R2451" i="1"/>
  <c r="S2451" i="1"/>
  <c r="T2451" i="1"/>
  <c r="AC2451" i="1"/>
  <c r="AK2451" i="1"/>
  <c r="P2452" i="1"/>
  <c r="R2452" i="1" s="1"/>
  <c r="S2452" i="1"/>
  <c r="T2452" i="1"/>
  <c r="AC2452" i="1"/>
  <c r="AK2452" i="1"/>
  <c r="P2454" i="1"/>
  <c r="R2454" i="1" s="1"/>
  <c r="S2454" i="1"/>
  <c r="T2454" i="1"/>
  <c r="AC2454" i="1"/>
  <c r="AK2454" i="1"/>
  <c r="P2455" i="1"/>
  <c r="R2455" i="1" s="1"/>
  <c r="S2455" i="1"/>
  <c r="T2455" i="1"/>
  <c r="AC2455" i="1"/>
  <c r="AK2455" i="1"/>
  <c r="P2457" i="1"/>
  <c r="R2457" i="1" s="1"/>
  <c r="S2457" i="1"/>
  <c r="T2457" i="1"/>
  <c r="AC2457" i="1"/>
  <c r="AK2457" i="1"/>
  <c r="P2458" i="1"/>
  <c r="R2458" i="1" s="1"/>
  <c r="S2458" i="1"/>
  <c r="T2458" i="1"/>
  <c r="AC2458" i="1"/>
  <c r="AK2458" i="1"/>
  <c r="P2459" i="1"/>
  <c r="R2459" i="1" s="1"/>
  <c r="S2459" i="1"/>
  <c r="T2459" i="1"/>
  <c r="AC2459" i="1"/>
  <c r="AK2459" i="1"/>
  <c r="P2460" i="1"/>
  <c r="R2460" i="1" s="1"/>
  <c r="S2460" i="1"/>
  <c r="T2460" i="1"/>
  <c r="AC2460" i="1"/>
  <c r="AK2460" i="1"/>
  <c r="P2461" i="1"/>
  <c r="R2461" i="1"/>
  <c r="S2461" i="1"/>
  <c r="T2461" i="1"/>
  <c r="AC2461" i="1"/>
  <c r="AK2461" i="1"/>
  <c r="P2462" i="1"/>
  <c r="R2462" i="1" s="1"/>
  <c r="S2462" i="1"/>
  <c r="T2462" i="1"/>
  <c r="AC2462" i="1"/>
  <c r="AK2462" i="1"/>
  <c r="P2463" i="1"/>
  <c r="R2463" i="1" s="1"/>
  <c r="S2463" i="1"/>
  <c r="T2463" i="1"/>
  <c r="AC2463" i="1"/>
  <c r="AK2463" i="1"/>
  <c r="P2465" i="1"/>
  <c r="R2465" i="1" s="1"/>
  <c r="S2465" i="1"/>
  <c r="T2465" i="1"/>
  <c r="AC2465" i="1"/>
  <c r="AK2465" i="1"/>
  <c r="P2466" i="1"/>
  <c r="R2466" i="1"/>
  <c r="S2466" i="1"/>
  <c r="T2466" i="1"/>
  <c r="AC2466" i="1"/>
  <c r="AK2466" i="1"/>
  <c r="P2467" i="1"/>
  <c r="R2467" i="1" s="1"/>
  <c r="S2467" i="1"/>
  <c r="T2467" i="1"/>
  <c r="AC2467" i="1"/>
  <c r="AK2467" i="1"/>
  <c r="P2468" i="1"/>
  <c r="R2468" i="1" s="1"/>
  <c r="S2468" i="1"/>
  <c r="T2468" i="1"/>
  <c r="AC2468" i="1"/>
  <c r="AK2468" i="1"/>
  <c r="P2471" i="1"/>
  <c r="R2471" i="1" s="1"/>
  <c r="S2471" i="1"/>
  <c r="T2471" i="1"/>
  <c r="AC2471" i="1"/>
  <c r="AK2471" i="1"/>
  <c r="P2472" i="1"/>
  <c r="R2472" i="1"/>
  <c r="S2472" i="1"/>
  <c r="T2472" i="1"/>
  <c r="AC2472" i="1"/>
  <c r="AK2472" i="1"/>
  <c r="P2473" i="1"/>
  <c r="R2473" i="1" s="1"/>
  <c r="S2473" i="1"/>
  <c r="T2473" i="1"/>
  <c r="AC2473" i="1"/>
  <c r="AK2473" i="1"/>
  <c r="P2474" i="1"/>
  <c r="R2474" i="1" s="1"/>
  <c r="S2474" i="1"/>
  <c r="T2474" i="1"/>
  <c r="AC2474" i="1"/>
  <c r="AK2474" i="1"/>
  <c r="P2475" i="1"/>
  <c r="R2475" i="1" s="1"/>
  <c r="S2475" i="1"/>
  <c r="T2475" i="1"/>
  <c r="AC2475" i="1"/>
  <c r="AK2475" i="1"/>
  <c r="P2476" i="1"/>
  <c r="R2476" i="1"/>
  <c r="S2476" i="1"/>
  <c r="T2476" i="1"/>
  <c r="AC2476" i="1"/>
  <c r="AK2476" i="1"/>
  <c r="P2477" i="1"/>
  <c r="R2477" i="1"/>
  <c r="S2477" i="1"/>
  <c r="T2477" i="1"/>
  <c r="AC2477" i="1"/>
  <c r="AK2477" i="1"/>
  <c r="P2478" i="1"/>
  <c r="R2478" i="1" s="1"/>
  <c r="S2478" i="1"/>
  <c r="T2478" i="1"/>
  <c r="AC2478" i="1"/>
  <c r="AK2478" i="1"/>
  <c r="P2480" i="1"/>
  <c r="R2480" i="1" s="1"/>
  <c r="AC2480" i="1"/>
  <c r="AK2480" i="1"/>
  <c r="P2481" i="1"/>
  <c r="R2481" i="1" s="1"/>
  <c r="S2481" i="1"/>
  <c r="T2481" i="1"/>
  <c r="AC2481" i="1"/>
  <c r="AK2481" i="1"/>
  <c r="P2482" i="1"/>
  <c r="R2482" i="1" s="1"/>
  <c r="S2482" i="1"/>
  <c r="T2482" i="1"/>
  <c r="AC2482" i="1"/>
  <c r="AK2482" i="1"/>
  <c r="P2483" i="1"/>
  <c r="R2483" i="1" s="1"/>
  <c r="S2483" i="1"/>
  <c r="T2483" i="1"/>
  <c r="AC2483" i="1"/>
  <c r="AK2483" i="1"/>
  <c r="P2485" i="1"/>
  <c r="R2485" i="1" s="1"/>
  <c r="S2485" i="1"/>
  <c r="T2485" i="1"/>
  <c r="AC2485" i="1"/>
  <c r="AK2485" i="1"/>
  <c r="P2486" i="1"/>
  <c r="R2486" i="1" s="1"/>
  <c r="S2486" i="1"/>
  <c r="T2486" i="1"/>
  <c r="AC2486" i="1"/>
  <c r="AK2486" i="1"/>
  <c r="P2487" i="1"/>
  <c r="R2487" i="1" s="1"/>
  <c r="S2487" i="1"/>
  <c r="T2487" i="1"/>
  <c r="AC2487" i="1"/>
  <c r="AK2487" i="1"/>
  <c r="P2488" i="1"/>
  <c r="R2488" i="1" s="1"/>
  <c r="S2488" i="1"/>
  <c r="T2488" i="1"/>
  <c r="AC2488" i="1"/>
  <c r="AK2488" i="1"/>
  <c r="P2490" i="1"/>
  <c r="R2490" i="1"/>
  <c r="S2490" i="1"/>
  <c r="T2490" i="1"/>
  <c r="AC2490" i="1"/>
  <c r="AK2490" i="1"/>
  <c r="P2491" i="1"/>
  <c r="R2491" i="1" s="1"/>
  <c r="S2491" i="1"/>
  <c r="T2491" i="1"/>
  <c r="AC2491" i="1"/>
  <c r="AK2491" i="1"/>
  <c r="P2493" i="1"/>
  <c r="R2493" i="1" s="1"/>
  <c r="S2493" i="1"/>
  <c r="T2493" i="1"/>
  <c r="AC2493" i="1"/>
  <c r="AK2493" i="1"/>
  <c r="P2494" i="1"/>
  <c r="R2494" i="1" s="1"/>
  <c r="S2494" i="1"/>
  <c r="T2494" i="1"/>
  <c r="AC2494" i="1"/>
  <c r="AK2494" i="1"/>
  <c r="P2495" i="1"/>
  <c r="R2495" i="1"/>
  <c r="S2495" i="1"/>
  <c r="T2495" i="1"/>
  <c r="AC2495" i="1"/>
  <c r="AK2495" i="1"/>
  <c r="P2496" i="1"/>
  <c r="R2496" i="1" s="1"/>
  <c r="S2496" i="1"/>
  <c r="T2496" i="1"/>
  <c r="AC2496" i="1"/>
  <c r="AK2496" i="1"/>
  <c r="P2497" i="1"/>
  <c r="R2497" i="1" s="1"/>
  <c r="S2497" i="1"/>
  <c r="T2497" i="1"/>
  <c r="AC2497" i="1"/>
  <c r="AK2497" i="1"/>
  <c r="P2498" i="1"/>
  <c r="R2498" i="1" s="1"/>
  <c r="S2498" i="1"/>
  <c r="T2498" i="1"/>
  <c r="AC2498" i="1"/>
  <c r="AK2498" i="1"/>
  <c r="P2499" i="1"/>
  <c r="R2499" i="1"/>
  <c r="S2499" i="1"/>
  <c r="T2499" i="1"/>
  <c r="AC2499" i="1"/>
  <c r="AK2499" i="1"/>
  <c r="P2501" i="1"/>
  <c r="R2501" i="1" s="1"/>
  <c r="S2501" i="1"/>
  <c r="T2501" i="1"/>
  <c r="AC2501" i="1"/>
  <c r="AK2501" i="1"/>
  <c r="P2502" i="1"/>
  <c r="R2502" i="1"/>
  <c r="S2502" i="1"/>
  <c r="T2502" i="1"/>
  <c r="AC2502" i="1"/>
  <c r="AK2502" i="1"/>
  <c r="P2503" i="1"/>
  <c r="R2503" i="1" s="1"/>
  <c r="S2503" i="1"/>
  <c r="T2503" i="1"/>
  <c r="AC2503" i="1"/>
  <c r="AK2503" i="1"/>
  <c r="P2505" i="1"/>
  <c r="R2505" i="1" s="1"/>
  <c r="S2505" i="1"/>
  <c r="T2505" i="1"/>
  <c r="AC2505" i="1"/>
  <c r="AK2505" i="1"/>
  <c r="P2506" i="1"/>
  <c r="R2506" i="1" s="1"/>
  <c r="S2506" i="1"/>
  <c r="T2506" i="1"/>
  <c r="AC2506" i="1"/>
  <c r="AK2506" i="1"/>
  <c r="P2507" i="1"/>
  <c r="R2507" i="1" s="1"/>
  <c r="S2507" i="1"/>
  <c r="T2507" i="1"/>
  <c r="AC2507" i="1"/>
  <c r="AK2507" i="1"/>
  <c r="P2508" i="1"/>
  <c r="R2508" i="1" s="1"/>
  <c r="S2508" i="1"/>
  <c r="T2508" i="1"/>
  <c r="AC2508" i="1"/>
  <c r="AK2508" i="1"/>
  <c r="P2509" i="1"/>
  <c r="R2509" i="1"/>
  <c r="S2509" i="1"/>
  <c r="T2509" i="1"/>
  <c r="AC2509" i="1"/>
  <c r="AK2509" i="1"/>
  <c r="P2510" i="1"/>
  <c r="R2510" i="1" s="1"/>
  <c r="S2510" i="1"/>
  <c r="T2510" i="1"/>
  <c r="AC2510" i="1"/>
  <c r="AK2510" i="1"/>
  <c r="P2511" i="1"/>
  <c r="R2511" i="1" s="1"/>
  <c r="S2511" i="1"/>
  <c r="T2511" i="1"/>
  <c r="AC2511" i="1"/>
  <c r="AK2511" i="1"/>
  <c r="P2512" i="1"/>
  <c r="R2512" i="1" s="1"/>
  <c r="S2512" i="1"/>
  <c r="T2512" i="1"/>
  <c r="AC2512" i="1"/>
  <c r="AK2512" i="1"/>
  <c r="P2513" i="1"/>
  <c r="R2513" i="1"/>
  <c r="AC2513" i="1"/>
  <c r="AK2513" i="1"/>
  <c r="P2514" i="1"/>
  <c r="R2514" i="1"/>
  <c r="S2514" i="1"/>
  <c r="T2514" i="1"/>
  <c r="AC2514" i="1"/>
  <c r="AK2514" i="1"/>
  <c r="P2515" i="1"/>
  <c r="R2515" i="1" s="1"/>
  <c r="S2515" i="1"/>
  <c r="T2515" i="1"/>
  <c r="AC2515" i="1"/>
  <c r="AK2515" i="1"/>
  <c r="P2516" i="1"/>
  <c r="R2516" i="1"/>
  <c r="S2516" i="1"/>
  <c r="T2516" i="1"/>
  <c r="AC2516" i="1"/>
  <c r="AK2516" i="1"/>
  <c r="P2517" i="1"/>
  <c r="R2517" i="1" s="1"/>
  <c r="S2517" i="1"/>
  <c r="T2517" i="1"/>
  <c r="AC2517" i="1"/>
  <c r="AK2517" i="1"/>
  <c r="P2519" i="1"/>
  <c r="R2519" i="1"/>
  <c r="S2519" i="1"/>
  <c r="T2519" i="1"/>
  <c r="AC2519" i="1"/>
  <c r="AK2519" i="1"/>
  <c r="P2520" i="1"/>
  <c r="R2520" i="1" s="1"/>
  <c r="S2520" i="1"/>
  <c r="T2520" i="1"/>
  <c r="AC2520" i="1"/>
  <c r="AK2520" i="1"/>
  <c r="P2521" i="1"/>
  <c r="R2521" i="1" s="1"/>
  <c r="S2521" i="1"/>
  <c r="T2521" i="1"/>
  <c r="AC2521" i="1"/>
  <c r="AK2521" i="1"/>
  <c r="P2522" i="1"/>
  <c r="R2522" i="1" s="1"/>
  <c r="S2522" i="1"/>
  <c r="T2522" i="1"/>
  <c r="AC2522" i="1"/>
  <c r="AK2522" i="1"/>
  <c r="P2523" i="1"/>
  <c r="R2523" i="1"/>
  <c r="S2523" i="1"/>
  <c r="T2523" i="1"/>
  <c r="AC2523" i="1"/>
  <c r="AK2523" i="1"/>
  <c r="P2524" i="1"/>
  <c r="R2524" i="1" s="1"/>
  <c r="S2524" i="1"/>
  <c r="T2524" i="1"/>
  <c r="AC2524" i="1"/>
  <c r="AK2524" i="1"/>
  <c r="P2525" i="1"/>
  <c r="R2525" i="1"/>
  <c r="S2525" i="1"/>
  <c r="T2525" i="1"/>
  <c r="AC2525" i="1"/>
  <c r="AK2525" i="1"/>
  <c r="P2526" i="1"/>
  <c r="R2526" i="1" s="1"/>
  <c r="S2526" i="1"/>
  <c r="T2526" i="1"/>
  <c r="AC2526" i="1"/>
  <c r="AK2526" i="1"/>
  <c r="P2528" i="1"/>
  <c r="R2528" i="1" s="1"/>
  <c r="S2528" i="1"/>
  <c r="T2528" i="1"/>
  <c r="AC2528" i="1"/>
  <c r="AK2528" i="1"/>
  <c r="P2529" i="1"/>
  <c r="R2529" i="1" s="1"/>
  <c r="S2529" i="1"/>
  <c r="T2529" i="1"/>
  <c r="AC2529" i="1"/>
  <c r="AK2529" i="1"/>
  <c r="P2531" i="1"/>
  <c r="R2531" i="1"/>
  <c r="S2531" i="1"/>
  <c r="T2531" i="1"/>
  <c r="AC2531" i="1"/>
  <c r="AK2531" i="1"/>
  <c r="P2532" i="1"/>
  <c r="R2532" i="1" s="1"/>
  <c r="S2532" i="1"/>
  <c r="T2532" i="1"/>
  <c r="AC2532" i="1"/>
  <c r="AK2532" i="1"/>
  <c r="P2533" i="1"/>
  <c r="R2533" i="1"/>
  <c r="S2533" i="1"/>
  <c r="T2533" i="1"/>
  <c r="AC2533" i="1"/>
  <c r="AK2533" i="1"/>
  <c r="P2534" i="1"/>
  <c r="R2534" i="1" s="1"/>
  <c r="S2534" i="1"/>
  <c r="T2534" i="1"/>
  <c r="AC2534" i="1"/>
  <c r="AK2534" i="1"/>
  <c r="P2535" i="1"/>
  <c r="R2535" i="1"/>
  <c r="S2535" i="1"/>
  <c r="T2535" i="1"/>
  <c r="AC2535" i="1"/>
  <c r="AK2535" i="1"/>
  <c r="P2536" i="1"/>
  <c r="R2536" i="1" s="1"/>
  <c r="S2536" i="1"/>
  <c r="T2536" i="1"/>
  <c r="AC2536" i="1"/>
  <c r="AK2536" i="1"/>
  <c r="P2537" i="1"/>
  <c r="R2537" i="1"/>
  <c r="S2537" i="1"/>
  <c r="T2537" i="1"/>
  <c r="AC2537" i="1"/>
  <c r="AK2537" i="1"/>
  <c r="P2538" i="1"/>
  <c r="R2538" i="1" s="1"/>
  <c r="S2538" i="1"/>
  <c r="T2538" i="1"/>
  <c r="AC2538" i="1"/>
  <c r="AK2538" i="1"/>
  <c r="P2539" i="1"/>
  <c r="R2539" i="1"/>
  <c r="S2539" i="1"/>
  <c r="T2539" i="1"/>
  <c r="AC2539" i="1"/>
  <c r="AK2539" i="1"/>
  <c r="P2543" i="1"/>
  <c r="R2543" i="1" s="1"/>
  <c r="S2543" i="1"/>
  <c r="T2543" i="1"/>
  <c r="AC2543" i="1"/>
  <c r="AK2543" i="1"/>
  <c r="P2544" i="1"/>
  <c r="R2544" i="1" s="1"/>
  <c r="AC2544" i="1"/>
  <c r="AK2544" i="1"/>
  <c r="P2545" i="1"/>
  <c r="R2545" i="1" s="1"/>
  <c r="S2545" i="1"/>
  <c r="T2545" i="1"/>
  <c r="AC2545" i="1"/>
  <c r="AK2545" i="1"/>
  <c r="P2547" i="1"/>
  <c r="R2547" i="1" s="1"/>
  <c r="S2547" i="1"/>
  <c r="T2547" i="1"/>
  <c r="AC2547" i="1"/>
  <c r="AK2547" i="1"/>
  <c r="P2548" i="1"/>
  <c r="R2548" i="1" s="1"/>
  <c r="S2548" i="1"/>
  <c r="T2548" i="1"/>
  <c r="AC2548" i="1"/>
  <c r="AK2548" i="1"/>
  <c r="P2549" i="1"/>
  <c r="R2549" i="1" s="1"/>
  <c r="S2549" i="1"/>
  <c r="T2549" i="1"/>
  <c r="AC2549" i="1"/>
  <c r="AK2549" i="1"/>
  <c r="P2550" i="1"/>
  <c r="R2550" i="1"/>
  <c r="S2550" i="1"/>
  <c r="T2550" i="1"/>
  <c r="AC2550" i="1"/>
  <c r="AK2550" i="1"/>
  <c r="P2552" i="1"/>
  <c r="R2552" i="1" s="1"/>
  <c r="S2552" i="1"/>
  <c r="T2552" i="1"/>
  <c r="AC2552" i="1"/>
  <c r="AK2552" i="1"/>
  <c r="P2554" i="1"/>
  <c r="R2554" i="1" s="1"/>
  <c r="S2554" i="1"/>
  <c r="T2554" i="1"/>
  <c r="P2556" i="1"/>
  <c r="R2556" i="1" s="1"/>
  <c r="S2556" i="1"/>
  <c r="T2556" i="1"/>
  <c r="AC2556" i="1"/>
  <c r="AK2556" i="1"/>
  <c r="P2558" i="1"/>
  <c r="R2558" i="1" s="1"/>
  <c r="S2558" i="1"/>
  <c r="T2558" i="1"/>
  <c r="AC2558" i="1"/>
  <c r="AK2558" i="1"/>
  <c r="P2561" i="1"/>
  <c r="R2561" i="1"/>
  <c r="S2561" i="1"/>
  <c r="T2561" i="1"/>
  <c r="AC2561" i="1"/>
  <c r="AK2561" i="1"/>
  <c r="P2563" i="1"/>
  <c r="R2563" i="1" s="1"/>
  <c r="S2563" i="1"/>
  <c r="T2563" i="1"/>
  <c r="AC2563" i="1"/>
  <c r="AK2563" i="1"/>
  <c r="P2564" i="1"/>
  <c r="R2564" i="1"/>
  <c r="S2564" i="1"/>
  <c r="T2564" i="1"/>
  <c r="AC2564" i="1"/>
  <c r="AK2564" i="1"/>
  <c r="P2565" i="1"/>
  <c r="R2565" i="1" s="1"/>
  <c r="S2565" i="1"/>
  <c r="T2565" i="1"/>
  <c r="AC2565" i="1"/>
  <c r="AK2565" i="1"/>
  <c r="P2566" i="1"/>
  <c r="R2566" i="1"/>
  <c r="S2566" i="1"/>
  <c r="T2566" i="1"/>
  <c r="AC2566" i="1"/>
  <c r="AK2566" i="1"/>
  <c r="P2567" i="1"/>
  <c r="R2567" i="1" s="1"/>
  <c r="S2567" i="1"/>
  <c r="T2567" i="1"/>
  <c r="AC2567" i="1"/>
  <c r="AK2567" i="1"/>
  <c r="P2568" i="1"/>
  <c r="R2568" i="1"/>
  <c r="S2568" i="1"/>
  <c r="T2568" i="1"/>
  <c r="AC2568" i="1"/>
  <c r="AK2568" i="1"/>
  <c r="P2569" i="1"/>
  <c r="R2569" i="1" s="1"/>
  <c r="S2569" i="1"/>
  <c r="T2569" i="1"/>
  <c r="AC2569" i="1"/>
  <c r="AK2569" i="1"/>
  <c r="P2572" i="1"/>
  <c r="R2572" i="1" s="1"/>
  <c r="S2572" i="1"/>
  <c r="T2572" i="1"/>
  <c r="AC2572" i="1"/>
  <c r="AK2572" i="1"/>
  <c r="P2573" i="1"/>
  <c r="R2573" i="1" s="1"/>
  <c r="S2573" i="1"/>
  <c r="T2573" i="1"/>
  <c r="AC2573" i="1"/>
  <c r="AK2573" i="1"/>
  <c r="P2574" i="1"/>
  <c r="R2574" i="1"/>
  <c r="S2574" i="1"/>
  <c r="T2574" i="1"/>
  <c r="AC2574" i="1"/>
  <c r="AK2574" i="1"/>
  <c r="P2575" i="1"/>
  <c r="R2575" i="1" s="1"/>
  <c r="S2575" i="1"/>
  <c r="T2575" i="1"/>
  <c r="AC2575" i="1"/>
  <c r="AK2575" i="1"/>
  <c r="P2577" i="1"/>
  <c r="R2577" i="1" s="1"/>
  <c r="S2577" i="1"/>
  <c r="T2577" i="1"/>
  <c r="AC2577" i="1"/>
  <c r="AK2577" i="1"/>
  <c r="P2578" i="1"/>
  <c r="R2578" i="1"/>
  <c r="S2578" i="1"/>
  <c r="T2578" i="1"/>
  <c r="AC2578" i="1"/>
  <c r="AK2578" i="1"/>
  <c r="P2581" i="1"/>
  <c r="R2581" i="1"/>
  <c r="S2581" i="1"/>
  <c r="T2581" i="1"/>
  <c r="AC2581" i="1"/>
  <c r="AK2581" i="1"/>
  <c r="P2582" i="1"/>
  <c r="R2582" i="1"/>
  <c r="S2582" i="1"/>
  <c r="T2582" i="1"/>
  <c r="AC2582" i="1"/>
  <c r="AK2582" i="1"/>
  <c r="P2583" i="1"/>
  <c r="R2583" i="1"/>
  <c r="S2583" i="1"/>
  <c r="T2583" i="1"/>
  <c r="AC2583" i="1"/>
  <c r="AK2583" i="1"/>
  <c r="P2584" i="1"/>
  <c r="R2584" i="1"/>
  <c r="S2584" i="1"/>
  <c r="T2584" i="1"/>
  <c r="AC2584" i="1"/>
  <c r="AK2584" i="1"/>
  <c r="P2585" i="1"/>
  <c r="R2585" i="1"/>
  <c r="S2585" i="1"/>
  <c r="T2585" i="1"/>
  <c r="AC2585" i="1"/>
  <c r="AK2585" i="1"/>
  <c r="P2587" i="1"/>
  <c r="R2587" i="1"/>
  <c r="S2587" i="1"/>
  <c r="T2587" i="1"/>
  <c r="AC2587" i="1"/>
  <c r="AK2587" i="1"/>
  <c r="P2589" i="1"/>
  <c r="R2589" i="1"/>
  <c r="S2589" i="1"/>
  <c r="T2589" i="1"/>
  <c r="AC2589" i="1"/>
  <c r="AK2589" i="1"/>
  <c r="P2591" i="1"/>
  <c r="R2591" i="1" s="1"/>
  <c r="S2591" i="1"/>
  <c r="T2591" i="1"/>
  <c r="AC2591" i="1"/>
  <c r="AK2591" i="1"/>
  <c r="P2592" i="1"/>
  <c r="R2592" i="1" s="1"/>
  <c r="S2592" i="1"/>
  <c r="T2592" i="1"/>
  <c r="AC2592" i="1"/>
  <c r="AK2592" i="1"/>
  <c r="P2593" i="1"/>
  <c r="R2593" i="1" s="1"/>
  <c r="S2593" i="1"/>
  <c r="T2593" i="1"/>
  <c r="AC2593" i="1"/>
  <c r="AK2593" i="1"/>
  <c r="P2594" i="1"/>
  <c r="R2594" i="1" s="1"/>
  <c r="S2594" i="1"/>
  <c r="T2594" i="1"/>
  <c r="AC2594" i="1"/>
  <c r="AK2594" i="1"/>
  <c r="P2595" i="1"/>
  <c r="R2595" i="1" s="1"/>
  <c r="S2595" i="1"/>
  <c r="T2595" i="1"/>
  <c r="AC2595" i="1"/>
  <c r="AK2595" i="1"/>
  <c r="P2596" i="1"/>
  <c r="R2596" i="1" s="1"/>
  <c r="S2596" i="1"/>
  <c r="T2596" i="1"/>
  <c r="AC2596" i="1"/>
  <c r="AK2596" i="1"/>
  <c r="P2597" i="1"/>
  <c r="R2597" i="1"/>
  <c r="S2597" i="1"/>
  <c r="T2597" i="1"/>
  <c r="AC2597" i="1"/>
  <c r="AK2597" i="1"/>
  <c r="P2598" i="1"/>
  <c r="R2598" i="1"/>
  <c r="S2598" i="1"/>
  <c r="T2598" i="1"/>
  <c r="AC2598" i="1"/>
  <c r="AK2598" i="1"/>
  <c r="P2601" i="1"/>
  <c r="R2601" i="1"/>
  <c r="S2601" i="1"/>
  <c r="T2601" i="1"/>
  <c r="AC2601" i="1"/>
  <c r="AK2601" i="1"/>
  <c r="P2602" i="1"/>
  <c r="R2602" i="1"/>
  <c r="S2602" i="1"/>
  <c r="T2602" i="1"/>
  <c r="AC2602" i="1"/>
  <c r="AK2602" i="1"/>
  <c r="P2603" i="1"/>
  <c r="R2603" i="1"/>
  <c r="S2603" i="1"/>
  <c r="T2603" i="1"/>
  <c r="AC2603" i="1"/>
  <c r="AK2603" i="1"/>
  <c r="P2604" i="1"/>
  <c r="R2604" i="1" s="1"/>
  <c r="S2604" i="1"/>
  <c r="T2604" i="1"/>
  <c r="AC2604" i="1"/>
  <c r="AK2604" i="1"/>
  <c r="P2605" i="1"/>
  <c r="R2605" i="1" s="1"/>
  <c r="S2605" i="1"/>
  <c r="T2605" i="1"/>
  <c r="AC2605" i="1"/>
  <c r="AK2605" i="1"/>
  <c r="P2607" i="1"/>
  <c r="R2607" i="1" s="1"/>
  <c r="S2607" i="1"/>
  <c r="T2607" i="1"/>
  <c r="AC2607" i="1"/>
  <c r="AK2607" i="1"/>
  <c r="P2610" i="1"/>
  <c r="R2610" i="1"/>
  <c r="S2610" i="1"/>
  <c r="T2610" i="1"/>
  <c r="AC2610" i="1"/>
  <c r="AK2610" i="1"/>
  <c r="P2611" i="1"/>
  <c r="R2611" i="1" s="1"/>
  <c r="S2611" i="1"/>
  <c r="T2611" i="1"/>
  <c r="AC2611" i="1"/>
  <c r="AK2611" i="1"/>
  <c r="P2612" i="1"/>
  <c r="R2612" i="1" s="1"/>
  <c r="S2612" i="1"/>
  <c r="T2612" i="1"/>
  <c r="AC2612" i="1"/>
  <c r="AK2612" i="1"/>
  <c r="P2613" i="1"/>
  <c r="R2613" i="1" s="1"/>
  <c r="S2613" i="1"/>
  <c r="T2613" i="1"/>
  <c r="AC2613" i="1"/>
  <c r="AK2613" i="1"/>
  <c r="P2614" i="1"/>
  <c r="R2614" i="1"/>
  <c r="S2614" i="1"/>
  <c r="T2614" i="1"/>
  <c r="AC2614" i="1"/>
  <c r="AK2614" i="1"/>
  <c r="P2615" i="1"/>
  <c r="R2615" i="1" s="1"/>
  <c r="S2615" i="1"/>
  <c r="T2615" i="1"/>
  <c r="P2616" i="1"/>
  <c r="R2616" i="1" s="1"/>
  <c r="S2616" i="1"/>
  <c r="T2616" i="1"/>
  <c r="AC2616" i="1"/>
  <c r="AK2616" i="1"/>
  <c r="P2617" i="1"/>
  <c r="R2617" i="1" s="1"/>
  <c r="S2617" i="1"/>
  <c r="T2617" i="1"/>
  <c r="AC2617" i="1"/>
  <c r="AK2617" i="1"/>
  <c r="P2618" i="1"/>
  <c r="R2618" i="1"/>
  <c r="S2618" i="1"/>
  <c r="T2618" i="1"/>
  <c r="AC2618" i="1"/>
  <c r="AK2618" i="1"/>
  <c r="P2619" i="1"/>
  <c r="R2619" i="1" s="1"/>
  <c r="S2619" i="1"/>
  <c r="T2619" i="1"/>
  <c r="AC2619" i="1"/>
  <c r="AK2619" i="1"/>
  <c r="P2621" i="1"/>
  <c r="R2621" i="1" s="1"/>
  <c r="S2621" i="1"/>
  <c r="T2621" i="1"/>
  <c r="AC2621" i="1"/>
  <c r="AK2621" i="1"/>
  <c r="P2622" i="1"/>
  <c r="R2622" i="1" s="1"/>
  <c r="S2622" i="1"/>
  <c r="T2622" i="1"/>
  <c r="AC2622" i="1"/>
  <c r="AK2622" i="1"/>
  <c r="P2623" i="1"/>
  <c r="R2623" i="1"/>
  <c r="S2623" i="1"/>
  <c r="T2623" i="1"/>
  <c r="AC2623" i="1"/>
  <c r="AK2623" i="1"/>
  <c r="P2624" i="1"/>
  <c r="R2624" i="1" s="1"/>
  <c r="S2624" i="1"/>
  <c r="T2624" i="1"/>
  <c r="AC2624" i="1"/>
  <c r="AK2624" i="1"/>
  <c r="P2625" i="1"/>
  <c r="R2625" i="1" s="1"/>
  <c r="S2625" i="1"/>
  <c r="T2625" i="1"/>
  <c r="AC2625" i="1"/>
  <c r="AK2625" i="1"/>
  <c r="P2626" i="1"/>
  <c r="R2626" i="1" s="1"/>
  <c r="S2626" i="1"/>
  <c r="T2626" i="1"/>
  <c r="AC2626" i="1"/>
  <c r="AK2626" i="1"/>
  <c r="P2628" i="1"/>
  <c r="R2628" i="1"/>
  <c r="S2628" i="1"/>
  <c r="T2628" i="1"/>
  <c r="AC2628" i="1"/>
  <c r="AK2628" i="1"/>
  <c r="P2629" i="1"/>
  <c r="R2629" i="1"/>
  <c r="S2629" i="1"/>
  <c r="T2629" i="1"/>
  <c r="AC2629" i="1"/>
  <c r="AK2629" i="1"/>
  <c r="P2630" i="1"/>
  <c r="R2630" i="1"/>
  <c r="S2630" i="1"/>
  <c r="T2630" i="1"/>
  <c r="AC2630" i="1"/>
  <c r="AK2630" i="1"/>
  <c r="P2631" i="1"/>
  <c r="R2631" i="1"/>
  <c r="S2631" i="1"/>
  <c r="T2631" i="1"/>
  <c r="AC2631" i="1"/>
  <c r="AK2631" i="1"/>
  <c r="P2632" i="1"/>
  <c r="R2632" i="1"/>
  <c r="S2632" i="1"/>
  <c r="T2632" i="1"/>
  <c r="AC2632" i="1"/>
  <c r="AK2632" i="1"/>
  <c r="P2635" i="1"/>
  <c r="R2635" i="1"/>
  <c r="S2635" i="1"/>
  <c r="T2635" i="1"/>
  <c r="AC2635" i="1"/>
  <c r="AK2635" i="1"/>
  <c r="P2636" i="1"/>
  <c r="R2636" i="1"/>
  <c r="S2636" i="1"/>
  <c r="T2636" i="1"/>
  <c r="AC2636" i="1"/>
  <c r="AK2636" i="1"/>
  <c r="P2637" i="1"/>
  <c r="R2637" i="1"/>
  <c r="S2637" i="1"/>
  <c r="T2637" i="1"/>
  <c r="AC2637" i="1"/>
  <c r="AK2637" i="1"/>
  <c r="P2638" i="1"/>
  <c r="R2638" i="1"/>
  <c r="S2638" i="1"/>
  <c r="T2638" i="1"/>
  <c r="AC2638" i="1"/>
  <c r="AK2638" i="1"/>
  <c r="P2639" i="1"/>
  <c r="R2639" i="1" s="1"/>
  <c r="S2639" i="1"/>
  <c r="T2639" i="1"/>
  <c r="AC2639" i="1"/>
  <c r="AK2639" i="1"/>
  <c r="P2640" i="1"/>
  <c r="R2640" i="1"/>
  <c r="S2640" i="1"/>
  <c r="T2640" i="1"/>
  <c r="AC2640" i="1"/>
  <c r="AK2640" i="1"/>
  <c r="P2641" i="1"/>
  <c r="R2641" i="1" s="1"/>
  <c r="S2641" i="1"/>
  <c r="T2641" i="1"/>
  <c r="AC2641" i="1"/>
  <c r="AK2641" i="1"/>
  <c r="P2642" i="1"/>
  <c r="R2642" i="1" s="1"/>
  <c r="S2642" i="1"/>
  <c r="T2642" i="1"/>
  <c r="AC2642" i="1"/>
  <c r="AK2642" i="1"/>
  <c r="P2643" i="1"/>
  <c r="R2643" i="1"/>
  <c r="S2643" i="1"/>
  <c r="T2643" i="1"/>
  <c r="AC2643" i="1"/>
  <c r="AK2643" i="1"/>
  <c r="P2644" i="1"/>
  <c r="R2644" i="1" s="1"/>
  <c r="S2644" i="1"/>
  <c r="T2644" i="1"/>
  <c r="AC2644" i="1"/>
  <c r="AK2644" i="1"/>
  <c r="P2645" i="1"/>
  <c r="R2645" i="1" s="1"/>
  <c r="S2645" i="1"/>
  <c r="T2645" i="1"/>
  <c r="AC2645" i="1"/>
  <c r="AK2645" i="1"/>
  <c r="P2646" i="1"/>
  <c r="R2646" i="1" s="1"/>
  <c r="S2646" i="1"/>
  <c r="T2646" i="1"/>
  <c r="AC2646" i="1"/>
  <c r="AK2646" i="1"/>
  <c r="P2647" i="1"/>
  <c r="R2647" i="1"/>
  <c r="S2647" i="1"/>
  <c r="T2647" i="1"/>
  <c r="AC2647" i="1"/>
  <c r="AK2647" i="1"/>
  <c r="P2648" i="1"/>
  <c r="R2648" i="1" s="1"/>
  <c r="S2648" i="1"/>
  <c r="T2648" i="1"/>
  <c r="AC2648" i="1"/>
  <c r="AK2648" i="1"/>
  <c r="P2649" i="1"/>
  <c r="R2649" i="1" s="1"/>
  <c r="S2649" i="1"/>
  <c r="T2649" i="1"/>
  <c r="AC2649" i="1"/>
  <c r="AK2649" i="1"/>
  <c r="P2650" i="1"/>
  <c r="R2650" i="1" s="1"/>
  <c r="S2650" i="1"/>
  <c r="T2650" i="1"/>
  <c r="AC2650" i="1"/>
  <c r="AK2650" i="1"/>
  <c r="P2651" i="1"/>
  <c r="R2651" i="1"/>
  <c r="S2651" i="1"/>
  <c r="T2651" i="1"/>
  <c r="AC2651" i="1"/>
  <c r="AK2651" i="1"/>
  <c r="P2652" i="1"/>
  <c r="R2652" i="1" s="1"/>
  <c r="S2652" i="1"/>
  <c r="T2652" i="1"/>
  <c r="AC2652" i="1"/>
  <c r="AK2652" i="1"/>
  <c r="P2653" i="1"/>
  <c r="R2653" i="1" s="1"/>
  <c r="S2653" i="1"/>
  <c r="T2653" i="1"/>
  <c r="AC2653" i="1"/>
  <c r="AK2653" i="1"/>
  <c r="P2654" i="1"/>
  <c r="R2654" i="1" s="1"/>
  <c r="S2654" i="1"/>
  <c r="T2654" i="1"/>
  <c r="AC2654" i="1"/>
  <c r="AK2654" i="1"/>
  <c r="P2655" i="1"/>
  <c r="R2655" i="1" s="1"/>
  <c r="S2655" i="1"/>
  <c r="T2655" i="1"/>
  <c r="AC2655" i="1"/>
  <c r="AK2655" i="1"/>
  <c r="P2656" i="1"/>
  <c r="R2656" i="1" s="1"/>
  <c r="S2656" i="1"/>
  <c r="T2656" i="1"/>
  <c r="AC2656" i="1"/>
  <c r="AK2656" i="1"/>
  <c r="P2657" i="1"/>
  <c r="R2657" i="1" s="1"/>
  <c r="S2657" i="1"/>
  <c r="T2657" i="1"/>
  <c r="AC2657" i="1"/>
  <c r="AK2657" i="1"/>
  <c r="P2658" i="1"/>
  <c r="R2658" i="1" s="1"/>
  <c r="S2658" i="1"/>
  <c r="T2658" i="1"/>
  <c r="AC2658" i="1"/>
  <c r="AK2658" i="1"/>
  <c r="P2659" i="1"/>
  <c r="R2659" i="1"/>
  <c r="S2659" i="1"/>
  <c r="T2659" i="1"/>
  <c r="AC2659" i="1"/>
  <c r="AK2659" i="1"/>
  <c r="P2660" i="1"/>
  <c r="R2660" i="1" s="1"/>
  <c r="S2660" i="1"/>
  <c r="T2660" i="1"/>
  <c r="AC2660" i="1"/>
  <c r="AK2660" i="1"/>
  <c r="P2661" i="1"/>
  <c r="R2661" i="1" s="1"/>
  <c r="S2661" i="1"/>
  <c r="T2661" i="1"/>
  <c r="AC2661" i="1"/>
  <c r="AK2661" i="1"/>
  <c r="P2662" i="1"/>
  <c r="R2662" i="1" s="1"/>
  <c r="S2662" i="1"/>
  <c r="T2662" i="1"/>
  <c r="AC2662" i="1"/>
  <c r="AK2662" i="1"/>
  <c r="P2663" i="1"/>
  <c r="R2663" i="1" s="1"/>
  <c r="S2663" i="1"/>
  <c r="T2663" i="1"/>
  <c r="AC2663" i="1"/>
  <c r="AK2663" i="1"/>
  <c r="P2664" i="1"/>
  <c r="R2664" i="1" s="1"/>
  <c r="S2664" i="1"/>
  <c r="T2664" i="1"/>
  <c r="AC2664" i="1"/>
  <c r="AK2664" i="1"/>
  <c r="P2665" i="1"/>
  <c r="R2665" i="1" s="1"/>
  <c r="S2665" i="1"/>
  <c r="T2665" i="1"/>
  <c r="AC2665" i="1"/>
  <c r="AK2665" i="1"/>
  <c r="P2666" i="1"/>
  <c r="R2666" i="1" s="1"/>
  <c r="S2666" i="1"/>
  <c r="T2666" i="1"/>
  <c r="AC2666" i="1"/>
  <c r="AK2666" i="1"/>
  <c r="P2667" i="1"/>
  <c r="R2667" i="1" s="1"/>
  <c r="S2667" i="1"/>
  <c r="T2667" i="1"/>
  <c r="AC2667" i="1"/>
  <c r="AK2667" i="1"/>
  <c r="P2668" i="1"/>
  <c r="R2668" i="1" s="1"/>
  <c r="S2668" i="1"/>
  <c r="T2668" i="1"/>
  <c r="AC2668" i="1"/>
  <c r="AK2668" i="1"/>
  <c r="P2669" i="1"/>
  <c r="R2669" i="1" s="1"/>
  <c r="S2669" i="1"/>
  <c r="T2669" i="1"/>
  <c r="AC2669" i="1"/>
  <c r="AK2669" i="1"/>
  <c r="P2670" i="1"/>
  <c r="R2670" i="1" s="1"/>
  <c r="S2670" i="1"/>
  <c r="T2670" i="1"/>
  <c r="AC2670" i="1"/>
  <c r="AK2670" i="1"/>
  <c r="P2671" i="1"/>
  <c r="R2671" i="1" s="1"/>
  <c r="S2671" i="1"/>
  <c r="T2671" i="1"/>
  <c r="AC2671" i="1"/>
  <c r="AK2671" i="1"/>
  <c r="P2673" i="1"/>
  <c r="R2673" i="1" s="1"/>
  <c r="S2673" i="1"/>
  <c r="T2673" i="1"/>
  <c r="AC2673" i="1"/>
  <c r="AK2673" i="1"/>
  <c r="P2674" i="1"/>
  <c r="R2674" i="1" s="1"/>
  <c r="S2674" i="1"/>
  <c r="T2674" i="1"/>
  <c r="AC2674" i="1"/>
  <c r="AK2674" i="1"/>
  <c r="P2675" i="1"/>
  <c r="R2675" i="1" s="1"/>
  <c r="S2675" i="1"/>
  <c r="T2675" i="1"/>
  <c r="AC2675" i="1"/>
  <c r="AK2675" i="1"/>
  <c r="P2676" i="1"/>
  <c r="R2676" i="1" s="1"/>
  <c r="S2676" i="1"/>
  <c r="T2676" i="1"/>
  <c r="AC2676" i="1"/>
  <c r="AK2676" i="1"/>
  <c r="P2677" i="1"/>
  <c r="R2677" i="1" s="1"/>
  <c r="S2677" i="1"/>
  <c r="T2677" i="1"/>
  <c r="AC2677" i="1"/>
  <c r="AK2677" i="1"/>
  <c r="P2678" i="1"/>
  <c r="R2678" i="1" s="1"/>
  <c r="S2678" i="1"/>
  <c r="T2678" i="1"/>
  <c r="AC2678" i="1"/>
  <c r="AK2678" i="1"/>
  <c r="P2679" i="1"/>
  <c r="R2679" i="1"/>
  <c r="S2679" i="1"/>
  <c r="T2679" i="1"/>
  <c r="AC2679" i="1"/>
  <c r="AK2679" i="1"/>
  <c r="P2680" i="1"/>
  <c r="R2680" i="1" s="1"/>
  <c r="S2680" i="1"/>
  <c r="T2680" i="1"/>
  <c r="AC2680" i="1"/>
  <c r="AK2680" i="1"/>
  <c r="P2681" i="1"/>
  <c r="R2681" i="1" s="1"/>
  <c r="S2681" i="1"/>
  <c r="T2681" i="1"/>
  <c r="AC2681" i="1"/>
  <c r="AK2681" i="1"/>
  <c r="P2682" i="1"/>
  <c r="R2682" i="1" s="1"/>
  <c r="S2682" i="1"/>
  <c r="T2682" i="1"/>
  <c r="AC2682" i="1"/>
  <c r="AK2682" i="1"/>
  <c r="P2683" i="1"/>
  <c r="R2683" i="1" s="1"/>
  <c r="S2683" i="1"/>
  <c r="T2683" i="1"/>
  <c r="AC2683" i="1"/>
  <c r="AK2683" i="1"/>
  <c r="P2684" i="1"/>
  <c r="R2684" i="1" s="1"/>
  <c r="S2684" i="1"/>
  <c r="T2684" i="1"/>
  <c r="AC2684" i="1"/>
  <c r="AK2684" i="1"/>
  <c r="P2685" i="1"/>
  <c r="R2685" i="1"/>
  <c r="S2685" i="1"/>
  <c r="T2685" i="1"/>
  <c r="AC2685" i="1"/>
  <c r="AK2685" i="1"/>
  <c r="P2686" i="1"/>
  <c r="R2686" i="1" s="1"/>
  <c r="S2686" i="1"/>
  <c r="T2686" i="1"/>
  <c r="AC2686" i="1"/>
  <c r="AK2686" i="1"/>
  <c r="P2687" i="1"/>
  <c r="R2687" i="1" s="1"/>
  <c r="S2687" i="1"/>
  <c r="T2687" i="1"/>
  <c r="AC2687" i="1"/>
  <c r="AK2687" i="1"/>
  <c r="P2688" i="1"/>
  <c r="R2688" i="1" s="1"/>
  <c r="S2688" i="1"/>
  <c r="T2688" i="1"/>
  <c r="AC2688" i="1"/>
  <c r="AK2688" i="1"/>
  <c r="P2689" i="1"/>
  <c r="R2689" i="1"/>
  <c r="S2689" i="1"/>
  <c r="T2689" i="1"/>
  <c r="AC2689" i="1"/>
  <c r="AK2689" i="1"/>
  <c r="P2690" i="1"/>
  <c r="R2690" i="1"/>
  <c r="S2690" i="1"/>
  <c r="T2690" i="1"/>
  <c r="AC2690" i="1"/>
  <c r="AK2690" i="1"/>
  <c r="P2691" i="1"/>
  <c r="R2691" i="1"/>
  <c r="S2691" i="1"/>
  <c r="T2691" i="1"/>
  <c r="AC2691" i="1"/>
  <c r="AK2691" i="1"/>
  <c r="P2692" i="1"/>
  <c r="R2692" i="1"/>
  <c r="S2692" i="1"/>
  <c r="T2692" i="1"/>
  <c r="AC2692" i="1"/>
  <c r="AK2692" i="1"/>
  <c r="P2693" i="1"/>
  <c r="R2693" i="1" s="1"/>
  <c r="S2693" i="1"/>
  <c r="T2693" i="1"/>
  <c r="AC2693" i="1"/>
  <c r="AK2693" i="1"/>
  <c r="P2694" i="1"/>
  <c r="R2694" i="1" s="1"/>
  <c r="S2694" i="1"/>
  <c r="T2694" i="1"/>
  <c r="AC2694" i="1"/>
  <c r="AK2694" i="1"/>
  <c r="P2695" i="1"/>
  <c r="R2695" i="1" s="1"/>
  <c r="S2695" i="1"/>
  <c r="T2695" i="1"/>
  <c r="AC2695" i="1"/>
  <c r="AK2695" i="1"/>
  <c r="P2696" i="1"/>
  <c r="R2696" i="1" s="1"/>
  <c r="S2696" i="1"/>
  <c r="T2696" i="1"/>
  <c r="AC2696" i="1"/>
  <c r="AK2696" i="1"/>
  <c r="P2697" i="1"/>
  <c r="R2697" i="1" s="1"/>
  <c r="S2697" i="1"/>
  <c r="T2697" i="1"/>
  <c r="AC2697" i="1"/>
  <c r="AK2697" i="1"/>
  <c r="P2698" i="1"/>
  <c r="R2698" i="1" s="1"/>
  <c r="S2698" i="1"/>
  <c r="T2698" i="1"/>
  <c r="AC2698" i="1"/>
  <c r="AK2698" i="1"/>
  <c r="P2699" i="1"/>
  <c r="R2699" i="1" s="1"/>
  <c r="S2699" i="1"/>
  <c r="T2699" i="1"/>
  <c r="AC2699" i="1"/>
  <c r="AK2699" i="1"/>
  <c r="P2700" i="1"/>
  <c r="R2700" i="1"/>
  <c r="S2700" i="1"/>
  <c r="T2700" i="1"/>
  <c r="AC2700" i="1"/>
  <c r="AK2700" i="1"/>
  <c r="P2701" i="1"/>
  <c r="R2701" i="1" s="1"/>
  <c r="S2701" i="1"/>
  <c r="T2701" i="1"/>
  <c r="AC2701" i="1"/>
  <c r="AK2701" i="1"/>
  <c r="P2702" i="1"/>
  <c r="R2702" i="1"/>
  <c r="S2702" i="1"/>
  <c r="T2702" i="1"/>
  <c r="AC2702" i="1"/>
  <c r="AK2702" i="1"/>
  <c r="P2703" i="1"/>
  <c r="R2703" i="1" s="1"/>
  <c r="S2703" i="1"/>
  <c r="T2703" i="1"/>
  <c r="AC2703" i="1"/>
  <c r="AK2703" i="1"/>
  <c r="P2704" i="1"/>
  <c r="R2704" i="1"/>
  <c r="S2704" i="1"/>
  <c r="T2704" i="1"/>
  <c r="AC2704" i="1"/>
  <c r="AK2704" i="1"/>
  <c r="P2705" i="1"/>
  <c r="R2705" i="1" s="1"/>
  <c r="S2705" i="1"/>
  <c r="T2705" i="1"/>
  <c r="AC2705" i="1"/>
  <c r="AK2705" i="1"/>
  <c r="P2706" i="1"/>
  <c r="R2706" i="1" s="1"/>
  <c r="S2706" i="1"/>
  <c r="T2706" i="1"/>
  <c r="AC2706" i="1"/>
  <c r="AK2706" i="1"/>
  <c r="P2707" i="1"/>
  <c r="R2707" i="1" s="1"/>
  <c r="S2707" i="1"/>
  <c r="T2707" i="1"/>
  <c r="AC2707" i="1"/>
  <c r="AK2707" i="1"/>
  <c r="P2708" i="1"/>
  <c r="R2708" i="1"/>
  <c r="S2708" i="1"/>
  <c r="T2708" i="1"/>
  <c r="AC2708" i="1"/>
  <c r="AK2708" i="1"/>
  <c r="P2709" i="1"/>
  <c r="R2709" i="1" s="1"/>
  <c r="S2709" i="1"/>
  <c r="T2709" i="1"/>
  <c r="AC2709" i="1"/>
  <c r="AK2709" i="1"/>
  <c r="P2710" i="1"/>
  <c r="R2710" i="1" s="1"/>
  <c r="S2710" i="1"/>
  <c r="T2710" i="1"/>
  <c r="AC2710" i="1"/>
  <c r="AK2710" i="1"/>
  <c r="P2711" i="1"/>
  <c r="R2711" i="1" s="1"/>
  <c r="S2711" i="1"/>
  <c r="T2711" i="1"/>
  <c r="AC2711" i="1"/>
  <c r="AK2711" i="1"/>
  <c r="P2712" i="1"/>
  <c r="R2712" i="1"/>
  <c r="S2712" i="1"/>
  <c r="T2712" i="1"/>
  <c r="AC2712" i="1"/>
  <c r="AK2712" i="1"/>
  <c r="P2713" i="1"/>
  <c r="R2713" i="1" s="1"/>
  <c r="S2713" i="1"/>
  <c r="T2713" i="1"/>
  <c r="AC2713" i="1"/>
  <c r="AK2713" i="1"/>
  <c r="P2714" i="1"/>
  <c r="R2714" i="1" s="1"/>
  <c r="S2714" i="1"/>
  <c r="T2714" i="1"/>
  <c r="AC2714" i="1"/>
  <c r="AK2714" i="1"/>
  <c r="P2715" i="1"/>
  <c r="R2715" i="1" s="1"/>
  <c r="S2715" i="1"/>
  <c r="T2715" i="1"/>
  <c r="AC2715" i="1"/>
  <c r="AK2715" i="1"/>
  <c r="P2716" i="1"/>
  <c r="R2716" i="1" s="1"/>
  <c r="S2716" i="1"/>
  <c r="T2716" i="1"/>
  <c r="AC2716" i="1"/>
  <c r="AK2716" i="1"/>
  <c r="P2717" i="1"/>
  <c r="R2717" i="1" s="1"/>
  <c r="S2717" i="1"/>
  <c r="T2717" i="1"/>
  <c r="AC2717" i="1"/>
  <c r="AK2717" i="1"/>
  <c r="P2719" i="1"/>
  <c r="R2719" i="1" s="1"/>
  <c r="S2719" i="1"/>
  <c r="T2719" i="1"/>
  <c r="AC2719" i="1"/>
  <c r="AK2719" i="1"/>
  <c r="P2720" i="1"/>
  <c r="R2720" i="1" s="1"/>
  <c r="S2720" i="1"/>
  <c r="T2720" i="1"/>
  <c r="AC2720" i="1"/>
  <c r="AK2720" i="1"/>
  <c r="P2721" i="1"/>
  <c r="R2721" i="1" s="1"/>
  <c r="S2721" i="1"/>
  <c r="T2721" i="1"/>
  <c r="AC2721" i="1"/>
  <c r="AK2721" i="1"/>
  <c r="P2722" i="1"/>
  <c r="R2722" i="1"/>
  <c r="S2722" i="1"/>
  <c r="T2722" i="1"/>
  <c r="AC2722" i="1"/>
  <c r="AK2722" i="1"/>
  <c r="P2725" i="1"/>
  <c r="R2725" i="1" s="1"/>
  <c r="S2725" i="1"/>
  <c r="T2725" i="1"/>
  <c r="AC2725" i="1"/>
  <c r="AK2725" i="1"/>
  <c r="P2726" i="1"/>
  <c r="R2726" i="1" s="1"/>
  <c r="S2726" i="1"/>
  <c r="T2726" i="1"/>
  <c r="AC2726" i="1"/>
  <c r="AK2726" i="1"/>
  <c r="P2727" i="1"/>
  <c r="R2727" i="1" s="1"/>
  <c r="S2727" i="1"/>
  <c r="T2727" i="1"/>
  <c r="AC2727" i="1"/>
  <c r="AK2727" i="1"/>
  <c r="P2728" i="1"/>
  <c r="R2728" i="1"/>
  <c r="S2728" i="1"/>
  <c r="T2728" i="1"/>
  <c r="AC2728" i="1"/>
  <c r="AK2728" i="1"/>
  <c r="P2730" i="1"/>
  <c r="R2730" i="1" s="1"/>
  <c r="S2730" i="1"/>
  <c r="T2730" i="1"/>
  <c r="AC2730" i="1"/>
  <c r="AK2730" i="1"/>
  <c r="P2731" i="1"/>
  <c r="R2731" i="1"/>
  <c r="S2731" i="1"/>
  <c r="T2731" i="1"/>
  <c r="AC2731" i="1"/>
  <c r="AK2731" i="1"/>
  <c r="P2732" i="1"/>
  <c r="R2732" i="1" s="1"/>
  <c r="S2732" i="1"/>
  <c r="T2732" i="1"/>
  <c r="AC2732" i="1"/>
  <c r="AK2732" i="1"/>
  <c r="P2733" i="1"/>
  <c r="R2733" i="1"/>
  <c r="S2733" i="1"/>
  <c r="T2733" i="1"/>
  <c r="AC2733" i="1"/>
  <c r="AK2733" i="1"/>
  <c r="P2734" i="1"/>
  <c r="R2734" i="1" s="1"/>
  <c r="S2734" i="1"/>
  <c r="T2734" i="1"/>
  <c r="AC2734" i="1"/>
  <c r="AK2734" i="1"/>
  <c r="P2735" i="1"/>
  <c r="R2735" i="1" s="1"/>
  <c r="S2735" i="1"/>
  <c r="T2735" i="1"/>
  <c r="AC2735" i="1"/>
  <c r="AK2735" i="1"/>
  <c r="P2736" i="1"/>
  <c r="R2736" i="1"/>
  <c r="S2736" i="1"/>
  <c r="T2736" i="1"/>
  <c r="AC2736" i="1"/>
  <c r="AK2736" i="1"/>
  <c r="P2737" i="1"/>
  <c r="R2737" i="1" s="1"/>
  <c r="S2737" i="1"/>
  <c r="T2737" i="1"/>
  <c r="AC2737" i="1"/>
  <c r="AK2737" i="1"/>
  <c r="P2738" i="1"/>
  <c r="R2738" i="1" s="1"/>
  <c r="S2738" i="1"/>
  <c r="T2738" i="1"/>
  <c r="AC2738" i="1"/>
  <c r="AK2738" i="1"/>
  <c r="P2739" i="1"/>
  <c r="R2739" i="1" s="1"/>
  <c r="S2739" i="1"/>
  <c r="T2739" i="1"/>
  <c r="AC2739" i="1"/>
  <c r="AK2739" i="1"/>
  <c r="P2740" i="1"/>
  <c r="R2740" i="1" s="1"/>
  <c r="S2740" i="1"/>
  <c r="T2740" i="1"/>
  <c r="AC2740" i="1"/>
  <c r="AK2740" i="1"/>
  <c r="P2741" i="1"/>
  <c r="R2741" i="1" s="1"/>
  <c r="S2741" i="1"/>
  <c r="T2741" i="1"/>
  <c r="AC2741" i="1"/>
  <c r="AK2741" i="1"/>
  <c r="P2742" i="1"/>
  <c r="R2742" i="1"/>
  <c r="S2742" i="1"/>
  <c r="T2742" i="1"/>
  <c r="AC2742" i="1"/>
  <c r="AK2742" i="1"/>
  <c r="P2743" i="1"/>
  <c r="R2743" i="1" s="1"/>
  <c r="S2743" i="1"/>
  <c r="T2743" i="1"/>
  <c r="AC2743" i="1"/>
  <c r="AK2743" i="1"/>
  <c r="P2744" i="1"/>
  <c r="R2744" i="1" s="1"/>
  <c r="S2744" i="1"/>
  <c r="T2744" i="1"/>
  <c r="AC2744" i="1"/>
  <c r="AK2744" i="1"/>
  <c r="P2745" i="1"/>
  <c r="R2745" i="1" s="1"/>
  <c r="S2745" i="1"/>
  <c r="T2745" i="1"/>
  <c r="AC2745" i="1"/>
  <c r="AK2745" i="1"/>
  <c r="P2746" i="1"/>
  <c r="R2746" i="1"/>
  <c r="S2746" i="1"/>
  <c r="T2746" i="1"/>
  <c r="AC2746" i="1"/>
  <c r="AK2746" i="1"/>
  <c r="P2747" i="1"/>
  <c r="R2747" i="1" s="1"/>
  <c r="S2747" i="1"/>
  <c r="T2747" i="1"/>
  <c r="AC2747" i="1"/>
  <c r="AK2747" i="1"/>
  <c r="P2748" i="1"/>
  <c r="R2748" i="1"/>
  <c r="S2748" i="1"/>
  <c r="T2748" i="1"/>
  <c r="AC2748" i="1"/>
  <c r="AK2748" i="1"/>
  <c r="P2749" i="1"/>
  <c r="R2749" i="1"/>
  <c r="S2749" i="1"/>
  <c r="T2749" i="1"/>
  <c r="AC2749" i="1"/>
  <c r="AK2749" i="1"/>
  <c r="P2750" i="1"/>
  <c r="R2750" i="1"/>
  <c r="S2750" i="1"/>
  <c r="T2750" i="1"/>
  <c r="AC2750" i="1"/>
  <c r="AK2750" i="1"/>
  <c r="P2751" i="1"/>
  <c r="R2751" i="1"/>
  <c r="S2751" i="1"/>
  <c r="T2751" i="1"/>
  <c r="AC2751" i="1"/>
  <c r="AK2751" i="1"/>
  <c r="P2752" i="1"/>
  <c r="R2752" i="1"/>
  <c r="S2752" i="1"/>
  <c r="T2752" i="1"/>
  <c r="AC2752" i="1"/>
  <c r="AK2752" i="1"/>
  <c r="P2753" i="1"/>
  <c r="R2753" i="1"/>
  <c r="S2753" i="1"/>
  <c r="T2753" i="1"/>
  <c r="AC2753" i="1"/>
  <c r="AK2753" i="1"/>
  <c r="P2754" i="1"/>
  <c r="R2754" i="1"/>
  <c r="S2754" i="1"/>
  <c r="T2754" i="1"/>
  <c r="AC2754" i="1"/>
  <c r="AK2754" i="1"/>
  <c r="P2755" i="1"/>
  <c r="R2755" i="1"/>
  <c r="S2755" i="1"/>
  <c r="T2755" i="1"/>
  <c r="AC2755" i="1"/>
  <c r="AK2755" i="1"/>
  <c r="P2756" i="1"/>
  <c r="R2756" i="1"/>
  <c r="S2756" i="1"/>
  <c r="T2756" i="1"/>
  <c r="AC2756" i="1"/>
  <c r="AK2756" i="1"/>
  <c r="P2757" i="1"/>
  <c r="R2757" i="1"/>
  <c r="S2757" i="1"/>
  <c r="T2757" i="1"/>
  <c r="AC2757" i="1"/>
  <c r="AK2757" i="1"/>
  <c r="P2758" i="1"/>
  <c r="R2758" i="1"/>
  <c r="S2758" i="1"/>
  <c r="T2758" i="1"/>
  <c r="AC2758" i="1"/>
  <c r="AK2758" i="1"/>
  <c r="P2759" i="1"/>
  <c r="R2759" i="1" s="1"/>
  <c r="S2759" i="1"/>
  <c r="T2759" i="1"/>
  <c r="AC2759" i="1"/>
  <c r="AK2759" i="1"/>
  <c r="P2760" i="1"/>
  <c r="R2760" i="1" s="1"/>
  <c r="S2760" i="1"/>
  <c r="T2760" i="1"/>
  <c r="AC2760" i="1"/>
  <c r="AK2760" i="1"/>
  <c r="P2761" i="1"/>
  <c r="R2761" i="1" s="1"/>
  <c r="S2761" i="1"/>
  <c r="T2761" i="1"/>
  <c r="AC2761" i="1"/>
  <c r="AK2761" i="1"/>
  <c r="P2762" i="1"/>
  <c r="R2762" i="1"/>
  <c r="S2762" i="1"/>
  <c r="T2762" i="1"/>
  <c r="AC2762" i="1"/>
  <c r="AK2762" i="1"/>
  <c r="P2763" i="1"/>
  <c r="R2763" i="1" s="1"/>
  <c r="S2763" i="1"/>
  <c r="T2763" i="1"/>
  <c r="AC2763" i="1"/>
  <c r="AK2763" i="1"/>
  <c r="P2764" i="1"/>
  <c r="R2764" i="1" s="1"/>
  <c r="S2764" i="1"/>
  <c r="T2764" i="1"/>
  <c r="AC2764" i="1"/>
  <c r="AK2764" i="1"/>
  <c r="P2765" i="1"/>
  <c r="R2765" i="1" s="1"/>
  <c r="S2765" i="1"/>
  <c r="T2765" i="1"/>
  <c r="AC2765" i="1"/>
  <c r="AK2765" i="1"/>
  <c r="P2766" i="1"/>
  <c r="R2766" i="1" s="1"/>
  <c r="S2766" i="1"/>
  <c r="T2766" i="1"/>
  <c r="AC2766" i="1"/>
  <c r="AK2766" i="1"/>
  <c r="P2767" i="1"/>
  <c r="R2767" i="1" s="1"/>
  <c r="S2767" i="1"/>
  <c r="T2767" i="1"/>
  <c r="AC2767" i="1"/>
  <c r="AK2767" i="1"/>
  <c r="P2768" i="1"/>
  <c r="R2768" i="1"/>
  <c r="S2768" i="1"/>
  <c r="T2768" i="1"/>
  <c r="AC2768" i="1"/>
  <c r="AK2768" i="1"/>
  <c r="P2769" i="1"/>
  <c r="R2769" i="1" s="1"/>
  <c r="S2769" i="1"/>
  <c r="T2769" i="1"/>
  <c r="AC2769" i="1"/>
  <c r="AK2769" i="1"/>
  <c r="P2770" i="1"/>
  <c r="R2770" i="1"/>
  <c r="S2770" i="1"/>
  <c r="T2770" i="1"/>
  <c r="AC2770" i="1"/>
  <c r="AK2770" i="1"/>
  <c r="P2771" i="1"/>
  <c r="R2771" i="1" s="1"/>
  <c r="S2771" i="1"/>
  <c r="T2771" i="1"/>
  <c r="AC2771" i="1"/>
  <c r="AK2771" i="1"/>
  <c r="P2772" i="1"/>
  <c r="R2772" i="1" s="1"/>
  <c r="S2772" i="1"/>
  <c r="T2772" i="1"/>
  <c r="AC2772" i="1"/>
  <c r="AK2772" i="1"/>
  <c r="P2773" i="1"/>
  <c r="R2773" i="1"/>
  <c r="S2773" i="1"/>
  <c r="T2773" i="1"/>
  <c r="AC2773" i="1"/>
  <c r="AK2773" i="1"/>
  <c r="P2774" i="1"/>
  <c r="R2774" i="1" s="1"/>
  <c r="S2774" i="1"/>
  <c r="T2774" i="1"/>
  <c r="AC2774" i="1"/>
  <c r="AK2774" i="1"/>
  <c r="P2775" i="1"/>
  <c r="R2775" i="1"/>
  <c r="S2775" i="1"/>
  <c r="T2775" i="1"/>
  <c r="AC2775" i="1"/>
  <c r="AK2775" i="1"/>
  <c r="P2776" i="1"/>
  <c r="R2776" i="1" s="1"/>
  <c r="S2776" i="1"/>
  <c r="T2776" i="1"/>
  <c r="AC2776" i="1"/>
  <c r="AK2776" i="1"/>
  <c r="P2777" i="1"/>
  <c r="R2777" i="1" s="1"/>
  <c r="S2777" i="1"/>
  <c r="T2777" i="1"/>
  <c r="AC2777" i="1"/>
  <c r="AK2777" i="1"/>
  <c r="P2778" i="1"/>
  <c r="R2778" i="1" s="1"/>
  <c r="S2778" i="1"/>
  <c r="T2778" i="1"/>
  <c r="AC2778" i="1"/>
  <c r="AK2778" i="1"/>
  <c r="P2779" i="1"/>
  <c r="R2779" i="1" s="1"/>
  <c r="S2779" i="1"/>
  <c r="T2779" i="1"/>
  <c r="AC2779" i="1"/>
  <c r="AK2779" i="1"/>
  <c r="P2780" i="1"/>
  <c r="R2780" i="1" s="1"/>
  <c r="S2780" i="1"/>
  <c r="T2780" i="1"/>
  <c r="AC2780" i="1"/>
  <c r="AK2780" i="1"/>
  <c r="P2781" i="1"/>
  <c r="R2781" i="1"/>
  <c r="S2781" i="1"/>
  <c r="T2781" i="1"/>
  <c r="AC2781" i="1"/>
  <c r="AK2781" i="1"/>
  <c r="P2782" i="1"/>
  <c r="R2782" i="1" s="1"/>
  <c r="S2782" i="1"/>
  <c r="T2782" i="1"/>
  <c r="AC2782" i="1"/>
  <c r="AK2782" i="1"/>
  <c r="P2783" i="1"/>
  <c r="R2783" i="1" s="1"/>
  <c r="S2783" i="1"/>
  <c r="T2783" i="1"/>
  <c r="AC2783" i="1"/>
  <c r="AK2783" i="1"/>
  <c r="P2784" i="1"/>
  <c r="R2784" i="1" s="1"/>
  <c r="S2784" i="1"/>
  <c r="T2784" i="1"/>
  <c r="AC2784" i="1"/>
  <c r="AK2784" i="1"/>
  <c r="P2785" i="1"/>
  <c r="R2785" i="1"/>
  <c r="S2785" i="1"/>
  <c r="T2785" i="1"/>
  <c r="AC2785" i="1"/>
  <c r="AK2785" i="1"/>
  <c r="P2786" i="1"/>
  <c r="R2786" i="1" s="1"/>
  <c r="S2786" i="1"/>
  <c r="T2786" i="1"/>
  <c r="AC2786" i="1"/>
  <c r="AK2786" i="1"/>
  <c r="P2787" i="1"/>
  <c r="R2787" i="1" s="1"/>
  <c r="S2787" i="1"/>
  <c r="T2787" i="1"/>
  <c r="AC2787" i="1"/>
  <c r="AK2787" i="1"/>
  <c r="P2788" i="1"/>
  <c r="R2788" i="1" s="1"/>
  <c r="S2788" i="1"/>
  <c r="T2788" i="1"/>
  <c r="AC2788" i="1"/>
  <c r="AK2788" i="1"/>
  <c r="P2789" i="1"/>
  <c r="R2789" i="1"/>
  <c r="S2789" i="1"/>
  <c r="T2789" i="1"/>
  <c r="AC2789" i="1"/>
  <c r="AK2789" i="1"/>
  <c r="P2790" i="1"/>
  <c r="R2790" i="1" s="1"/>
  <c r="S2790" i="1"/>
  <c r="T2790" i="1"/>
  <c r="AC2790" i="1"/>
  <c r="AK2790" i="1"/>
  <c r="P2791" i="1"/>
  <c r="R2791" i="1" s="1"/>
  <c r="S2791" i="1"/>
  <c r="T2791" i="1"/>
  <c r="AC2791" i="1"/>
  <c r="AK2791" i="1"/>
  <c r="P2792" i="1"/>
  <c r="R2792" i="1" s="1"/>
  <c r="S2792" i="1"/>
  <c r="T2792" i="1"/>
  <c r="AC2792" i="1"/>
  <c r="AK2792" i="1"/>
  <c r="P2793" i="1"/>
  <c r="R2793" i="1" s="1"/>
  <c r="S2793" i="1"/>
  <c r="T2793" i="1"/>
  <c r="AC2793" i="1"/>
  <c r="AK2793" i="1"/>
  <c r="P2794" i="1"/>
  <c r="R2794" i="1" s="1"/>
  <c r="S2794" i="1"/>
  <c r="T2794" i="1"/>
  <c r="AC2794" i="1"/>
  <c r="AK2794" i="1"/>
  <c r="P2795" i="1"/>
  <c r="R2795" i="1"/>
  <c r="S2795" i="1"/>
  <c r="T2795" i="1"/>
  <c r="AC2795" i="1"/>
  <c r="AK2795" i="1"/>
  <c r="P2796" i="1"/>
  <c r="R2796" i="1" s="1"/>
  <c r="S2796" i="1"/>
  <c r="T2796" i="1"/>
  <c r="AC2796" i="1"/>
  <c r="AK2796" i="1"/>
  <c r="P2797" i="1"/>
  <c r="R2797" i="1" s="1"/>
  <c r="S2797" i="1"/>
  <c r="T2797" i="1"/>
  <c r="AC2797" i="1"/>
  <c r="AK2797" i="1"/>
  <c r="P2798" i="1"/>
  <c r="R2798" i="1" s="1"/>
  <c r="S2798" i="1"/>
  <c r="T2798" i="1"/>
  <c r="AC2798" i="1"/>
  <c r="AK2798" i="1"/>
  <c r="P2799" i="1"/>
  <c r="R2799" i="1" s="1"/>
  <c r="S2799" i="1"/>
  <c r="T2799" i="1"/>
  <c r="AC2799" i="1"/>
  <c r="AK2799" i="1"/>
  <c r="P2800" i="1"/>
  <c r="R2800" i="1" s="1"/>
  <c r="S2800" i="1"/>
  <c r="T2800" i="1"/>
  <c r="AC2800" i="1"/>
  <c r="AK2800" i="1"/>
  <c r="P2801" i="1"/>
  <c r="R2801" i="1"/>
  <c r="S2801" i="1"/>
  <c r="T2801" i="1"/>
  <c r="AC2801" i="1"/>
  <c r="AK2801" i="1"/>
  <c r="P2802" i="1"/>
  <c r="R2802" i="1" s="1"/>
  <c r="S2802" i="1"/>
  <c r="T2802" i="1"/>
  <c r="AC2802" i="1"/>
  <c r="AK2802" i="1"/>
  <c r="P2803" i="1"/>
  <c r="R2803" i="1" s="1"/>
  <c r="S2803" i="1"/>
  <c r="T2803" i="1"/>
  <c r="AC2803" i="1"/>
  <c r="AK2803" i="1"/>
  <c r="P2804" i="1"/>
  <c r="R2804" i="1" s="1"/>
  <c r="S2804" i="1"/>
  <c r="T2804" i="1"/>
  <c r="AC2804" i="1"/>
  <c r="AK2804" i="1"/>
  <c r="P2805" i="1"/>
  <c r="R2805" i="1" s="1"/>
  <c r="S2805" i="1"/>
  <c r="T2805" i="1"/>
  <c r="AC2805" i="1"/>
  <c r="AK2805" i="1"/>
  <c r="P2806" i="1"/>
  <c r="R2806" i="1" s="1"/>
  <c r="S2806" i="1"/>
  <c r="T2806" i="1"/>
  <c r="AC2806" i="1"/>
  <c r="AK2806" i="1"/>
  <c r="P2807" i="1"/>
  <c r="R2807" i="1" s="1"/>
  <c r="S2807" i="1"/>
  <c r="T2807" i="1"/>
  <c r="AC2807" i="1"/>
  <c r="AK2807" i="1"/>
  <c r="P2808" i="1"/>
  <c r="R2808" i="1" s="1"/>
  <c r="S2808" i="1"/>
  <c r="T2808" i="1"/>
  <c r="AC2808" i="1"/>
  <c r="AK2808" i="1"/>
  <c r="P2809" i="1"/>
  <c r="R2809" i="1" s="1"/>
  <c r="S2809" i="1"/>
  <c r="T2809" i="1"/>
  <c r="AC2809" i="1"/>
  <c r="AK2809" i="1"/>
  <c r="P2810" i="1"/>
  <c r="R2810" i="1" s="1"/>
  <c r="S2810" i="1"/>
  <c r="T2810" i="1"/>
  <c r="AC2810" i="1"/>
  <c r="AK2810" i="1"/>
  <c r="P2811" i="1"/>
  <c r="R2811" i="1" s="1"/>
  <c r="S2811" i="1"/>
  <c r="T2811" i="1"/>
  <c r="AC2811" i="1"/>
  <c r="AK2811" i="1"/>
  <c r="P2812" i="1"/>
  <c r="R2812" i="1" s="1"/>
  <c r="S2812" i="1"/>
  <c r="T2812" i="1"/>
  <c r="AC2812" i="1"/>
  <c r="AK2812" i="1"/>
  <c r="P2813" i="1"/>
  <c r="R2813" i="1" s="1"/>
  <c r="S2813" i="1"/>
  <c r="T2813" i="1"/>
  <c r="AC2813" i="1"/>
  <c r="AK2813" i="1"/>
  <c r="P2814" i="1"/>
  <c r="R2814" i="1" s="1"/>
  <c r="S2814" i="1"/>
  <c r="T2814" i="1"/>
  <c r="AC2814" i="1"/>
  <c r="AK2814" i="1"/>
  <c r="P2815" i="1"/>
  <c r="R2815" i="1" s="1"/>
  <c r="S2815" i="1"/>
  <c r="T2815" i="1"/>
  <c r="AC2815" i="1"/>
  <c r="AK2815" i="1"/>
  <c r="P2816" i="1"/>
  <c r="R2816" i="1" s="1"/>
  <c r="S2816" i="1"/>
  <c r="T2816" i="1"/>
  <c r="AC2816" i="1"/>
  <c r="AK2816" i="1"/>
  <c r="P2817" i="1"/>
  <c r="R2817" i="1"/>
  <c r="S2817" i="1"/>
  <c r="T2817" i="1"/>
  <c r="AC2817" i="1"/>
  <c r="AK2817" i="1"/>
  <c r="P2818" i="1"/>
  <c r="R2818" i="1" s="1"/>
  <c r="S2818" i="1"/>
  <c r="T2818" i="1"/>
  <c r="AC2818" i="1"/>
  <c r="AK2818" i="1"/>
  <c r="P2819" i="1"/>
  <c r="R2819" i="1" s="1"/>
  <c r="S2819" i="1"/>
  <c r="T2819" i="1"/>
  <c r="AC2819" i="1"/>
  <c r="AK2819" i="1"/>
  <c r="P2820" i="1"/>
  <c r="R2820" i="1" s="1"/>
  <c r="S2820" i="1"/>
  <c r="T2820" i="1"/>
  <c r="AC2820" i="1"/>
  <c r="AK2820" i="1"/>
  <c r="P2821" i="1"/>
  <c r="R2821" i="1" s="1"/>
  <c r="S2821" i="1"/>
  <c r="T2821" i="1"/>
  <c r="AC2821" i="1"/>
  <c r="AK2821" i="1"/>
  <c r="P2823" i="1"/>
  <c r="R2823" i="1" s="1"/>
  <c r="S2823" i="1"/>
  <c r="T2823" i="1"/>
  <c r="AC2823" i="1"/>
  <c r="AK2823" i="1"/>
  <c r="P2824" i="1"/>
  <c r="R2824" i="1"/>
  <c r="S2824" i="1"/>
  <c r="T2824" i="1"/>
  <c r="AC2824" i="1"/>
  <c r="AK2824" i="1"/>
  <c r="P2825" i="1"/>
  <c r="R2825" i="1" s="1"/>
  <c r="S2825" i="1"/>
  <c r="T2825" i="1"/>
  <c r="AC2825" i="1"/>
  <c r="AK2825" i="1"/>
  <c r="P2826" i="1"/>
  <c r="R2826" i="1" s="1"/>
  <c r="S2826" i="1"/>
  <c r="T2826" i="1"/>
  <c r="AC2826" i="1"/>
  <c r="AK2826" i="1"/>
  <c r="P2827" i="1"/>
  <c r="R2827" i="1" s="1"/>
  <c r="S2827" i="1"/>
  <c r="T2827" i="1"/>
  <c r="AC2827" i="1"/>
  <c r="AK2827" i="1"/>
  <c r="P2828" i="1"/>
  <c r="R2828" i="1"/>
  <c r="S2828" i="1"/>
  <c r="T2828" i="1"/>
  <c r="AC2828" i="1"/>
  <c r="AK2828" i="1"/>
  <c r="P2829" i="1"/>
  <c r="R2829" i="1" s="1"/>
  <c r="S2829" i="1"/>
  <c r="T2829" i="1"/>
  <c r="AC2829" i="1"/>
  <c r="AK2829" i="1"/>
  <c r="P2830" i="1"/>
  <c r="R2830" i="1" s="1"/>
  <c r="S2830" i="1"/>
  <c r="T2830" i="1"/>
  <c r="AC2830" i="1"/>
  <c r="AK2830" i="1"/>
  <c r="P2831" i="1"/>
  <c r="R2831" i="1" s="1"/>
  <c r="S2831" i="1"/>
  <c r="T2831" i="1"/>
  <c r="AC2831" i="1"/>
  <c r="AK2831" i="1"/>
  <c r="P2832" i="1"/>
  <c r="R2832" i="1"/>
  <c r="S2832" i="1"/>
  <c r="T2832" i="1"/>
  <c r="AC2832" i="1"/>
  <c r="AK2832" i="1"/>
  <c r="P2833" i="1"/>
  <c r="R2833" i="1" s="1"/>
  <c r="S2833" i="1"/>
  <c r="T2833" i="1"/>
  <c r="AC2833" i="1"/>
  <c r="AK2833" i="1"/>
  <c r="P2834" i="1"/>
  <c r="R2834" i="1"/>
  <c r="S2834" i="1"/>
  <c r="T2834" i="1"/>
  <c r="AC2834" i="1"/>
  <c r="AK2834" i="1"/>
  <c r="P2835" i="1"/>
  <c r="R2835" i="1" s="1"/>
  <c r="S2835" i="1"/>
  <c r="T2835" i="1"/>
  <c r="AC2835" i="1"/>
  <c r="AK2835" i="1"/>
  <c r="P2836" i="1"/>
  <c r="R2836" i="1"/>
  <c r="S2836" i="1"/>
  <c r="T2836" i="1"/>
  <c r="AC2836" i="1"/>
  <c r="AK2836" i="1"/>
  <c r="P2837" i="1"/>
  <c r="R2837" i="1" s="1"/>
  <c r="S2837" i="1"/>
  <c r="T2837" i="1"/>
  <c r="AC2837" i="1"/>
  <c r="AK2837" i="1"/>
  <c r="P2838" i="1"/>
  <c r="R2838" i="1" s="1"/>
  <c r="S2838" i="1"/>
  <c r="T2838" i="1"/>
  <c r="AC2838" i="1"/>
  <c r="AK2838" i="1"/>
  <c r="P2839" i="1"/>
  <c r="R2839" i="1" s="1"/>
  <c r="S2839" i="1"/>
  <c r="T2839" i="1"/>
  <c r="AC2839" i="1"/>
  <c r="AK2839" i="1"/>
  <c r="P2840" i="1"/>
  <c r="R2840" i="1" s="1"/>
  <c r="S2840" i="1"/>
  <c r="T2840" i="1"/>
  <c r="AC2840" i="1"/>
  <c r="AK2840" i="1"/>
  <c r="P2841" i="1"/>
  <c r="R2841" i="1" s="1"/>
  <c r="S2841" i="1"/>
  <c r="T2841" i="1"/>
  <c r="AC2841" i="1"/>
  <c r="AK2841" i="1"/>
  <c r="P2842" i="1"/>
  <c r="R2842" i="1" s="1"/>
  <c r="S2842" i="1"/>
  <c r="T2842" i="1"/>
  <c r="AC2842" i="1"/>
  <c r="AK2842" i="1"/>
  <c r="P2843" i="1"/>
  <c r="R2843" i="1" s="1"/>
  <c r="S2843" i="1"/>
  <c r="T2843" i="1"/>
  <c r="AC2843" i="1"/>
  <c r="AK2843" i="1"/>
  <c r="P2844" i="1"/>
  <c r="R2844" i="1"/>
  <c r="S2844" i="1"/>
  <c r="T2844" i="1"/>
  <c r="AC2844" i="1"/>
  <c r="AK2844" i="1"/>
  <c r="P2845" i="1"/>
  <c r="R2845" i="1" s="1"/>
  <c r="S2845" i="1"/>
  <c r="T2845" i="1"/>
  <c r="AC2845" i="1"/>
  <c r="AK2845" i="1"/>
  <c r="P2846" i="1"/>
  <c r="R2846" i="1"/>
  <c r="S2846" i="1"/>
  <c r="T2846" i="1"/>
  <c r="AC2846" i="1"/>
  <c r="AK2846" i="1"/>
  <c r="P2847" i="1"/>
  <c r="R2847" i="1" s="1"/>
  <c r="S2847" i="1"/>
  <c r="T2847" i="1"/>
  <c r="AC2847" i="1"/>
  <c r="AK2847" i="1"/>
  <c r="P2848" i="1"/>
  <c r="R2848" i="1" s="1"/>
  <c r="S2848" i="1"/>
  <c r="T2848" i="1"/>
  <c r="AC2848" i="1"/>
  <c r="AK2848" i="1"/>
  <c r="P2849" i="1"/>
  <c r="R2849" i="1" s="1"/>
  <c r="S2849" i="1"/>
  <c r="T2849" i="1"/>
  <c r="AC2849" i="1"/>
  <c r="AK2849" i="1"/>
  <c r="P2850" i="1"/>
  <c r="R2850" i="1"/>
  <c r="S2850" i="1"/>
  <c r="T2850" i="1"/>
  <c r="AC2850" i="1"/>
  <c r="AK2850" i="1"/>
  <c r="P2851" i="1"/>
  <c r="R2851" i="1" s="1"/>
  <c r="S2851" i="1"/>
  <c r="T2851" i="1"/>
  <c r="AC2851" i="1"/>
  <c r="AK2851" i="1"/>
  <c r="P2852" i="1"/>
  <c r="R2852" i="1" s="1"/>
  <c r="S2852" i="1"/>
  <c r="T2852" i="1"/>
  <c r="AC2852" i="1"/>
  <c r="AK2852" i="1"/>
  <c r="P2853" i="1"/>
  <c r="R2853" i="1" s="1"/>
  <c r="S2853" i="1"/>
  <c r="T2853" i="1"/>
  <c r="AC2853" i="1"/>
  <c r="AK2853" i="1"/>
  <c r="P2854" i="1"/>
  <c r="R2854" i="1"/>
  <c r="S2854" i="1"/>
  <c r="T2854" i="1"/>
  <c r="AC2854" i="1"/>
  <c r="AK2854" i="1"/>
  <c r="P2855" i="1"/>
  <c r="R2855" i="1" s="1"/>
  <c r="S2855" i="1"/>
  <c r="T2855" i="1"/>
  <c r="AC2855" i="1"/>
  <c r="AK2855" i="1"/>
  <c r="P2856" i="1"/>
  <c r="R2856" i="1" s="1"/>
  <c r="S2856" i="1"/>
  <c r="T2856" i="1"/>
  <c r="AC2856" i="1"/>
  <c r="AK2856" i="1"/>
  <c r="P2857" i="1"/>
  <c r="R2857" i="1" s="1"/>
  <c r="S2857" i="1"/>
  <c r="T2857" i="1"/>
  <c r="AC2857" i="1"/>
  <c r="AK2857" i="1"/>
  <c r="P2858" i="1"/>
  <c r="R2858" i="1"/>
  <c r="S2858" i="1"/>
  <c r="T2858" i="1"/>
  <c r="AC2858" i="1"/>
  <c r="AK2858" i="1"/>
  <c r="P2859" i="1"/>
  <c r="R2859" i="1" s="1"/>
  <c r="S2859" i="1"/>
  <c r="T2859" i="1"/>
  <c r="AC2859" i="1"/>
  <c r="AK2859" i="1"/>
  <c r="P2860" i="1"/>
  <c r="R2860" i="1" s="1"/>
  <c r="S2860" i="1"/>
  <c r="T2860" i="1"/>
  <c r="AC2860" i="1"/>
  <c r="AK2860" i="1"/>
  <c r="P2861" i="1"/>
  <c r="R2861" i="1" s="1"/>
  <c r="S2861" i="1"/>
  <c r="T2861" i="1"/>
  <c r="AC2861" i="1"/>
  <c r="AK2861" i="1"/>
  <c r="P2862" i="1"/>
  <c r="R2862" i="1" s="1"/>
  <c r="S2862" i="1"/>
  <c r="T2862" i="1"/>
  <c r="AC2862" i="1"/>
  <c r="AK2862" i="1"/>
  <c r="P2863" i="1"/>
  <c r="R2863" i="1"/>
  <c r="S2863" i="1"/>
  <c r="T2863" i="1"/>
  <c r="AC2863" i="1"/>
  <c r="AK2863" i="1"/>
  <c r="P2864" i="1"/>
  <c r="R2864" i="1" s="1"/>
  <c r="S2864" i="1"/>
  <c r="T2864" i="1"/>
  <c r="AC2864" i="1"/>
  <c r="AK2864" i="1"/>
  <c r="P2865" i="1"/>
  <c r="R2865" i="1"/>
  <c r="S2865" i="1"/>
  <c r="T2865" i="1"/>
  <c r="AC2865" i="1"/>
  <c r="AK2865" i="1"/>
  <c r="P2866" i="1"/>
  <c r="R2866" i="1" s="1"/>
  <c r="S2866" i="1"/>
  <c r="T2866" i="1"/>
  <c r="AC2866" i="1"/>
  <c r="AK2866" i="1"/>
  <c r="P2867" i="1"/>
  <c r="R2867" i="1"/>
  <c r="S2867" i="1"/>
  <c r="T2867" i="1"/>
  <c r="AC2867" i="1"/>
  <c r="AK2867" i="1"/>
  <c r="P2868" i="1"/>
  <c r="R2868" i="1" s="1"/>
  <c r="S2868" i="1"/>
  <c r="T2868" i="1"/>
  <c r="AC2868" i="1"/>
  <c r="AK2868" i="1"/>
  <c r="P2869" i="1"/>
  <c r="R2869" i="1" s="1"/>
  <c r="S2869" i="1"/>
  <c r="T2869" i="1"/>
  <c r="AC2869" i="1"/>
  <c r="AK2869" i="1"/>
  <c r="P2870" i="1"/>
  <c r="R2870" i="1" s="1"/>
  <c r="S2870" i="1"/>
  <c r="T2870" i="1"/>
  <c r="AC2870" i="1"/>
  <c r="AK2870" i="1"/>
  <c r="P2871" i="1"/>
  <c r="R2871" i="1" s="1"/>
  <c r="S2871" i="1"/>
  <c r="T2871" i="1"/>
  <c r="AC2871" i="1"/>
  <c r="AK2871" i="1"/>
  <c r="P2872" i="1"/>
  <c r="R2872" i="1" s="1"/>
  <c r="S2872" i="1"/>
  <c r="T2872" i="1"/>
  <c r="AC2872" i="1"/>
  <c r="AK2872" i="1"/>
  <c r="P2873" i="1"/>
  <c r="R2873" i="1" s="1"/>
  <c r="S2873" i="1"/>
  <c r="T2873" i="1"/>
  <c r="AC2873" i="1"/>
  <c r="AK2873" i="1"/>
  <c r="P2874" i="1"/>
  <c r="R2874" i="1" s="1"/>
  <c r="S2874" i="1"/>
  <c r="T2874" i="1"/>
  <c r="AC2874" i="1"/>
  <c r="AK2874" i="1"/>
  <c r="P2875" i="1"/>
  <c r="R2875" i="1" s="1"/>
  <c r="S2875" i="1"/>
  <c r="T2875" i="1"/>
  <c r="AC2875" i="1"/>
  <c r="AK2875" i="1"/>
  <c r="P2876" i="1"/>
  <c r="R2876" i="1" s="1"/>
  <c r="S2876" i="1"/>
  <c r="T2876" i="1"/>
  <c r="AC2876" i="1"/>
  <c r="AK2876" i="1"/>
  <c r="P2877" i="1"/>
  <c r="R2877" i="1" s="1"/>
  <c r="S2877" i="1"/>
  <c r="T2877" i="1"/>
  <c r="AC2877" i="1"/>
  <c r="AK2877" i="1"/>
  <c r="P2878" i="1"/>
  <c r="R2878" i="1" s="1"/>
  <c r="S2878" i="1"/>
  <c r="T2878" i="1"/>
  <c r="AC2878" i="1"/>
  <c r="AK2878" i="1"/>
  <c r="P2879" i="1"/>
  <c r="R2879" i="1" s="1"/>
  <c r="S2879" i="1"/>
  <c r="T2879" i="1"/>
  <c r="AC2879" i="1"/>
  <c r="AK2879" i="1"/>
  <c r="P2880" i="1"/>
  <c r="R2880" i="1"/>
  <c r="S2880" i="1"/>
  <c r="T2880" i="1"/>
  <c r="AC2880" i="1"/>
  <c r="AK2880" i="1"/>
  <c r="P2881" i="1"/>
  <c r="R2881" i="1" s="1"/>
  <c r="S2881" i="1"/>
  <c r="T2881" i="1"/>
  <c r="AC2881" i="1"/>
  <c r="AK2881" i="1"/>
  <c r="P2882" i="1"/>
  <c r="R2882" i="1" s="1"/>
  <c r="S2882" i="1"/>
  <c r="T2882" i="1"/>
  <c r="AC2882" i="1"/>
  <c r="AK2882" i="1"/>
  <c r="P2883" i="1"/>
  <c r="R2883" i="1" s="1"/>
  <c r="S2883" i="1"/>
  <c r="T2883" i="1"/>
  <c r="AC2883" i="1"/>
  <c r="AK2883" i="1"/>
  <c r="P2884" i="1"/>
  <c r="R2884" i="1"/>
  <c r="S2884" i="1"/>
  <c r="T2884" i="1"/>
  <c r="AC2884" i="1"/>
  <c r="AK2884" i="1"/>
  <c r="P2885" i="1"/>
  <c r="R2885" i="1"/>
  <c r="S2885" i="1"/>
  <c r="T2885" i="1"/>
  <c r="AC2885" i="1"/>
  <c r="AK2885" i="1"/>
  <c r="P2886" i="1"/>
  <c r="R2886" i="1" s="1"/>
  <c r="S2886" i="1"/>
  <c r="T2886" i="1"/>
  <c r="AC2886" i="1"/>
  <c r="AK2886" i="1"/>
  <c r="P2887" i="1"/>
  <c r="R2887" i="1"/>
  <c r="S2887" i="1"/>
  <c r="T2887" i="1"/>
  <c r="AC2887" i="1"/>
  <c r="AK2887" i="1"/>
  <c r="P2889" i="1"/>
  <c r="R2889" i="1" s="1"/>
  <c r="S2889" i="1"/>
  <c r="T2889" i="1"/>
  <c r="AC2889" i="1"/>
  <c r="AK2889" i="1"/>
  <c r="P2890" i="1"/>
  <c r="R2890" i="1"/>
  <c r="S2890" i="1"/>
  <c r="T2890" i="1"/>
  <c r="AC2890" i="1"/>
  <c r="AK2890" i="1"/>
  <c r="P2891" i="1"/>
  <c r="R2891" i="1" s="1"/>
  <c r="S2891" i="1"/>
  <c r="T2891" i="1"/>
  <c r="AC2891" i="1"/>
  <c r="AK2891" i="1"/>
  <c r="P2892" i="1"/>
  <c r="R2892" i="1"/>
  <c r="S2892" i="1"/>
  <c r="T2892" i="1"/>
  <c r="AC2892" i="1"/>
  <c r="AK2892" i="1"/>
  <c r="P2894" i="1"/>
  <c r="R2894" i="1" s="1"/>
  <c r="S2894" i="1"/>
  <c r="T2894" i="1"/>
  <c r="AC2894" i="1"/>
  <c r="AK2894" i="1"/>
  <c r="P2895" i="1"/>
  <c r="R2895" i="1" s="1"/>
  <c r="S2895" i="1"/>
  <c r="T2895" i="1"/>
  <c r="AC2895" i="1"/>
  <c r="AK2895" i="1"/>
  <c r="P2896" i="1"/>
  <c r="R2896" i="1" s="1"/>
  <c r="S2896" i="1"/>
  <c r="T2896" i="1"/>
  <c r="AC2896" i="1"/>
  <c r="AK2896" i="1"/>
  <c r="P2897" i="1"/>
  <c r="R2897" i="1" s="1"/>
  <c r="S2897" i="1"/>
  <c r="T2897" i="1"/>
  <c r="AC2897" i="1"/>
  <c r="AK2897" i="1"/>
  <c r="P2899" i="1"/>
  <c r="R2899" i="1" s="1"/>
  <c r="S2899" i="1"/>
  <c r="T2899" i="1"/>
  <c r="AC2899" i="1"/>
  <c r="AK2899" i="1"/>
  <c r="P2900" i="1"/>
  <c r="R2900" i="1"/>
  <c r="S2900" i="1"/>
  <c r="T2900" i="1"/>
  <c r="AC2900" i="1"/>
  <c r="AK2900" i="1"/>
  <c r="P2901" i="1"/>
  <c r="R2901" i="1" s="1"/>
  <c r="S2901" i="1"/>
  <c r="T2901" i="1"/>
  <c r="AC2901" i="1"/>
  <c r="AK2901" i="1"/>
  <c r="P2902" i="1"/>
  <c r="R2902" i="1" s="1"/>
  <c r="S2902" i="1"/>
  <c r="T2902" i="1"/>
  <c r="AC2902" i="1"/>
  <c r="AK2902" i="1"/>
  <c r="P2904" i="1"/>
  <c r="R2904" i="1"/>
  <c r="S2904" i="1"/>
  <c r="T2904" i="1"/>
  <c r="AC2904" i="1"/>
  <c r="AK2904" i="1"/>
  <c r="P2905" i="1"/>
  <c r="R2905" i="1" s="1"/>
  <c r="S2905" i="1"/>
  <c r="T2905" i="1"/>
  <c r="AC2905" i="1"/>
  <c r="AK2905" i="1"/>
  <c r="P2906" i="1"/>
  <c r="R2906" i="1" s="1"/>
  <c r="S2906" i="1"/>
  <c r="T2906" i="1"/>
  <c r="AC2906" i="1"/>
  <c r="AK2906" i="1"/>
  <c r="P2907" i="1"/>
  <c r="R2907" i="1" s="1"/>
  <c r="S2907" i="1"/>
  <c r="T2907" i="1"/>
  <c r="AC2907" i="1"/>
  <c r="AK2907" i="1"/>
  <c r="P2908" i="1"/>
  <c r="R2908" i="1"/>
  <c r="S2908" i="1"/>
  <c r="T2908" i="1"/>
  <c r="AC2908" i="1"/>
  <c r="AK2908" i="1"/>
  <c r="P2909" i="1"/>
  <c r="R2909" i="1"/>
  <c r="S2909" i="1"/>
  <c r="T2909" i="1"/>
  <c r="AC2909" i="1"/>
  <c r="AK2909" i="1"/>
  <c r="P2910" i="1"/>
  <c r="R2910" i="1" s="1"/>
  <c r="S2910" i="1"/>
  <c r="T2910" i="1"/>
  <c r="AC2910" i="1"/>
  <c r="AK2910" i="1"/>
  <c r="P2911" i="1"/>
  <c r="R2911" i="1"/>
  <c r="S2911" i="1"/>
  <c r="T2911" i="1"/>
  <c r="AC2911" i="1"/>
  <c r="AK2911" i="1"/>
  <c r="P2912" i="1"/>
  <c r="R2912" i="1" s="1"/>
  <c r="S2912" i="1"/>
  <c r="T2912" i="1"/>
  <c r="AC2912" i="1"/>
  <c r="AK2912" i="1"/>
  <c r="P2913" i="1"/>
  <c r="R2913" i="1"/>
  <c r="S2913" i="1"/>
  <c r="T2913" i="1"/>
  <c r="AC2913" i="1"/>
  <c r="AK2913" i="1"/>
  <c r="P2914" i="1"/>
  <c r="R2914" i="1" s="1"/>
  <c r="S2914" i="1"/>
  <c r="T2914" i="1"/>
  <c r="AC2914" i="1"/>
  <c r="AK2914" i="1"/>
  <c r="P2915" i="1"/>
  <c r="R2915" i="1" s="1"/>
  <c r="S2915" i="1"/>
  <c r="T2915" i="1"/>
  <c r="AC2915" i="1"/>
  <c r="AK2915" i="1"/>
  <c r="P2917" i="1"/>
  <c r="R2917" i="1" s="1"/>
  <c r="S2917" i="1"/>
  <c r="T2917" i="1"/>
  <c r="AC2917" i="1"/>
  <c r="AK2917" i="1"/>
  <c r="P2918" i="1"/>
  <c r="R2918" i="1"/>
  <c r="S2918" i="1"/>
  <c r="T2918" i="1"/>
  <c r="AC2918" i="1"/>
  <c r="AK2918" i="1"/>
  <c r="P2919" i="1"/>
  <c r="R2919" i="1" s="1"/>
  <c r="S2919" i="1"/>
  <c r="T2919" i="1"/>
  <c r="AC2919" i="1"/>
  <c r="AK2919" i="1"/>
  <c r="P2920" i="1"/>
  <c r="R2920" i="1" s="1"/>
  <c r="S2920" i="1"/>
  <c r="T2920" i="1"/>
  <c r="AC2920" i="1"/>
  <c r="AK2920" i="1"/>
  <c r="P2922" i="1"/>
  <c r="R2922" i="1"/>
  <c r="S2922" i="1"/>
  <c r="T2922" i="1"/>
  <c r="AC2922" i="1"/>
  <c r="AK2922" i="1"/>
  <c r="P2923" i="1"/>
  <c r="R2923" i="1" s="1"/>
  <c r="S2923" i="1"/>
  <c r="T2923" i="1"/>
  <c r="AC2923" i="1"/>
  <c r="AK2923" i="1"/>
  <c r="P2924" i="1"/>
  <c r="R2924" i="1" s="1"/>
  <c r="S2924" i="1"/>
  <c r="T2924" i="1"/>
  <c r="AC2924" i="1"/>
  <c r="AK2924" i="1"/>
  <c r="P2925" i="1"/>
  <c r="R2925" i="1" s="1"/>
  <c r="S2925" i="1"/>
  <c r="T2925" i="1"/>
  <c r="AC2925" i="1"/>
  <c r="AK2925" i="1"/>
  <c r="P2927" i="1"/>
  <c r="R2927" i="1" s="1"/>
  <c r="S2927" i="1"/>
  <c r="T2927" i="1"/>
  <c r="AC2927" i="1"/>
  <c r="AK2927" i="1"/>
  <c r="P2928" i="1"/>
  <c r="R2928" i="1"/>
  <c r="S2928" i="1"/>
  <c r="T2928" i="1"/>
  <c r="AC2928" i="1"/>
  <c r="AK2928" i="1"/>
  <c r="P2929" i="1"/>
  <c r="R2929" i="1" s="1"/>
  <c r="S2929" i="1"/>
  <c r="T2929" i="1"/>
  <c r="AC2929" i="1"/>
  <c r="AK2929" i="1"/>
  <c r="P2930" i="1"/>
  <c r="R2930" i="1" s="1"/>
  <c r="S2930" i="1"/>
  <c r="T2930" i="1"/>
  <c r="AC2930" i="1"/>
  <c r="AK2930" i="1"/>
  <c r="P2932" i="1"/>
  <c r="R2932" i="1" s="1"/>
  <c r="S2932" i="1"/>
  <c r="T2932" i="1"/>
  <c r="AC2932" i="1"/>
  <c r="AK2932" i="1"/>
  <c r="P2933" i="1"/>
  <c r="R2933" i="1" s="1"/>
  <c r="S2933" i="1"/>
  <c r="T2933" i="1"/>
  <c r="AC2933" i="1"/>
  <c r="AK2933" i="1"/>
  <c r="P2935" i="1"/>
  <c r="R2935" i="1" s="1"/>
  <c r="S2935" i="1"/>
  <c r="T2935" i="1"/>
  <c r="AC2935" i="1"/>
  <c r="AK2935" i="1"/>
  <c r="P2937" i="1"/>
  <c r="R2937" i="1" s="1"/>
  <c r="S2937" i="1"/>
  <c r="T2937" i="1"/>
  <c r="AC2937" i="1"/>
  <c r="AK2937" i="1"/>
  <c r="P2938" i="1"/>
  <c r="R2938" i="1" s="1"/>
  <c r="S2938" i="1"/>
  <c r="T2938" i="1"/>
  <c r="AC2938" i="1"/>
  <c r="AK2938" i="1"/>
  <c r="P2941" i="1"/>
  <c r="R2941" i="1" s="1"/>
  <c r="S2941" i="1"/>
  <c r="T2941" i="1"/>
  <c r="P2943" i="1"/>
  <c r="R2943" i="1" s="1"/>
  <c r="S2943" i="1"/>
  <c r="T2943" i="1"/>
  <c r="AC2943" i="1"/>
  <c r="AK2943" i="1"/>
  <c r="P2945" i="1"/>
  <c r="R2945" i="1" s="1"/>
  <c r="S2945" i="1"/>
  <c r="T2945" i="1"/>
</calcChain>
</file>

<file path=xl/sharedStrings.xml><?xml version="1.0" encoding="utf-8"?>
<sst xmlns="http://schemas.openxmlformats.org/spreadsheetml/2006/main" count="30396" uniqueCount="13346">
  <si>
    <t xml:space="preserve">Прайс-лист </t>
  </si>
  <si>
    <t>06.10.2026</t>
  </si>
  <si>
    <t>ООО "Издательский Дом "Проф-Пресс"</t>
  </si>
  <si>
    <t>Скидка клиента:</t>
  </si>
  <si>
    <t>Номер</t>
  </si>
  <si>
    <t>Код</t>
  </si>
  <si>
    <t>Наименование</t>
  </si>
  <si>
    <t>ISBN</t>
  </si>
  <si>
    <t>Маркировка</t>
  </si>
  <si>
    <t>Текстовое описание</t>
  </si>
  <si>
    <t>Стандарт Паллеты</t>
  </si>
  <si>
    <t>Стандарт коробки</t>
  </si>
  <si>
    <t>Стандарт спайки</t>
  </si>
  <si>
    <t>Кол-во на складах</t>
  </si>
  <si>
    <t>Старая цена</t>
  </si>
  <si>
    <t>Минимальный Заказ</t>
  </si>
  <si>
    <t>Цена</t>
  </si>
  <si>
    <t>ЗАКАЗ</t>
  </si>
  <si>
    <t>Сумма заказа</t>
  </si>
  <si>
    <t>Масса</t>
  </si>
  <si>
    <t>Объем</t>
  </si>
  <si>
    <t>Новинка</t>
  </si>
  <si>
    <t>Штрихкод</t>
  </si>
  <si>
    <t>Ставка НДС</t>
  </si>
  <si>
    <t>Авторы</t>
  </si>
  <si>
    <t>Видео Rutube</t>
  </si>
  <si>
    <t>Возрастные ограничения</t>
  </si>
  <si>
    <t>Дата тиража</t>
  </si>
  <si>
    <t>Жанр</t>
  </si>
  <si>
    <t>Картинка на сайте</t>
  </si>
  <si>
    <t>Количество страниц</t>
  </si>
  <si>
    <t>Отделка</t>
  </si>
  <si>
    <t>Переплет</t>
  </si>
  <si>
    <t>Плотность блока</t>
  </si>
  <si>
    <t>Подлежит маркировке Честный знак</t>
  </si>
  <si>
    <t>Пол</t>
  </si>
  <si>
    <t>Серия (доп. реквизит)</t>
  </si>
  <si>
    <t>Ссылка на сайт</t>
  </si>
  <si>
    <t>Формат (строкой)</t>
  </si>
  <si>
    <t>07. Издательский Дом Проф-Пресс</t>
  </si>
  <si>
    <t xml:space="preserve"> CЕРИЯ: ТРЕНДХАУС</t>
  </si>
  <si>
    <t>КОМИКСЫ</t>
  </si>
  <si>
    <t>СЕРИЯ: ТРЕНДХАУС. КАПИБАРА И ГУСЬ, глянц.ламин, КБС, 165х240</t>
  </si>
  <si>
    <t>236313</t>
  </si>
  <si>
    <t>КНИЖКА-КОМИКС. ТРЕНДХАУС. Капибара и Гусь. Том 1. Первая встреча. 165х240</t>
  </si>
  <si>
    <t>978-5-378-35055-1</t>
  </si>
  <si>
    <t>Том 1. Представляем проект «Трендхаус» и его супергероев. Капибара и Гусь! Взрослым и детям! Отныне и навсегда! Невероятные похождения крутой парочки и их друзей! Как стать звездой? Рассказываем!</t>
  </si>
  <si>
    <t>&gt;400</t>
  </si>
  <si>
    <t>9785378350551</t>
  </si>
  <si>
    <t>10%</t>
  </si>
  <si>
    <t>Русинова Евгения Александровна</t>
  </si>
  <si>
    <t>2b6d8de966ce0828a0c0d662072b43cc</t>
  </si>
  <si>
    <t>0+</t>
  </si>
  <si>
    <t>09.08.2024 0:00:00</t>
  </si>
  <si>
    <t>глянцевая ламинация</t>
  </si>
  <si>
    <t>КБС (клеевое бесшовное скрепление)</t>
  </si>
  <si>
    <t>Не подлежит маркировке ЧЗ</t>
  </si>
  <si>
    <t>165х240х5</t>
  </si>
  <si>
    <t>282667</t>
  </si>
  <si>
    <t>КНИЖКА-КОМИКС. ТРЕНДХАУС. Капибара и Гусь. Том 10. Десять супергеройских подвигов. 165х240</t>
  </si>
  <si>
    <t>978-5-378-36264-6</t>
  </si>
  <si>
    <t>Юбилейный выпуск серии комиксов "Капибара и Гусь" - непредсказуемый, оригинальный и супернасыщенный. Просто представьте любимых героев в других измерениях и удивительных ситуациях. Поверьте, это будет незабываемое путешествие! Авторы написали целых десять историй, а художники проиллюстрировали их в разных стилях. Ну что, готовы? Приключения начинаются!</t>
  </si>
  <si>
    <t>НОВИНКА</t>
  </si>
  <si>
    <t>9785378362646</t>
  </si>
  <si>
    <t>Голенко Маргарита Сергеевна,Брагинец Наталья Владимировна,Русинова Евгения Александровна</t>
  </si>
  <si>
    <t>мат лам + выб лак + тиснение</t>
  </si>
  <si>
    <t>165х240х10</t>
  </si>
  <si>
    <t>242330</t>
  </si>
  <si>
    <t>КНИЖКА-КОМИКС. ТРЕНДХАУС. Капибара и Гусь. Том 2. Путешествие из Петербурга в Москву. 165х240</t>
  </si>
  <si>
    <t>978-5-378-35284-5</t>
  </si>
  <si>
    <t>Том 2. Неудержимое желание стать суперстарами толкает Капибару и Гуся отправиться в дорогу, полную опасностей и приключений. Но жажда славы не даёт покоя не только этой парочке, но и знакомой по прошлой части комикса Чихуашке, которую так легко вывести из душевного равновесия. Вместе они преодолевают нелёгкий путь в Москву, чтобы в скором времени среди прочих столичных огней зажглись три новые звёздочки...</t>
  </si>
  <si>
    <t>9785378352845</t>
  </si>
  <si>
    <t>Голенко Маргарита Сергеевна</t>
  </si>
  <si>
    <t>a9315805665a84b62ac3bb7d45035933</t>
  </si>
  <si>
    <t>246423</t>
  </si>
  <si>
    <t>КНИЖКА-КОМИКС. ТРЕНДХАУС. Капибара и Гусь. Том 3. Новые звёзды в столице. 165х240</t>
  </si>
  <si>
    <t>978-5-378-35425-2</t>
  </si>
  <si>
    <t>По болотам на хоббихорсах, сквозь заросли камыша, минуя уговоры сказкотерапевта и дождь из лягушек, Капи, Гусь и Чихуашка наконец добираются до Москвы. Но оказывается, этого недостаточно, чтобы считаться суперстарами первой величины. Нужен крутой контент, который непременно выстрелит на телевидении и просторах интернета. У героев такой есть, но... он попадает в лапы лжепродюсера. А Чихуашка – в руки вредной девчонки, которой очень нужен домашний питомец. Как добиться справедливости и доказать, кто на самом деле крутой блогер, а главное – вернуть друга? Читайте в третьей части нашего суперкомикса.</t>
  </si>
  <si>
    <t>&gt;120</t>
  </si>
  <si>
    <t>9785378354252</t>
  </si>
  <si>
    <t>4cb05cb0016c2c8bceaf64e19a7bfb5d</t>
  </si>
  <si>
    <t>27.11.2024 0:00:00</t>
  </si>
  <si>
    <t>248949</t>
  </si>
  <si>
    <t>КНИЖКА-КОМИКС. ТРЕНДХАУС. Капибара и Гусь. Том 4. Приключения в Сочи. 165х240</t>
  </si>
  <si>
    <t>978-5-378-35482-5</t>
  </si>
  <si>
    <t>Преодолев сотни километров и столько же невероятных препятствий на пути к славе, Капи, Гусь и Чихуашка наконец могут позволить себе отдохнуть как настоящие звезды – в самом дорогом курортном городе России. Лучший сервис, изысканная еда и напитки, красивые люди... и чайки – все, что положено суперстарам по статусу! Главное – от счастья не потерять голову и последние деньги, иначе крутой отпуск закончится унылой дорогой домой на верхней боковушке в плацкартном вагоне. Все приключения знаменитых друзей в Сочи собраны в четвертой части нашего культового комикса!</t>
  </si>
  <si>
    <t>9785378354825</t>
  </si>
  <si>
    <t>ce6937667193e806ccde6bd70ab03e35</t>
  </si>
  <si>
    <t>251777</t>
  </si>
  <si>
    <t>КНИЖКА-КОМИКС. ТРЕНДХАУС. Капибара и Гусь. Том 5. История одного Гусика 165х240</t>
  </si>
  <si>
    <t>978-5-378-35544-0</t>
  </si>
  <si>
    <t>Жизнь Гусика всегда была полна неожиданных событий и крутых поворотов. До того как стать суперстаром, он служил в цирке воздушным гимнастом, силачом и акробатом. Работал «пекинской уткой» в азиатском ресторане и курьером в службе доставки. А потом совсем случайно попал в зоопарк Санкт-Петербурга и подумал, что наконец обрел покой и комфорт. Не тут-то было... Герой еле пережил соседство с суеверным верблюдом, слоном с нервным расстройством и назойливыми курами! Но за все свои страдания был сполна вознагражден судьбоносной встречей с Капи...</t>
  </si>
  <si>
    <t>9785378355440</t>
  </si>
  <si>
    <t>925c88b608d83f14f46bf9200fde170f</t>
  </si>
  <si>
    <t>254771</t>
  </si>
  <si>
    <t>КНИЖКА-КОМИКС. ТРЕНДХАУС. Капибара и Гусь. Том 6. Богатые Чихуашки тоже плачут 165х240</t>
  </si>
  <si>
    <t>978-5-378-35600-3</t>
  </si>
  <si>
    <t>За свой недолгий век Чихуашка сполна познала жизнь во всех ее красках. В раннем детстве она терпела тычки и унижения от братьев и сестер, но судьба смилостивилась и вознаградила бедняжку за все страдания. Заботливая хозяйка, благополучие и достаток, блеск и роскошь светского общества – что еще нужно, чтобы быть самой счастливой? И вот однажды привычный мир рухнул, оставив Чиху одну в огромном особняке среди страшных теней и зловещего воя сквозняка. И только теперь понятно, что все испытания вели ее к главному –  встрече с лучшими друзьями на свете Капи и Гусиком, вместе с которыми они покорят все звездные вершины.</t>
  </si>
  <si>
    <t>9785378356003</t>
  </si>
  <si>
    <t>8101a4e86d86aea9a3ef0524841625f5</t>
  </si>
  <si>
    <t>260205</t>
  </si>
  <si>
    <t>КНИЖКА-КОМИКС. ТРЕНДХАУС. Капибара и Гусь. Том 7. Капибарам на Руси жить хорошо. 165х240</t>
  </si>
  <si>
    <t>978-5-378-35725-3</t>
  </si>
  <si>
    <t>Капи жил в Аргентине у эмигрантов Ивановых с самого детства, поэтому справедливо считал себя истинным русским: обожал борщ, сопереживал героям фильма «Любовь и голуби», бодро танцевал вприсядку. Однажды герой решил исполнить мечту приютившей его семьи (да что там - и свою тоже) и отправился в Россию. Его путь был полным невероятных приключений и испытаний... и вот он в Санкт-Петербурге, с новым другом Гусиком! Вместе они обязательно покорят все звёздные вершины.</t>
  </si>
  <si>
    <t>9785378357253</t>
  </si>
  <si>
    <t>2ab8ae1b9d3aa80ad99698cf8671e234</t>
  </si>
  <si>
    <t>264365</t>
  </si>
  <si>
    <t>КНИЖКА-КОМИКС. ТРЕНДХАУС. Капибара и Гусь. Том 8. Из князей в грязи. 165х240</t>
  </si>
  <si>
    <t>978-5-378-35833-5</t>
  </si>
  <si>
    <t>После головокружительного отпуска в Сочи легендарная троица вынуждена возвращаться в Москву в плацкартном вагоне, причём на нелегальном положении. Так как денег хватило только на один билет, пришлось прибегнуть к хитрости: Капи и Гусь замаскировались под одного пассажира, а Чихуашка выдала себя за другую собаку, пожелавшую отделаться от своей назойливой хозяйки и остаться на курорте. Но по дороге обман вскрылся и проводница выкинула их прямо на произвол судьбы, а точнее туда, где о прелестях и лоске столичной жизни могли только слышать по телевизору. В провинцию! Героям предстоит не просто выжить в непривычных для них условиях, но и как-то заработать на проезд домой. Однако с каждым днём сельский быт затягивал, а люди (и не только) становились всё роднее. А стоит ли рваться в шумный мегаполис, когда они и в деревне звёзды первой величины?</t>
  </si>
  <si>
    <t>9785378358335</t>
  </si>
  <si>
    <t>abc79f42f264f7d77aee3a7b22607c33</t>
  </si>
  <si>
    <t>273311</t>
  </si>
  <si>
    <t>КНИЖКА-КОМИКС. ТРЕНДХАУС. Капибара и Гусь. Том 9. СуперДетективы идут по следу. 165х240</t>
  </si>
  <si>
    <t>978-5-378-36047-5</t>
  </si>
  <si>
    <t>После незапланированного, но такого душевного и полезного отдыха в деревне легендарная троица вернулась домой. Казалось бы, все приключения остались далеко позади. Однако герои случайно находят в чемодане секретное письмо. Таинственный суперагент поручает им найти похищенный ценный экспонат — инновационную игрушку, которую должны представить на международной выставке.</t>
  </si>
  <si>
    <t>9785378360475</t>
  </si>
  <si>
    <t>Брагинец Наталья Владимировна</t>
  </si>
  <si>
    <t>d53dccad05bd02573414defab8b92c0f</t>
  </si>
  <si>
    <t>СЕРИЯ: ТРЕНДХАУС. КАПИБАРА И ГУСЬ. КОЛЛЕКЦИОННОЕ ИЗДАНИЕ КОМИКСОВ глянц.лам 203х257</t>
  </si>
  <si>
    <t>267393</t>
  </si>
  <si>
    <t>ТРЕНДХАУС. КАПИБАРА И ГУСЬ. КОЛЛЕКЦИОННОЕ ИЗДАНИЕ КОМИКСОВ</t>
  </si>
  <si>
    <t>978-5-378-35924-0</t>
  </si>
  <si>
    <t>ТрендХаус представляет легендарный комикс КАПИБАРА и ГУСЬ теперь в подарочном издании. В сборник вошли четыре части невероятных приключений друзей и дополнительные материалы о любимых героях.</t>
  </si>
  <si>
    <t>9785378359240</t>
  </si>
  <si>
    <t>Русинова Евгения Александровна,Голенко Маргарита Сергеевна</t>
  </si>
  <si>
    <t>4e5ef82ee55f94a16a50e91a7ae19b9a</t>
  </si>
  <si>
    <t>7БЦ</t>
  </si>
  <si>
    <t>203х257х25</t>
  </si>
  <si>
    <t>СЕРИЯ: ТРЕНДХАУС. КОМИКС-ЖУРНАЛ набор с игрушкой 195х276</t>
  </si>
  <si>
    <t>267395</t>
  </si>
  <si>
    <t>ТРЕНДХАУС. Капибара и Гусь. Комикс-журнал. Выпуск 1</t>
  </si>
  <si>
    <t>978-5-378-35932-5</t>
  </si>
  <si>
    <t>«Трендхаус» представляет! Крутые журналы «Капибара и Гусь»! Сразу три! Комиксы, рецепты, нескучные задания, гороскоп и ещё много-много всего интересного.
И-и-и... па-бам! С каждым журналом — джиббитс! Собери все, найди самый редкий!</t>
  </si>
  <si>
    <t>9785378359325</t>
  </si>
  <si>
    <t>c812462eb211d27160b694bc1d405141</t>
  </si>
  <si>
    <t>на скрепке</t>
  </si>
  <si>
    <t>195х276х10</t>
  </si>
  <si>
    <t>268484</t>
  </si>
  <si>
    <t>ТРЕНДХАУС. Капибара и Гусь. Комикс-журнал. Выпуск 2</t>
  </si>
  <si>
    <t>978-5-378-35946-2</t>
  </si>
  <si>
    <t>9785378359462</t>
  </si>
  <si>
    <t>ccd04f208dd2aa00d7cc6381e6ad69b2</t>
  </si>
  <si>
    <t>196х276х10</t>
  </si>
  <si>
    <t>268485</t>
  </si>
  <si>
    <t>ТРЕНДХАУС. Капибара и Гусь. Комикс-журнал. Выпуск 3</t>
  </si>
  <si>
    <t>978-5-378-35947-9</t>
  </si>
  <si>
    <t>9785378359479</t>
  </si>
  <si>
    <t>ebd1930e8adb4f4877f558134b7c3d74</t>
  </si>
  <si>
    <t>278188</t>
  </si>
  <si>
    <t>ТРЕНДХАУС. Капибара и Гусь. Комикс-журнал. Выпуск 4</t>
  </si>
  <si>
    <t>978-5-378-36121-2</t>
  </si>
  <si>
    <t>Новая партия крутых журналов «Капибара и Гусь»! Сразу три! Интервью с героями, тесты, занимательные задания, рецепты и конкурсы. А ещё... С каждым журналом— брелок с Капи, Гусём или Чихуашкой! Собери всех суперстаров!</t>
  </si>
  <si>
    <t>9785378361212</t>
  </si>
  <si>
    <t>aded88c91db9f7b050badbf728028f3a</t>
  </si>
  <si>
    <t>278190</t>
  </si>
  <si>
    <t>ТРЕНДХАУС. Капибара и Гусь. Комикс-журнал. Выпуск 5</t>
  </si>
  <si>
    <t>978-5-378-36122-9</t>
  </si>
  <si>
    <t>9785378361229</t>
  </si>
  <si>
    <t>13dcfcee8e6ed7c79a6aac6f91e2d4e4</t>
  </si>
  <si>
    <t>278191</t>
  </si>
  <si>
    <t>ТРЕНДХАУС. Капибара и Гусь. Комикс-журнал. Выпуск 6</t>
  </si>
  <si>
    <t>978-5-378-36135-9</t>
  </si>
  <si>
    <t>9785378361359</t>
  </si>
  <si>
    <t>c4fbc944f23ede6584cf869652b78fb2</t>
  </si>
  <si>
    <t>СЕРИЯ: ТРЕНДХАУС. НИНДЗЯ ИЛЮША, глянц.ламин, КБС, 165х240</t>
  </si>
  <si>
    <t>258284</t>
  </si>
  <si>
    <t>КНИЖКА-КОМИКС. ТРЕНДХАУС. НИНДЗЯ ИЛЮША. Том 1. Пробуждение силы</t>
  </si>
  <si>
    <t>978-5-378-35686-7</t>
  </si>
  <si>
    <t>Илья Бусин вместе с родителями, бабушкой и сибирским котом Сударем недавно переехал в новый дом жилищного комплекса «Сновидение». Жизнь в нём и в самом деле похожа на сон, как и обещал застройщик. Правда, не особенно прекрасный. А всё потому что кругом враги, и самый злостный — консьержка Степанида Степановна, которая то и дело вредит обитателям подконтрольного ей пространства. Мальчик решает нейтрализовать бабулю и спасти мир, пусть пока и ограниченный территорией ЖК.
Всем разойтись, когда за дело берётся СУПЕРНИНДЗЯ ИЛЮША!</t>
  </si>
  <si>
    <t>9785378356867</t>
  </si>
  <si>
    <t>f929bfbc9a732cb85d9612b9e9302a77</t>
  </si>
  <si>
    <t>268540</t>
  </si>
  <si>
    <t>КНИЖКА-КОМИКС. ТРЕНДХАУС. НИНДЗЯ ИЛЮША. Том 2. Сокровища Бабая</t>
  </si>
  <si>
    <t>978-5-378-35944-8</t>
  </si>
  <si>
    <t>Илья Бусин вместе с родителями, бабушкой и сибирским котом Сударем недавно переехал в новый дом жилищного комплекса «Сновидение». Жизнь в нём и в самом деле похожа на сон, как и обещал застройщик. Правда, не особенно прекрасный. А всё потому что кругом враги... На этот раз Илюше и его друзьям предстоит нейтрализовать местного дворника, яростного блюстителя чистоты и большого любителя всего блестящего. Враг будет повержен!</t>
  </si>
  <si>
    <t>9785378359448</t>
  </si>
  <si>
    <t>86ffd5830d01bfe46eb693cf7bfb237b</t>
  </si>
  <si>
    <t>СЕРИЯ: ТРЕНДХАУС. ЧАСТНЫЙ ДЕТЕКТИВ ЭРКЮЛЬ КОМАРОВ, глянц.ламин, 7БЦ, 170х220</t>
  </si>
  <si>
    <t>270077</t>
  </si>
  <si>
    <t>ТРЕНДХАУС. ЧАСТНЫЙ ДЕТЕКТИВ ЭРКЮЛЬ КОМАРОВ. Дело о пропавшей картине</t>
  </si>
  <si>
    <t>978-5-378-35987-5</t>
  </si>
  <si>
    <t>Частный детектив Эркюль Комаров начинает расследование! А помогать ему будет не по годам сообразительная дочь Агата и смышлёный шпиц Тайсон. Каким бы хитроумным ни был преступник, Эркюля Комарова ему не провести!</t>
  </si>
  <si>
    <t>9785378359875</t>
  </si>
  <si>
    <t>49e8a7e80e036ffd40e15f2fe0883a65</t>
  </si>
  <si>
    <t>170х220х10</t>
  </si>
  <si>
    <t>СЕРИЯ: ТРЕНДХАУС. КАЛЕНДАРЬ 2027 глянц.ламин. 285х285</t>
  </si>
  <si>
    <t>281169</t>
  </si>
  <si>
    <t>ТРЕНДХАУС. КАЛЕНДАРЬ 2027. КАПИБАРА И ГУСЬ глянц.ламин. 285х285</t>
  </si>
  <si>
    <t>467-0-159-33400-2</t>
  </si>
  <si>
    <t>4670159334002</t>
  </si>
  <si>
    <t>22%</t>
  </si>
  <si>
    <t>285х283х2</t>
  </si>
  <si>
    <t>СЕРИЯ: ТРЕНДХАУС. КНИГА ИГР глянц.лам 165х240</t>
  </si>
  <si>
    <t>264367</t>
  </si>
  <si>
    <t>КНИГА ИГР. ТРЕНДХАУС. Капибара и Гусь</t>
  </si>
  <si>
    <t>978-5-378-35750-5</t>
  </si>
  <si>
    <t>Откройте «Книгу игр» — уникальный сборник, созданный при участии главных суперстаров страны и участников Трендхауса: Капибары, Гуся, Чихуашки и их друзей! Внутри вас ждут увлекательные задания на логику и внимание, хитрые лабиринты, занимательные ребусы, кроссворды, раскраски и т.д. Каждая страница — это новое приключение, весёлое испытание и яркие картинки. Ребёнку скучать не придётся! Пусть погрузится в мир игр и развивается с удовольствием вместе с любимыми персонажами.</t>
  </si>
  <si>
    <t>9785378357505</t>
  </si>
  <si>
    <t>09bb9407d3b7a54027dfd92c5fcc20dc</t>
  </si>
  <si>
    <t>0. НОВОГОДНИЕ КНИГИ</t>
  </si>
  <si>
    <t xml:space="preserve"> CЕРИЯ: БРЕНДЫ. ВЫРУБКА. ЁЛОЧКА глянц.ламин. 155х210</t>
  </si>
  <si>
    <t>237861</t>
  </si>
  <si>
    <t>ЁЛОЧКА. СИНИЙ ТРАКТОР. НОВЫЙ ГОД</t>
  </si>
  <si>
    <t>978-5-378-35124-4</t>
  </si>
  <si>
    <t>Встречай Новый год с любимыми героями! Представляем милые яркие книжки в виде ёлочек, которые расскажут в стихах о чудесах и непременно зарядят праздничным настроением.</t>
  </si>
  <si>
    <t>9785378351244</t>
  </si>
  <si>
    <t>Гурина Ирина Валерьевна</t>
  </si>
  <si>
    <t>5e8e5291e18b2b43b99176c182342a13</t>
  </si>
  <si>
    <t>ЦК(Цельнокрытый картон)</t>
  </si>
  <si>
    <t>158x210x5</t>
  </si>
  <si>
    <t>280972</t>
  </si>
  <si>
    <t>КОТЭ. ВЫРУБКА. ЁЛОЧКА. ВЕСЁЛАЯ ЗИМА</t>
  </si>
  <si>
    <t>978-5-378-36159-5</t>
  </si>
  <si>
    <t>9785378361595</t>
  </si>
  <si>
    <t>4d28834e901217511b3fd4509b56436e</t>
  </si>
  <si>
    <t>156х212х6</t>
  </si>
  <si>
    <t>194020</t>
  </si>
  <si>
    <t>КОШЕЧКИ-СОБАЧКИ. ВЫРУБКА. ЁЛОЧКА. НОВОГОДНЕЕ ЧУДО</t>
  </si>
  <si>
    <t>978-5-378-34032-3</t>
  </si>
  <si>
    <t>В небольшом городе, где живут весёлые герои мультфильма «Кошечки-собачки», все готовы к встрече Нового года, кроме Оскара. Ему не с кем провести праздник. Он помогает каждому жителю, совершая добрые поступки. А где добро — там и чудеса.</t>
  </si>
  <si>
    <t>9785378340323</t>
  </si>
  <si>
    <t>bb2a1ba8d124fe50d181d125b78765cf</t>
  </si>
  <si>
    <t>160х223х6</t>
  </si>
  <si>
    <t>280973</t>
  </si>
  <si>
    <t>МАСТЕР ВИТЯ И МОТОР. ВЫРУБКА. ЁЛОЧКА. С НОВЫМ ГОДОМ!</t>
  </si>
  <si>
    <t>978-5-378-36151-9</t>
  </si>
  <si>
    <t>9785378361519</t>
  </si>
  <si>
    <t>82157d11610c92b7fb678f1ffb8311a1</t>
  </si>
  <si>
    <t>158х212х6</t>
  </si>
  <si>
    <t>065434</t>
  </si>
  <si>
    <t>ТРИ КОТА. ВЫРУБКА. ЁЛОЧКА. ЛЮБИМЫЙ ПРАЗДНИК</t>
  </si>
  <si>
    <t>978-5-378-27322-5</t>
  </si>
  <si>
    <t>Книги-ёлочки расскажут в стихах, как встречают Новый год и проводят каникулы любимые герои мультфильма.</t>
  </si>
  <si>
    <t>9785378273225</t>
  </si>
  <si>
    <t>d290602c1e88fe25cc4e0cf33202b38f</t>
  </si>
  <si>
    <t>29.05.2017 0:00:00</t>
  </si>
  <si>
    <t>Книги на картоне Disney</t>
  </si>
  <si>
    <t>155x210x6</t>
  </si>
  <si>
    <t>171758</t>
  </si>
  <si>
    <t>ТРИ КОТА. ВЫРУБКА. ЁЛОЧКА. НОВЫЙ ГОД</t>
  </si>
  <si>
    <t>978-5-378-32284-8</t>
  </si>
  <si>
    <t>Встречай Новый год с весёлыми героями любимых мультфильмов! Картонные книжки в форме ёлочки расскажут о чудесах и подарят волшебное настроение. Внутри каждой вас ждут милые новогодние стихи о празднике и забавные иллюстрации.</t>
  </si>
  <si>
    <t>9785378322848</t>
  </si>
  <si>
    <t>b5ca134b23ad3e50e3b363a7d42c2829</t>
  </si>
  <si>
    <t>280974</t>
  </si>
  <si>
    <t>ЦВЕТНЯШКИ. ВЫРУБКА. ЁЛОЧКА. НОВЫЙ ГОД</t>
  </si>
  <si>
    <t>978-5-378-36173-1</t>
  </si>
  <si>
    <t>9785378361731</t>
  </si>
  <si>
    <t>8009bc305ee0270f4bfbb5cd495db538</t>
  </si>
  <si>
    <t>280975</t>
  </si>
  <si>
    <t>ЦЫП ЦЫП. ВЫРУБКА. ЁЛОЧКА. С НОВЫМ ГОДОМ!</t>
  </si>
  <si>
    <t>978-5-378-36176-2</t>
  </si>
  <si>
    <t>9785378361762</t>
  </si>
  <si>
    <t>de4edaa3bfd8f16adff7915c10b5ae37</t>
  </si>
  <si>
    <t>CЕРИЯ: ВЫРУБКИ НА КАРТОНЕ "НОВОГОДНИЕ" глянц. ламин. 155х210</t>
  </si>
  <si>
    <t>024429</t>
  </si>
  <si>
    <t>ВЫРУБКА. ВОЛШЕБНОЕ РОЖДЕСТВО</t>
  </si>
  <si>
    <t>978-5-378-13025-2</t>
  </si>
  <si>
    <t>Книги с вырубкой разработаны специально для самых юных читателей. Вырубка по контуру создаёт ощущение настоящей забавной книжки-игрушки.</t>
  </si>
  <si>
    <t>9785378130252</t>
  </si>
  <si>
    <t>Верёвка Виктор Викторович</t>
  </si>
  <si>
    <t>eb2f671de9a8329d98108ff5b3fe16b7</t>
  </si>
  <si>
    <t>07.06.2017 0:00:00</t>
  </si>
  <si>
    <t>Книги на картоне "Новогодние"</t>
  </si>
  <si>
    <t>029289</t>
  </si>
  <si>
    <t>ВЫРУБКА. С НОВЫМ ГОДОМ, С НОВЫМ СЧАСТЬЕМ!</t>
  </si>
  <si>
    <t>978-5-378-21508-9</t>
  </si>
  <si>
    <t>9785378215089</t>
  </si>
  <si>
    <t>Громова Людмила Александровна</t>
  </si>
  <si>
    <t>a8ee05cb88dfe14f9d5c816fb889c2cd</t>
  </si>
  <si>
    <t>024447</t>
  </si>
  <si>
    <t>ВЫРУБКА. СНИТСЯ ДЕДУШКЕ МОРОЗУ</t>
  </si>
  <si>
    <t>978-5-378-13024-5</t>
  </si>
  <si>
    <t>9785378130245</t>
  </si>
  <si>
    <t>Гражданцева Ольга Владимировна</t>
  </si>
  <si>
    <t>ec18d580af3587a131030eb847c79b80</t>
  </si>
  <si>
    <t>024437</t>
  </si>
  <si>
    <t>ВЫРУБКА. СЧАСТЛИВЫЙ НОВЫЙ ГОД</t>
  </si>
  <si>
    <t>978-5-378-13021-4</t>
  </si>
  <si>
    <t>9785378130214</t>
  </si>
  <si>
    <t>Балуева Оксана Борисовна</t>
  </si>
  <si>
    <t>8c45b88de421670c58c739f909e9e873</t>
  </si>
  <si>
    <t>CЕРИЯ: ВЫРУБКИ НА КАРТОНЕ НГ "ЁЛОЧКА" глянц.ламин. 157х210</t>
  </si>
  <si>
    <t>165165</t>
  </si>
  <si>
    <t>ЁЛОЧКА. В ЛЕСУ РОДИЛАСЬ ЁЛОЧКА.</t>
  </si>
  <si>
    <t>978-5-378-31858-2</t>
  </si>
  <si>
    <t>Книги этой серии напомнят о том, что зимние праздники уже не за горами! Весёлые стихотворения, яркие, красочные иллюстрации обязательно подарят детям новогоднее настроение и массу положительными эмоций.</t>
  </si>
  <si>
    <t>9785378318582</t>
  </si>
  <si>
    <t>Книги на картоне новогодние "Елки"</t>
  </si>
  <si>
    <t>157x210x5</t>
  </si>
  <si>
    <t>194028</t>
  </si>
  <si>
    <t>ЁЛОЧКА. ВОЛШЕБНЫЙ НОВЫЙ ГОД</t>
  </si>
  <si>
    <t>978-5-378-34034-7</t>
  </si>
  <si>
    <t>Книга-ёлочка « Волшебный Новый год» поможет создать праздничное настроение и интересно провести время вместе с малышом. Ребёнок с удовольствием будет разглядывать яркие иллюстрации и сможет выучить новогодний стишок, ведь он простой и весёлый.</t>
  </si>
  <si>
    <t>9785378340347</t>
  </si>
  <si>
    <t>160х212х6</t>
  </si>
  <si>
    <t>165168</t>
  </si>
  <si>
    <t>ЁЛОЧКА. КОРНЕЙ ЧУКОВСКИЙ. ЁЛКА</t>
  </si>
  <si>
    <t>978-5-378-31861-2</t>
  </si>
  <si>
    <t>9785378318612</t>
  </si>
  <si>
    <t>237860</t>
  </si>
  <si>
    <t>ЁЛОЧКА. ЛУЧШИЙ НОВЫЙ ГОД</t>
  </si>
  <si>
    <t>978-5-378-35123-7</t>
  </si>
  <si>
    <t>МАЛО</t>
  </si>
  <si>
    <t>9785378351237</t>
  </si>
  <si>
    <t>165167</t>
  </si>
  <si>
    <t>ЁЛОЧКА. НОВОГОДНИЕ СТИХИ</t>
  </si>
  <si>
    <t>978-5-378-31860-5</t>
  </si>
  <si>
    <t>9785378318605</t>
  </si>
  <si>
    <t>237857</t>
  </si>
  <si>
    <t>ЁЛОЧКА. ТРАКТОР ВИК И ЗИМНИЕ ЗАБАВЫ</t>
  </si>
  <si>
    <t>978-5-378-35122-0</t>
  </si>
  <si>
    <t>9785378351220</t>
  </si>
  <si>
    <t>158х210х5</t>
  </si>
  <si>
    <t>280977</t>
  </si>
  <si>
    <t>ЁЛОЧКА. ЩЕЛКУНЧИК</t>
  </si>
  <si>
    <t>978-5-378-36164-9</t>
  </si>
  <si>
    <t>9785378361649</t>
  </si>
  <si>
    <t>Купырина Анна Михайловна</t>
  </si>
  <si>
    <t>6b9504438b3bb8552cf48c4169501e5c</t>
  </si>
  <si>
    <t>CЕРИЯ: НГ CБОРНИКИ 7БЦ (Л.С, 7 сказок, 10 сказок, Книги на бумаге)</t>
  </si>
  <si>
    <t>213717</t>
  </si>
  <si>
    <t>БОЛЬШАЯ КНИГА СКАЗОК ДЛЯ МАЛЫШЕЙ. ЛУЧШИЕ НОВОГОДНИЕ СТИХИ И СКАЗКИ</t>
  </si>
  <si>
    <t>978-5-378-34439-0</t>
  </si>
  <si>
    <t xml:space="preserve">Волшебный праздник станет уютнее и веселее вместе со сборником «Лучшие новогодние стихи и сказки». Под яркой обложкой вас ждут стихи С.А. Есенина, А.С. Пушкина и А.А. Фета, сказки «Два Мороза», «Двенадцать месяцев», «Снегурочка» и другие классические
новогодние произведения! </t>
  </si>
  <si>
    <t>9785378344390</t>
  </si>
  <si>
    <t>Есенин С,Пушкин А,Фет А,Бальмонт К,Ушкина Н,Манакова М,Балуева О,Александрова З,Строителева А,Берестов В,Чарская Л,Гурина И,Некрасов Н,Блок А,Суриков И,Клокова М,Осеева В,Чуковский К,Кудашева Р,Лясковский В,Майер Н,Купырина А</t>
  </si>
  <si>
    <t>1224f10a6e109703c7a7af4177a2bb48</t>
  </si>
  <si>
    <t>тиснение, 7 БЦ</t>
  </si>
  <si>
    <t>Большая книга сказок для малышей</t>
  </si>
  <si>
    <t>170x215x24</t>
  </si>
  <si>
    <t>280132</t>
  </si>
  <si>
    <t>ВОЛШЕБНОЕ ПИСЬМО ДЕДУ МОРОЗУ мат.ламин. выб.лак, тиснение 203х257</t>
  </si>
  <si>
    <t>978-5-378-36150-2</t>
  </si>
  <si>
    <t>Близится Новый год, а у Жени Бублика большие неприятности – плохие оценки в школе, которые так не хочется исправлять. Мальчик решается на отчаянный шаг: пишет письмо Деду Морозу и просит поучиться вместо него до конца четверти. Пока ещё никто не догадывается, к каким последствиям приведёт эта невероятная затея...</t>
  </si>
  <si>
    <t>9785378361502</t>
  </si>
  <si>
    <t>Литоренко Алла</t>
  </si>
  <si>
    <t>41d6bfff79695ad5e197eeabda077210</t>
  </si>
  <si>
    <t>203х257х8</t>
  </si>
  <si>
    <t>213355</t>
  </si>
  <si>
    <t>Волшебство новогодней ёлки, офсет, глянц.ламин. 215х288</t>
  </si>
  <si>
    <t>978-5-378-34474-1</t>
  </si>
  <si>
    <t>В эту новогоднюю ночь Варя решила, что ни за что не уснёт и непременно дождётся Деда Мороза. Он украдкой проберётся в дом с набитым подарками мешком, в котором будет и её кукла в розовом чепчике и платье. Но глаза так и слипаются, а волшебство только начинается...</t>
  </si>
  <si>
    <t>9785378344741</t>
  </si>
  <si>
    <t>Яковлева Нюта</t>
  </si>
  <si>
    <t>2201673a60e4f7d9aa8ce41ee526602d</t>
  </si>
  <si>
    <t>04.09.2023 0:00:00</t>
  </si>
  <si>
    <t>215х288х5</t>
  </si>
  <si>
    <t>261165</t>
  </si>
  <si>
    <t>ВСЕ ЗИМНИЕ СТИХИ И СКАЗКИ мат.лами, выб.лак, офсет, 145х203</t>
  </si>
  <si>
    <t>978-5-378-35765-9</t>
  </si>
  <si>
    <t>В этой книге собраны самые любимые зимние стихи и сказки. На её страницах детки встретят Снегурочку, Дедушку Мороза, Снеговика, Мороза Ивановича, Серебряное копытце и даже настоящих инопланетян, заглянувших в канун Нового года к Ёжику и Медвежонку в гости. Все эти персонажи создадут атмосферу волшебства и настроят на встречу самого главного праздника — Нового года. Каждую сказочную историю украшают иллюстрации. Они обязательно привлекут внимание и понравятся самым маленьким читателям!</t>
  </si>
  <si>
    <t>9785378357659</t>
  </si>
  <si>
    <t>d7c42c994ef80d71d0b84caa2ff30c02</t>
  </si>
  <si>
    <t>мат лам+выб лак</t>
  </si>
  <si>
    <t>145х203х15</t>
  </si>
  <si>
    <t>214477</t>
  </si>
  <si>
    <t>Детская энциклопедия Всё про Новый год 48 стр, офсет, глянц ламин 145х200</t>
  </si>
  <si>
    <t>978-5-378-34431-4</t>
  </si>
  <si>
    <t>Энциклопедия познакомит ребёнка с традициями и особенностями празднования Нового года в разных странах мира. Расскажет о том, как в Австралии устраивают новогодние соревнования по сёрфингу, что в Японии есть три Деда Мороза, а в России были времена, когда ёлки не украшали! Красочные иллюстрации и фотографии позволят окунуться в праздничную атмосферу каждой страны,  а викторина  в конце книги поможет проверить, насколько хорошо вы запомнили факты про такой разный праздник - Новый год.</t>
  </si>
  <si>
    <t>9785378344314</t>
  </si>
  <si>
    <t>Самоделова Екатерина</t>
  </si>
  <si>
    <t>145х205х7</t>
  </si>
  <si>
    <t>281711</t>
  </si>
  <si>
    <t>ЗАКОЛДОВАННЫЙ НОВЫЙ ГОД  глянц.ламин. офсет. 217х280</t>
  </si>
  <si>
    <t>978-5-378-36225-7</t>
  </si>
  <si>
    <t>«Любимый праздник детворы я спрячу в снежные шары!» — что задумала волшебница Градина? Она больше не хочет радоваться и решает лишить Нового года всех вокруг! Но почему ей помогает ворона Каррона? И какую роль сыграет в этой истории доверчивый снеговик Помпон? Смогут ли Дед Мороз и его верные помощники спасти праздник и помочь Градине вспомнить, что такое доброта? Волшебная история о том, как даже самое холодное сердце может оттаять, если рядом есть настоящие друзья.</t>
  </si>
  <si>
    <t>9785378362257</t>
  </si>
  <si>
    <t>Бивол Анжелика</t>
  </si>
  <si>
    <t>0330764ee3457169b6b8bb186b85261c</t>
  </si>
  <si>
    <t>216х280х8</t>
  </si>
  <si>
    <t>167097</t>
  </si>
  <si>
    <t>ЗАНИМАТЕЛЬНЫЕ ГОЛОВОЛОМКИ НОВОГОДНИЕ матов.ламин.обл. выб.лак. мелов.бум. 215х290</t>
  </si>
  <si>
    <t>978-5-378-31965-7</t>
  </si>
  <si>
    <t>Книга в твердой обложке "Занимательные новогодние головоломки" станет отличным подарком на Новый год! Внутри: 
-интересные задания, 
-забавные картинки, 
-милые персонажи.
Играй, учись, веселись!</t>
  </si>
  <si>
    <t>9785378319657</t>
  </si>
  <si>
    <t>215х290х8</t>
  </si>
  <si>
    <t>110562</t>
  </si>
  <si>
    <t xml:space="preserve">ЗОЛОТЫЕ СКАЗКИ. НОВОГОДНИЕ СТИХИ И СКАЗКИ </t>
  </si>
  <si>
    <t>978-5-378-29307-0</t>
  </si>
  <si>
    <t>Замечательный сборник "Новогодние стихи и сказки" подарит малышу настоящее настроение праздника. Ведь на его страницах собрано множество произведений, посвященных Новому году, написанных как классиками литературы - С. Есениным, А. Блоком, К. Чуковским, так и современными авторами - М. Ясновым, Н. Волковой, А. Орловой.</t>
  </si>
  <si>
    <t>9785378293070</t>
  </si>
  <si>
    <t>Александрова Зинаида Николаевна,Кушак Юрий Наумович,Синявский Петр Алексеевич,Берестов Валентин Дмитриевич,Осеева Валентина Александровна,Чуковский Корней Иванович,Кудашева Раиса Адамовна,Чарская Лидия Алексеевна,Гурина Ирина Валерьевна,Бальмонт Константин Дмитриевич,Есенин Сергей Александрович,Фет Афанасий Афанасьевич,Блок Александр Александрович,Некрасов Николай Алексеевич,Суриков Иван Захарович,Клокова Мария Петровна,Яснов Михаил Давидович,Орлова Анастасия Александровна,Волкова Наталия Геннадьевна</t>
  </si>
  <si>
    <t>6+</t>
  </si>
  <si>
    <t>Золотые сказки</t>
  </si>
  <si>
    <t>288х235х22</t>
  </si>
  <si>
    <t>136916</t>
  </si>
  <si>
    <t>Л.С. НОВОГОДНИЕ СТИХИ И СКАЗКИ</t>
  </si>
  <si>
    <t>978-5-378-30042-6</t>
  </si>
  <si>
    <t>Этот новогодний сборник стихов и сказок станет отличным помощником при подготовке к самому волшебному празднику в году.Под обложкой вас ждут замечательные произведения любимых детских писателей: К.Чуковского, З. Александровой, С. Есенина, Н. Некрасова и многих других.</t>
  </si>
  <si>
    <t>9785378300426</t>
  </si>
  <si>
    <t>Любимые сказки (подарочные) новогодние</t>
  </si>
  <si>
    <t>200х265х13</t>
  </si>
  <si>
    <t>277809</t>
  </si>
  <si>
    <t>ЛУЧШЕЕ ДЛЯ НАШИХ МАЛЫШЕЙ. Новогодние сказки</t>
  </si>
  <si>
    <t>978-5-378-36118-2</t>
  </si>
  <si>
    <t>Новый год – самый любимый детский праздник! Подарки, улыбки, море радости – что еще нужно малышам?! Подарите детишкам встречу с любимыми героями! Пусть волшебство коснется каждого маленького читателя, а этот праздник станет для него одним из самых незабываемых! Стихи и загадки, вошедшие в этот новогодний сборник, помогут весело и радостно встретить любимый праздник!</t>
  </si>
  <si>
    <t>9785378361182</t>
  </si>
  <si>
    <t>Афанасьев Александр Николаевич, Михайлов Михаил, Одоевский Владимир, Козлов Сергей, Костина Виктория</t>
  </si>
  <si>
    <t>f9812e269f3bd9fe181aae2f7bb020a8</t>
  </si>
  <si>
    <t>145х203х7</t>
  </si>
  <si>
    <t>233196</t>
  </si>
  <si>
    <t>ЛУЧШЕЕ ДЛЯ НАШИХ МАЛЫШЕЙ. Новогодние стихи</t>
  </si>
  <si>
    <t>978-5-378-34879-4</t>
  </si>
  <si>
    <t>Новогодний выпуск серии "Лучшее для наших детей" порадует читателей яркими картинками, волшебными Новогодними стихами и красочной обложкой. Внутри 48 страниц со стихами Афанасия Фета, Александра Пушкина, Валентины Осеевой и других поэтов.</t>
  </si>
  <si>
    <t>9785378348794</t>
  </si>
  <si>
    <t>Кудашева Раиса Адамовна,Фет Афанасий Афанасьевич,Бальмонт Константин,Александрова Зинаида Николаевна,Манакова Мария Васильевна,Берестов Валентин,Осеева Валентина,Гурина Ирина Валерьевна,Есенин Сергей,Блок Александр,Некрасов Николай,Суриков Иван,Клокова Мария,Чуковский Корней Иванович,Строителева Анна Владимировна</t>
  </si>
  <si>
    <t>d07fa47570dedad4d3832cb95167fe2d</t>
  </si>
  <si>
    <t>144х203х7</t>
  </si>
  <si>
    <t>233221</t>
  </si>
  <si>
    <t>Новогодний детектив или Куда пропал Дед Мороз</t>
  </si>
  <si>
    <t>978-5-378-34436-9</t>
  </si>
  <si>
    <t>На носу тридцать первое декабря, а в ледяной избе Дедушки Мороза вместо него самого остались только шуба, валенки и рукавицы. Куда пропал Дед Мороз? Он растаял или похищен? Неужели теперь дети не получат подарки на Новый год? Спасти волшебный праздник постараются верные друзья Деда Мороза: олень Пятнышко, Белка и Снежная Коровка. На время они сами станут волшебниками.</t>
  </si>
  <si>
    <t>9785378344369</t>
  </si>
  <si>
    <t>Бурак Елена Сергеевна</t>
  </si>
  <si>
    <t>4d5b2c625b6bbf434da1988586a40077</t>
  </si>
  <si>
    <t>210х288х7</t>
  </si>
  <si>
    <t>280136</t>
  </si>
  <si>
    <t>НОВЫЙ ГОД С СИНИМ ТРАКТОРОМ глянц.ламин. 170х220</t>
  </si>
  <si>
    <t>978-5-378-36149-6</t>
  </si>
  <si>
    <t>На страницах этой книги малыши найдут новогодние песенки из мультфильма, истории о зимних приключениях Синего Трактора, а также весёлые стихи и загадки. Встречайте Новый год вместе с любимыми героями!</t>
  </si>
  <si>
    <t>9785378361496</t>
  </si>
  <si>
    <t>Васягина Веста Анатольевна,Гурина Ирина Валерьевна,Купырина Анна Михайловна</t>
  </si>
  <si>
    <t>fe2e512cfdf50463bcce21c4a7246929</t>
  </si>
  <si>
    <t>170х220х7</t>
  </si>
  <si>
    <t>CЕРИЯ: НГ развивалки+игры+пазлы</t>
  </si>
  <si>
    <t>190558</t>
  </si>
  <si>
    <t>БОЛЬШАЯ КНИГА ИГР. НОВЫЙ ГОД</t>
  </si>
  <si>
    <t>978-5-378-33904-4</t>
  </si>
  <si>
    <t>Ты держишь в руках замечательную книгу, с которой не придётся скучать. Открой её, и ты попадёшь на ледовый каток, напишешь письмо Дедушке Морозу, сыграешь в фанты, научишься рисовать снеговика и даже побываешь в новогоднем лесу!</t>
  </si>
  <si>
    <t>9785378339044</t>
  </si>
  <si>
    <t>195х260х3</t>
  </si>
  <si>
    <t>238479</t>
  </si>
  <si>
    <t>БОЛЬШОЙ НОВОГОДНИЙ ПОДАРОК (Дед Мороз с жёлтым мешком)</t>
  </si>
  <si>
    <t>467-0-159-21716-9</t>
  </si>
  <si>
    <t>В набор входят:
• Новогодние аппликации
• Книга-ёлочка со стихами
• Волшебный конверт с письмом Деду Морозу
• Новогодний блокнот
• Раскраска с сияющими наклейками
• Новогодняя раскраска А4
• Новогодняя раскраска А5
• Поздравительная открытка
• Новогодние поделки
• Снежинки из бумаги</t>
  </si>
  <si>
    <t>4670159217169</t>
  </si>
  <si>
    <t>05.08.2024 0:00:00</t>
  </si>
  <si>
    <t>коробка, 7БЦ</t>
  </si>
  <si>
    <t>320x230x60</t>
  </si>
  <si>
    <t>238480</t>
  </si>
  <si>
    <t>БОЛЬШОЙ НОВОГОДНИЙ ПОДАРОК (Дед Мороз с синим мешком)</t>
  </si>
  <si>
    <t>467-0-159-21717-6</t>
  </si>
  <si>
    <t>4670159217176</t>
  </si>
  <si>
    <t>085926</t>
  </si>
  <si>
    <t>КВЕСТ. В ПОИСКАХ НОВОГОДНЕГО ПОДАРКА</t>
  </si>
  <si>
    <t>466-5-305-43302-9</t>
  </si>
  <si>
    <t>Мечтаете наполнить волшебством новогодний праздник? Хотите, чтобы ребёнок надолго запомнил ваш подарок? Тогда вы нашли то,что искали! Превратите простое поздравление в увлекательный квест! Спрячьте подарок и позвольте малышу отправиться на поиски своего сокровища. Ему предстоит выполнить задания, расшифровать подсказки и восстановить карту, которая подскажет правильный путь.</t>
  </si>
  <si>
    <t>4665305433029</t>
  </si>
  <si>
    <t>5+</t>
  </si>
  <si>
    <t>19.06.2018 0:00:00</t>
  </si>
  <si>
    <t>европодвес</t>
  </si>
  <si>
    <t>240х325х2</t>
  </si>
  <si>
    <t>240136</t>
  </si>
  <si>
    <t>КВЕСТ. НОВОГОДНИЙ КВЕСТ ОТ КАПИБАРЫ. ТРЕНДХАУС</t>
  </si>
  <si>
    <t>467-0-159-22107-4</t>
  </si>
  <si>
    <t>Мечтаете наполнить волшебством новогодний праздник? Хотите, чтобы ребёнок надолго запомнил ваш подарок? Тогда вы нашли то, что искали! Превратите простое поздравление в увлекательный квест! Спрячьте подарок и позвольте малышу отправиться на поиски своего сокровища. Ему предстоит выполнить задания, расшифровать подсказки и восстановить карту, которая подскажет правильный путь. Поверьте в чудеса!</t>
  </si>
  <si>
    <t>4670159221074</t>
  </si>
  <si>
    <t>60e0b52a766e1ca79618b7de09ab6b26</t>
  </si>
  <si>
    <t>3+</t>
  </si>
  <si>
    <t>240x323x1</t>
  </si>
  <si>
    <t>166941</t>
  </si>
  <si>
    <t>КНИЖКА С ОКОШКАМИ 235х315. НОВОГОДНИЕ ЧУДЕСА</t>
  </si>
  <si>
    <t>978-5-378-31943-5</t>
  </si>
  <si>
    <t>Наступления Нового года ждут все - и взрослые, и дети! Ведь это время чудес, подарков и зимних забав! Давай вместе отправимся в увлекательное новогоднее путешествие - заглянем в мастерскую к Дедушке Морозу, где готовятся подарки для малышей, посетим городскую ёлку, узнаем, какие зимние игры самые весёлые, и наконец встретим праздник дома под бой курантов! Только не забудь заглянуть в окошки- там много интересного!</t>
  </si>
  <si>
    <t>9785378319435</t>
  </si>
  <si>
    <t>235х315х10</t>
  </si>
  <si>
    <t>238442</t>
  </si>
  <si>
    <t>СБОРНИК-ПАНОРАМКА 16 разворотов. НОВОГОДНИЕ СТИХИ И СКАЗКИ</t>
  </si>
  <si>
    <t>978-5-378-35141-1</t>
  </si>
  <si>
    <t>Зимний праздник станет уютнее и веселее вместе со сборником «Новогодние стихи и сказки».
В книге 16 разворотов, и на каждом из них малышу встретится объёмная 3D картинка с яркими новогодними персонажами: белочками, зайчиками, снеговиком, и, конечно, Дедушкой Морозом.
Новогодняя книжка-панорамка станет одной из любимых в детской библиотеке. Она обязательно подарит детям хорошее настроение и массу положительными эмоций.</t>
  </si>
  <si>
    <t>9785378351411</t>
  </si>
  <si>
    <t>Кудашева Раиса Адамовна,Гурина Ирина Валерьевна,Бальмонт Константин,Фет Афанасий,Суриков Иван,Клокова Мария,Строителева Анна Владимировна</t>
  </si>
  <si>
    <t>fd2d53d24af5f0b41c7f27e0d8906e08</t>
  </si>
  <si>
    <t>230х167х45</t>
  </si>
  <si>
    <t>СЕРИЯ: MyArt. НГ СКЕТЧБУК "В ТРЕНДЕ" 64л мат.лам, выб.лак, кругл.углы 7БЦ 145х203 (бумага 120гр)</t>
  </si>
  <si>
    <t>235086</t>
  </si>
  <si>
    <t>MyArt. НГ СКЕТЧБУК "В ТРЕНДЕ" ВСЕ НА ПРАЗДНИК!</t>
  </si>
  <si>
    <t>467-0-159-19965-6</t>
  </si>
  <si>
    <t>4670159199656</t>
  </si>
  <si>
    <t>мат. лам+выб.лак</t>
  </si>
  <si>
    <t>145х204х13</t>
  </si>
  <si>
    <t>235082</t>
  </si>
  <si>
    <t>MyArt. НГ СКЕТЧБУК "В ТРЕНДЕ" ЁЛОЧКА, ГОРИ!</t>
  </si>
  <si>
    <t>467-0-159-19962-5</t>
  </si>
  <si>
    <t>4670159199625</t>
  </si>
  <si>
    <t>235083</t>
  </si>
  <si>
    <t>MyArt. НГ СКЕТЧБУК "В ТРЕНДЕ" ПАРДОН, РЕФЛЕКСЫ</t>
  </si>
  <si>
    <t>467-0-159-19963-2</t>
  </si>
  <si>
    <t>4670159199632</t>
  </si>
  <si>
    <t>235085</t>
  </si>
  <si>
    <t>MyArt. НГ СКЕТЧБУК "В ТРЕНДЕ" ТАНЦУЙ!</t>
  </si>
  <si>
    <t>467-0-159-19964-9</t>
  </si>
  <si>
    <t>4670159199649</t>
  </si>
  <si>
    <t>СЕРИЯ: БОЛЬШАЯ ВОДНАЯ РАСКРАСКА НГ глянц.ламин, картон.обл, 8л 238х330 (офсет 160гр)</t>
  </si>
  <si>
    <t>281720</t>
  </si>
  <si>
    <t>БОЛЬШАЯ ВОДНАЯ РАСКРАСКА НГ. ВОЛШЕБНЫЙ НОВЫЙ ГОД. ЦЫП-ЦЫП</t>
  </si>
  <si>
    <t>978-5-378-36212-7</t>
  </si>
  <si>
    <t>9785378362127</t>
  </si>
  <si>
    <t>238х330х2</t>
  </si>
  <si>
    <t>281721</t>
  </si>
  <si>
    <t>БОЛЬШАЯ ВОДНАЯ РАСКРАСКА НГ. ВОЛШЕБНЫЙ ПРАЗДНИК. МАСТЕР ВИТЯ И МОТОР</t>
  </si>
  <si>
    <t>978-5-378-36213-4</t>
  </si>
  <si>
    <t>9785378362134</t>
  </si>
  <si>
    <t>281722</t>
  </si>
  <si>
    <t>БОЛЬШАЯ ВОДНАЯ РАСКРАСКА НГ. НОВОГОДНЕЕ ЧУДО. ЦВЕТНЯШКИ</t>
  </si>
  <si>
    <t>978-5-378-36214-1</t>
  </si>
  <si>
    <t>9785378362141</t>
  </si>
  <si>
    <t>281723</t>
  </si>
  <si>
    <t>БОЛЬШАЯ ВОДНАЯ РАСКРАСКА НГ. НОВОГОДНИЕ ЗАБАВЫ. СИНИЙ ТРАКТОР</t>
  </si>
  <si>
    <t>978-5-378-36215-8</t>
  </si>
  <si>
    <t>9785378362158</t>
  </si>
  <si>
    <t>281719</t>
  </si>
  <si>
    <t>БОЛЬШАЯ ВОДНАЯ РАСКРАСКА НГ. РАСКРАСЬ ЗИМУ. КОТЁНОК КОТЭ</t>
  </si>
  <si>
    <t>978-5-378-36211-0</t>
  </si>
  <si>
    <t>9785378362110</t>
  </si>
  <si>
    <t>281724</t>
  </si>
  <si>
    <t>БОЛЬШАЯ ВОДНАЯ РАСКРАСКА НГ. СКАЗОЧНЫЙ НОВЫЙ ГОД. КОШЕЧКИ - СОБАЧКИ</t>
  </si>
  <si>
    <t>978-5-378-36216-5</t>
  </si>
  <si>
    <t>9785378362165</t>
  </si>
  <si>
    <t xml:space="preserve">СЕРИЯ: НГ АДВЕНТ - КАЛЕНДАРЬ  </t>
  </si>
  <si>
    <t>214476</t>
  </si>
  <si>
    <t>НГ АДВЕНТ-КАЛЕНДАРЬ "15 дней до Нового Года" глянц.ламин. 210х290</t>
  </si>
  <si>
    <t>467-0-159-09602-3</t>
  </si>
  <si>
    <t xml:space="preserve">Адвент-календарь – самый простой вариант погрузить всю семью в атмосферу наступающего праздника! Самые важные 15 дней подготовки к Новому году малыш ежедневно будет занят, выполняя несложные задания, раскрашивая картинки, отгадывая кроссворд и даже приклеивая бороду Деду Морозу! </t>
  </si>
  <si>
    <t>4670159096023</t>
  </si>
  <si>
    <t>6d303c3a2a73f01f2db51739a53f3d5d</t>
  </si>
  <si>
    <t>210x290x2</t>
  </si>
  <si>
    <t>171777</t>
  </si>
  <si>
    <t>НГ АДВЕНТ-КАЛЕНДАРЬ (с медведем) глянц. ламин.240х330</t>
  </si>
  <si>
    <t>978-5-378-32276-3</t>
  </si>
  <si>
    <t>Новогодний адвент-календарь подарит каждому ребёнку настроение наступающего праздника. В нём собраны игры, увлекательные задания, ребусы, поделки на каждый день до наступления Нового года. С ними ждать праздника — гораздо веселее и интереснее! Внутри адвент-календаря найдутся красочные наклейки в виде ёлочных игрушек и плакат в виде ёлки, которую можно заполнить этими игрушками. Повесьте его на стену и украшайте вместе с ребёнком по мере приближения 31 декабря.</t>
  </si>
  <si>
    <t>9785378322763</t>
  </si>
  <si>
    <t>240x330x3</t>
  </si>
  <si>
    <t>108870</t>
  </si>
  <si>
    <t>НГ АДВЕНТ-КАЛЕНДАРЬ глянц.ламин, тиснение обл, глиттер - оборот. 277х332</t>
  </si>
  <si>
    <t>978-5-378-29214-1</t>
  </si>
  <si>
    <t>Наполните предновогодние две недели праздничным настроением, приключениями и волшебством! Повесьте плакат-ёлочку, положите в конверт карточку с заданием и наклейку с сегодняшней датой. Выполняя по одному заданию каждый день, вы с малышом напишете письмо Деду Морозу, сделаете множество поделок для украшения ёлки или дома, выучите зимнее стихотворение и весело проведёте время вместе. Поощряйте ребёнка небольшими сувенирами, фруктами или сладостями за выполненные задания. Счастливого нового года!</t>
  </si>
  <si>
    <t>9785378292141</t>
  </si>
  <si>
    <t>277х330х2</t>
  </si>
  <si>
    <t>194573</t>
  </si>
  <si>
    <t>НГ АДВЕНТ-КАЛЕНДАРЬ С ОКОШКАМИ глянц.ламин. 280х390</t>
  </si>
  <si>
    <t>462-0-129-78384-2</t>
  </si>
  <si>
    <t>Адвент-календарь с окошками - это отличный способ провести время ожидания Нового года с пользой и удовольствием. Календарь напечатан на плотном картоне, на нем расположено 31 окошко, под крышкой каждого из них - задание, связанное с подготовкой к Новому году, Для удобства открывания окошек предусмотрены ушки, за которые можно взяться и легко открыть новое задание. На обороте напечатаны приложения к некоторым заданиям в окошках: рецепт печенья, стихотворения и многое другое. Также на обороте напечатан QR код, перейдя по которому можно ознакомиться со всеми заданиями в адвент-календаре.</t>
  </si>
  <si>
    <t>4620129783842</t>
  </si>
  <si>
    <t>280х390х1</t>
  </si>
  <si>
    <t xml:space="preserve">СЕРИЯ: НГ БОЛЬШИЕ НАКЛЕЙКИ картон.обл. 235х330  </t>
  </si>
  <si>
    <t>164965</t>
  </si>
  <si>
    <t>НГ БОЛЬШИЕ НАКЛЕЙКИ. ПОДАРОК ПОД ЁЛОЧКУ</t>
  </si>
  <si>
    <t>978-5-378-31887-2</t>
  </si>
  <si>
    <t>Наклейки в этой брошюре действительно большие-некоторые в длину до 15 сантиметров! Они послужат отличным украшением как для дома, так и для новогодних открыток.</t>
  </si>
  <si>
    <t>9785378318872</t>
  </si>
  <si>
    <t>235х330х2</t>
  </si>
  <si>
    <t>164966</t>
  </si>
  <si>
    <t>НГ БОЛЬШИЕ НАКЛЕЙКИ. ЧУДЕСНЫЙ НОВЫЙ ГОД</t>
  </si>
  <si>
    <t>978-5-378-31888-9</t>
  </si>
  <si>
    <t>9785378318889</t>
  </si>
  <si>
    <t>СЕРИЯ: НГ ГЛАЗКИ-МИНИ глянц. ламин. 120х150</t>
  </si>
  <si>
    <t>278103</t>
  </si>
  <si>
    <t>ГЛАЗКИ-МИНИ. ДЕД МОРОЗ</t>
  </si>
  <si>
    <t>978-5-378-36131-1</t>
  </si>
  <si>
    <t>Яркие картонные книги с подвижными глазками превратят чтение в настоящее приключение. Весёлые глазки привлекут внимание ребёнка, помогут в развитии зрительного восприятия и мелкой моторики. Скруглённые уголки и небольшой формат книги позволят вашему малышу самостоятельно держать книжки в руках и переворачивать странички. Чудесные, добрые новогодние сюжеты не оставят равнодушными ни одного маленького читателя. Это прекрасная идея новогоднего подарка для ваших малышей. Подарите им незабываемые эмоции вместе с нашей серией книг!</t>
  </si>
  <si>
    <t>9785378361311</t>
  </si>
  <si>
    <t>120х150х6</t>
  </si>
  <si>
    <t>278106</t>
  </si>
  <si>
    <t>ГЛАЗКИ-МИНИ. РАЗ, ДВА, ТРИ - ЁЛОЧКА, ГОРИ!</t>
  </si>
  <si>
    <t>978-5-378-36133-5</t>
  </si>
  <si>
    <t>9785378361335</t>
  </si>
  <si>
    <t>Бутенко Тимофей</t>
  </si>
  <si>
    <t>278109</t>
  </si>
  <si>
    <t>ГЛАЗКИ-МИНИ. С НОВЫМ ГОДОМ, С НОВЫМ СЧАСТЬЕМ!</t>
  </si>
  <si>
    <t>978-5-378-36134-2</t>
  </si>
  <si>
    <t>9785378361342</t>
  </si>
  <si>
    <t>278104</t>
  </si>
  <si>
    <t>ГЛАЗКИ-МИНИ. СНЕГУРУШКА</t>
  </si>
  <si>
    <t>978-5-378-36132-8</t>
  </si>
  <si>
    <t>9785378361328</t>
  </si>
  <si>
    <t>СЕРИЯ: НГ НАКЛЕЙКИ в конверте СТИКЕРПАК А6 110х150</t>
  </si>
  <si>
    <t>213663</t>
  </si>
  <si>
    <t>НГ НАКЛЕЙКИ в конверте А6. АНИМЕ</t>
  </si>
  <si>
    <t>467-0-159-08135-7</t>
  </si>
  <si>
    <t>Наши стикерпаки с новогодними наклейками идеально подойдут для создания праздничного настроения! Милые и яркие стикеры порадуют не только детей, но взрослых. Ими можно украсить чехол для телефона, ноутбук, блокнот - все, что вы захотите. 
Новогодние стикеры "Аниме" не оставят равнодушными любителей Азии!</t>
  </si>
  <si>
    <t>4670159081357</t>
  </si>
  <si>
    <t>Конв.</t>
  </si>
  <si>
    <t>110х176х1</t>
  </si>
  <si>
    <t>СЕРИЯ: НГ ОЧЕНЬ БОЛЬШАЯ РАСКРАСКА  430х1000, в индивидуальной коробке</t>
  </si>
  <si>
    <t>169771</t>
  </si>
  <si>
    <t>ОЧЕНЬ БОЛЬШАЯ РАСКРАСКА. ЗИМНИЕ ПРИКЛЮЧЕНИЯ</t>
  </si>
  <si>
    <t>978-5-378-32121-6</t>
  </si>
  <si>
    <t>Эта "Очень большая раскраска" - отличное развлечение для всей семьи: её могут раскрашивать одновременно несколько человек! Раскраска-плакат "Зимние приключения" подарит новогоднее настроение и позволит интересно провести время, а милые животные помогут создать атмосферу предстоящего праздника. Когда картинка будет полностью раскрашена, можно повесить её на стену и любоваться ею.</t>
  </si>
  <si>
    <t>9785378321216</t>
  </si>
  <si>
    <t>Очень большая раскраска</t>
  </si>
  <si>
    <t>50х460х50</t>
  </si>
  <si>
    <t>СЕРИЯ: НГ ПОДАРОЧНЫЕ РАСКРАСКИ КБС мат ламин, выб лак 195х260</t>
  </si>
  <si>
    <t>277812</t>
  </si>
  <si>
    <t>НГ ПОДАРОЧНЫЕ РАСКРАСКИ. С Новым Годом, СССР!</t>
  </si>
  <si>
    <t>978-5-378-36120-5</t>
  </si>
  <si>
    <t>9785378361205</t>
  </si>
  <si>
    <t>ceb838d2d196b92d91a737ab93f275d0</t>
  </si>
  <si>
    <t>195х260х5</t>
  </si>
  <si>
    <t>277813</t>
  </si>
  <si>
    <t>НГ ПОДАРОЧНЫЕ РАСКРАСКИ. Эстетичный Новый Год</t>
  </si>
  <si>
    <t>978-5-378-36119-9</t>
  </si>
  <si>
    <t>9785378361199</t>
  </si>
  <si>
    <t>56bd3beba8006be41c16a7345b205f3e</t>
  </si>
  <si>
    <t>СЕРИЯ: НГ ПОДЕЛКИ глянц.ламин. 195х276</t>
  </si>
  <si>
    <t>194577</t>
  </si>
  <si>
    <t>НГ ПОДЕЛКИ. НОВОГОДНИЕ ГИРЛЯНДЫ И ФЛАЖКИ</t>
  </si>
  <si>
    <t>462-0-129-78395-8</t>
  </si>
  <si>
    <t>Честный знак</t>
  </si>
  <si>
    <t>Хотите, чтобы ребёнок почувствовал себя причастным к новогоднему волшебству и окунулся в праздничную атмосферу? Для этого ему понадобятся только ножницы и нитки! Как собрать гирлянду со зверушками?
1. Раскрыть книгу и разогнуть все скрепки.
2. Отобрать листы, на которых изображены зверушки.
3. Аккуратно вырезать все картинки.
4. С помощью иголки проделать два маленьких отверстия
в каждой картинке (они отмечены маленькими точечками).
5. Нанизать на нитку все картинки и украсить
гирляндой свой дом.
Как собрать гирлянду из флажков?
1. Раскрыть книгу и разогнуть все скрепки.
2. Отобрать листы, на которых изображены флажки.
3. Аккуратно вырезать все флажки.
4. Согнуть флажки пополам.
5.Надеть флажки на нитку и украсить дом гирляндой.</t>
  </si>
  <si>
    <t>4620129783958</t>
  </si>
  <si>
    <t>Подлежит маркировке ЧЗ Игрушки с 1 декабря 2025</t>
  </si>
  <si>
    <t>195x276x2</t>
  </si>
  <si>
    <t>СЕРИЯ: НГ РАСКРАСКА-ВИММЕЛЬБУХ 235х330</t>
  </si>
  <si>
    <t>195051</t>
  </si>
  <si>
    <t>РАСКРАСКА-ВИММЕЛЬБУХ. ВОЛШЕБНЫЙ НОВЫЙ ГОД</t>
  </si>
  <si>
    <t>978-5-378-34065-1</t>
  </si>
  <si>
    <t>Раскраска для истинных ценителей! Иллюстрации, насыщенные действиями и наполненные персонажами, привлекут внимание и надолго не выпустят из мира карандашей и фломастеров! На каждом развороте - своя история, и не одна! Включайте фантазию, и вперёд! Раскраска "Волшебный Новый год" совершенно точно не даст скучать на зимних каникулах.</t>
  </si>
  <si>
    <t>9785378340651</t>
  </si>
  <si>
    <t>235х330х3</t>
  </si>
  <si>
    <t>СЕРИЯ: НГ РАСКРАСКИ А5 эконом, 8 листов, мелов.обл., 140х200</t>
  </si>
  <si>
    <t>102958</t>
  </si>
  <si>
    <t>РАСКРАСКА А5 НГ. ЗИМНИЕ ЗАБАВЫ</t>
  </si>
  <si>
    <t>978-5-378-29147-2</t>
  </si>
  <si>
    <t>Новогодние раскраски карманного формата порадуют малышей и станут идеальным подарком в преддверии зимних праздников. В этих раскрасках дети найдут забавные картинки праздничной тематики.</t>
  </si>
  <si>
    <t>9785378291472</t>
  </si>
  <si>
    <t>140х200х2</t>
  </si>
  <si>
    <t>СЕРИЯ: НГ РАСКРАСКИ с новогодними очками 215х310</t>
  </si>
  <si>
    <t>236467</t>
  </si>
  <si>
    <t>НГ РАСКРАСКИ с новогодними очками. В ОЖИДАНИИ НОВОГО ГОДА</t>
  </si>
  <si>
    <t>978-5-378-35070-4</t>
  </si>
  <si>
    <t>Серия "Новогодняя раскраска" - это прекрасный подарок для ребёнка. Красивые иллюстрации создадут праздничное настроение и увлекут мальчишек и девчонок на долгое время. Раскраска большого размера, бумага в блоке достаточно плотная, чтобы дети могли использовать для раскрашивания как карандаши, так и фломастеры. В комплекте к раскраске идут сверкающие новогодние очки с рожками. Этот аксессуар сделает новогодний образ еще более праздничным!</t>
  </si>
  <si>
    <t>9785378350704</t>
  </si>
  <si>
    <t>0d41e28ba6625cffb05ac09ce5139866</t>
  </si>
  <si>
    <t>215х310х15</t>
  </si>
  <si>
    <t>236465</t>
  </si>
  <si>
    <t>НГ РАСКРАСКИ с новогодними очками. НОВОГОДНЕЕ ВЕСЕЛЬЕ</t>
  </si>
  <si>
    <t>978-5-378-35068-1</t>
  </si>
  <si>
    <t>9785378350681</t>
  </si>
  <si>
    <t>28e69ba3adfec2803e5022c60d086912</t>
  </si>
  <si>
    <t>236466</t>
  </si>
  <si>
    <t>НГ РАСКРАСКИ с новогодними очками. НОВОГОДНИЕ КАНИКУЛЫ</t>
  </si>
  <si>
    <t>978-5-378-35069-8</t>
  </si>
  <si>
    <t>9785378350698</t>
  </si>
  <si>
    <t>2e8466e9c8096636dba8d311655417c5</t>
  </si>
  <si>
    <t>236468</t>
  </si>
  <si>
    <t>НГ РАСКРАСКИ с новогодними очками. НОВОГОДНИЕ ПРИКЛЮЧЕНИЯ</t>
  </si>
  <si>
    <t>978-5-378-35071-1</t>
  </si>
  <si>
    <t>9785378350711</t>
  </si>
  <si>
    <t>d7dfb86bd42058c5facf3c11e3aef50d</t>
  </si>
  <si>
    <t>СЕРИЯ: НГ РАСКРАСКИ с сияющими наклейками 195х276</t>
  </si>
  <si>
    <t>165052</t>
  </si>
  <si>
    <t>РАСКРАСКИ с сияющими наклейками. ЗИМНИЕ ЗАБАВЫ</t>
  </si>
  <si>
    <t>978-5-378-31896-4</t>
  </si>
  <si>
    <t>Раскраски с сияющими наклейками — это весёлые картинки с забавными персонажами, которые подарят ребёнку новогоднее настроение. Каждой картинке в блоке соответствует своя наклейка с волшебным сияющим покрытием. Поэтому дополнительным интересным заданием в раскраске станет ещё и возможность найти наклейку для каждой иллюстрации и добавить её на страничку. Такая раскраска — отличное увлечение для малыша на новогодних каникулах.</t>
  </si>
  <si>
    <t>9785378318964</t>
  </si>
  <si>
    <t>195x275x2</t>
  </si>
  <si>
    <t>СЕРИЯ: НГ СТИКЕРБУК глянц.ламин.160х230</t>
  </si>
  <si>
    <t>178317</t>
  </si>
  <si>
    <t>НОВОГОДНИЙ СТИКЕРБУК</t>
  </si>
  <si>
    <t>462-0-129-70615-5</t>
  </si>
  <si>
    <t>Этот замечательный альбом с наклейками подарит малышам радость и новогоднее настроение. Ведь внутри их ждёт целых 8 листов с наклейками! Ребёнок обязательно оценит весёлые новогодние сюжеты, отражённые на наклейках.</t>
  </si>
  <si>
    <t>4620129706155</t>
  </si>
  <si>
    <t>160х230х4</t>
  </si>
  <si>
    <t>СЕРИЯ: НГ ЦК глянц.ламин 160х220</t>
  </si>
  <si>
    <t>259932</t>
  </si>
  <si>
    <t>НГ ЦК. ДЕД МОРОЗ</t>
  </si>
  <si>
    <t>978-5-378-35705-5</t>
  </si>
  <si>
    <t>Серия красочных новогодних книжек на плотном целлюлозном картоне с закруглёнными углами создана специально для самых маленьких читателей 1-3 лет. Внутри добрые праздничные истории в стихах, которые легко запоминаются и создают праздничное настроение. Яркие иллюстрации с забавными персонажами привлекут внимание ребёнка, а удобный формат 160х220 мм позволяет рассматривать книги самостоятельно или читать вместе с родителями, наполняя ожидание Нового года радостью и чудом. Прочные страницы выдержат многократное перелистывание, а закругленные углы делают книги безопасными для малышей.</t>
  </si>
  <si>
    <t>9785378357055</t>
  </si>
  <si>
    <t>Строителева Анна Владимировна</t>
  </si>
  <si>
    <t>b3dfe4c748f398d4a2b232ad8f52d725</t>
  </si>
  <si>
    <t>160х220х5</t>
  </si>
  <si>
    <t>258279</t>
  </si>
  <si>
    <t>НГ ЦК. ЛУЧШИЙ НОВОГОДНИЙ ПОДАРОК</t>
  </si>
  <si>
    <t>978-5-378-35677-5</t>
  </si>
  <si>
    <t>9785378356775</t>
  </si>
  <si>
    <t>ce92c45f4bd12d871213e4cfc966d9df</t>
  </si>
  <si>
    <t>259933</t>
  </si>
  <si>
    <t>НГ ЦК. СНЕГУРУШКА</t>
  </si>
  <si>
    <t>978-5-378-35706-2</t>
  </si>
  <si>
    <t>9785378357062</t>
  </si>
  <si>
    <t>7a7513b5993774a910de5e8d3ee485f3</t>
  </si>
  <si>
    <t>СЕРИЯ: НГ ЦК глянц.ламин, тиснение 200х260</t>
  </si>
  <si>
    <t>281707</t>
  </si>
  <si>
    <t>НГ ЦК 200х260. ВОЛШЕБСТВО НОВОГОДНЕЙ ЕЛКИ</t>
  </si>
  <si>
    <t>978-5-378-36196-0</t>
  </si>
  <si>
    <t>Красивая новогодняя книга увеличенного формата с закруглёнными уголками подходит для самых маленьких читателей. Красочные иллюстрации и добрые истории в стихах подарят праздник девочкам и мальчикам. Им будет интересно и слушать чтение взрослых, и самостоятельно рассматривать картинки. Уютные вечера в ожидании Нового года с этой книгой гарантированы! Прочные страницы из картона позволяет многократно листать книгу, а оформление обложки фольгой придаёт ей праздничный вид.</t>
  </si>
  <si>
    <t>9785378361960</t>
  </si>
  <si>
    <t>f171808a496fb518ce2746406b11dcd5</t>
  </si>
  <si>
    <t>ламинация+тиснение</t>
  </si>
  <si>
    <t>199х259х6</t>
  </si>
  <si>
    <t>281709</t>
  </si>
  <si>
    <t>НГ ЦК 200х260. ГДЕ ТЫ, ДЕДУШКА МОРОЗ?</t>
  </si>
  <si>
    <t>978-5-378-36199-1</t>
  </si>
  <si>
    <t>9785378361991</t>
  </si>
  <si>
    <t>4b0b64a3b02eb3f0f36d7ffeff0df6cb</t>
  </si>
  <si>
    <t>281712</t>
  </si>
  <si>
    <t>НГ ЦК 200х260. НОВОГОДНЯЯ ЁЛОЧКА (Три кота)</t>
  </si>
  <si>
    <t>978-5-378-36197-7</t>
  </si>
  <si>
    <t>9785378361977</t>
  </si>
  <si>
    <t>17e4ecdc7876ff70c2c20d3cebd7997a</t>
  </si>
  <si>
    <t>281710</t>
  </si>
  <si>
    <t>НГ ЦК 200х260. С НОВЫМ ГОДОМ! (Цып-Цып)</t>
  </si>
  <si>
    <t>978-5-378-36198-4</t>
  </si>
  <si>
    <t>9785378361984</t>
  </si>
  <si>
    <t>eaece11a25917d6f0b02e061fbf11aed</t>
  </si>
  <si>
    <t>СЕРИЯ: НГ ЦК-МИНИ глянц.ламин. 110х150</t>
  </si>
  <si>
    <t>280159</t>
  </si>
  <si>
    <t>ЦК МИНИ. В ЛЕСУ РОДИЛАСЬ ЁЛОЧКА</t>
  </si>
  <si>
    <t>978-5-378-36169-4</t>
  </si>
  <si>
    <t>9785378361694</t>
  </si>
  <si>
    <t>Кудашева Раиса Адамовна</t>
  </si>
  <si>
    <t>f583968c60e1bff1c2c0ade92e4cdb43</t>
  </si>
  <si>
    <t>110х150х5</t>
  </si>
  <si>
    <t>278116</t>
  </si>
  <si>
    <t>ЦК МИНИ. ВОЛШЕБНОЕ РОЖДЕСТВО</t>
  </si>
  <si>
    <t>978-5-378-36128-1</t>
  </si>
  <si>
    <t>9785378361281</t>
  </si>
  <si>
    <t>03a17ec5e6e4044925dc13c3accc10f9</t>
  </si>
  <si>
    <t>110х150х6</t>
  </si>
  <si>
    <t>278115</t>
  </si>
  <si>
    <t>ЦК МИНИ. ПОДАРКИ ДЕДУШКИ МОРОЗА</t>
  </si>
  <si>
    <t>978-5-378-36129-8</t>
  </si>
  <si>
    <t>9785378361298</t>
  </si>
  <si>
    <t>23388e4e30b4b3be6017a6df2b5b0fe3</t>
  </si>
  <si>
    <t>280158</t>
  </si>
  <si>
    <t>ЦК МИНИ. СНЕГОВИК</t>
  </si>
  <si>
    <t>978-5-378-36160-1</t>
  </si>
  <si>
    <t>9785378361601</t>
  </si>
  <si>
    <t>46d0e3af88a308cb1a3b4815e7198194</t>
  </si>
  <si>
    <t>СЕРИЯ: РАСКРАСКА-АНТИСТРЕСС на гребне 145х203</t>
  </si>
  <si>
    <t>264420</t>
  </si>
  <si>
    <t>РАСКРАСКА-АНТИСТРЕСС. Новогодняя</t>
  </si>
  <si>
    <t>978-5-378-35729-1</t>
  </si>
  <si>
    <t>Погрузитесь в атмосферу праздника с этой уникальной антистресс-раскраской. Вас ждут 48 иллюстраций с уютными зимними пейзажи, праздничными интерьерами, а также символами самой волшебной ночи в году. Раскрашивание поможет расслабиться, подумать о приятных воспоминаниях и создать уютную атмосферу праздника.</t>
  </si>
  <si>
    <t>9785378357291</t>
  </si>
  <si>
    <t>02cd463980e856a00a64b6288f7e63eb</t>
  </si>
  <si>
    <t>матовая ламинация</t>
  </si>
  <si>
    <t>на гребне</t>
  </si>
  <si>
    <t>145х203х9</t>
  </si>
  <si>
    <t>261544</t>
  </si>
  <si>
    <t>РАСКРАСКА-АНТИСТРЕСС. Ностальгия</t>
  </si>
  <si>
    <t>978-5-378-35728-4</t>
  </si>
  <si>
    <t>Погрузитесь в атмосферу советского Нового года с этой уникальной антистресс-раскраской. В каждом изображении вас ждут уютные зимние пейзажи, праздничные интерьеры и символы эпохи - от ёлочных игрушек до новогодних салатов. Раскрашивание поможет расслабиться, вспомнить добрые моменты прошлого. Пусть эта раскраска станет маленьким путешествием в атмосферу доброты и ностальгии!</t>
  </si>
  <si>
    <t>9785378357284</t>
  </si>
  <si>
    <t>4efd849b182e3668a06fe8410e733880</t>
  </si>
  <si>
    <t>155х202х10</t>
  </si>
  <si>
    <t>СЕРИЯ: СЕРДЦЕ В ПОДАРОК НГ КБС 140х195</t>
  </si>
  <si>
    <t>281696</t>
  </si>
  <si>
    <t>СЕРДЦЕ В ПОДАРОК. КБС. Адвент для скептиков</t>
  </si>
  <si>
    <t>978-5-378-36240-0</t>
  </si>
  <si>
    <t>Лиза ведет блог об астрологии. Она верит в знаки, кармические встречи и то, что однажды Вселенная подарит ей настоящую любовь. Виктор — блогер-скептик, который разоблачает таких, как она. И когда рандомайзер сводит их вместе для новогоднего адвента, оба уверены, что смогут доказать свою правоту. Двенадцать конвертов, двенадцать заданий. Создатели обещают: если два человека, не пропустив ни дня, откроют вместе все конверты и выполнят задания, они неизбежно влюбятся друг в друга.</t>
  </si>
  <si>
    <t>9785378362400</t>
  </si>
  <si>
    <t>Тоболина Инна</t>
  </si>
  <si>
    <t>16+</t>
  </si>
  <si>
    <t>138х194х19</t>
  </si>
  <si>
    <t>281699</t>
  </si>
  <si>
    <t>СЕРДЦЕ В ПОДАРОК. КБС. Влюбиться до Нового года</t>
  </si>
  <si>
    <t>978-5-378-36226-4</t>
  </si>
  <si>
    <t>«Что делать, если под Новый год хочется на край света? Туда, где вечный холод. Мой план был идеален: тишина, снег, никаких неожиданностей. Я не учла только его. Парня, который выводит меня из себя одним своим видом. И этот невыносимый тип — брат новой жены моего отца. О которой папа тактично умолчал. И самый главный вопрос: какова вероятность, что я в него влюблюсь?»</t>
  </si>
  <si>
    <t>9785378362264</t>
  </si>
  <si>
    <t>Николаенко Дениза</t>
  </si>
  <si>
    <t>281697</t>
  </si>
  <si>
    <t>СЕРДЦЕ В ПОДАРОК. КБС. Как снег на голову</t>
  </si>
  <si>
    <t>978-5-378-36241-7</t>
  </si>
  <si>
    <t xml:space="preserve">Снежа ненавидит Новый год. Поэтому ее идеальный план на 31 декабря: мандарины, просмотр фильмов в одиночестве и никаких чудес. Что может быть лучше? Но судьба, как обычно, решила иначе. И теперь в канун Нового года Снежа бегает по городу в костюме Снегурочки и пытается убедить детей в существовании волшебства. А ведь нужно всего ничего: улыбаться, не путаться в тексте и ни в коем случае не влюбляться в своего напарника, обаятельного Деда Мороза. Последняя задачка не из легких. Особенно если он смотрит так, что хочется забыть все слова. Но разве сердце умеет слушаться правил? </t>
  </si>
  <si>
    <t>9785378362417</t>
  </si>
  <si>
    <t>Анита Ферн</t>
  </si>
  <si>
    <t>138х194х17</t>
  </si>
  <si>
    <t>281698</t>
  </si>
  <si>
    <t>СЕРДЦЕ В ПОДАРОК. КБС. Согрей меня поцелуем</t>
  </si>
  <si>
    <t>978-5-378-36238-7</t>
  </si>
  <si>
    <t>Зеленоградск, поздняя осень, серое море и предчувствие праздника, которое Мира не хочет замечать. После тяжелого расставания она переезжает и заводит анонимный блог о новом городе, а позже
запускает проект «Суббота в аренду», чтобы помочь таким же потерянным людям найти компанию перед Новым годом. Среди участников — Глеб, владелец кофейни, который мечтает о любви и заинтригован личностью автора блога. Но Мира скрывает от него свою тайну, боясь, что в реальности она недостаточно хороша.</t>
  </si>
  <si>
    <t>9785378362387</t>
  </si>
  <si>
    <t>Алиса Ют</t>
  </si>
  <si>
    <t>СЕРИЯ: Скетчбук А5 128 стр холодная фольга, кругл.углы 145х203(бумага 80гр)</t>
  </si>
  <si>
    <t>199161</t>
  </si>
  <si>
    <t>Скетчбук. Аниме новогоднее</t>
  </si>
  <si>
    <t>467-0-159-01251-1</t>
  </si>
  <si>
    <t xml:space="preserve">Предновогодняя пора - время создавать чудеса! А творить в наших волшебных скетчбуках из новой лимитированной серии - одно удовольствие. Обложка с авторскими рисунками на тему Нового года и красивым переливающимся мерцанием вдохновит на творчество. Это прекрасный подарок близким и своему внутреннему творцу! </t>
  </si>
  <si>
    <t>4670159012511</t>
  </si>
  <si>
    <t>145х203х12</t>
  </si>
  <si>
    <t>199164</t>
  </si>
  <si>
    <t>Скетчбук. Новогодний котик</t>
  </si>
  <si>
    <t>467-0-159-01254-2</t>
  </si>
  <si>
    <t>4670159012542</t>
  </si>
  <si>
    <t>199162</t>
  </si>
  <si>
    <t>Скетчбук. Новый год</t>
  </si>
  <si>
    <t>467-0-159-01252-8</t>
  </si>
  <si>
    <t>4670159012528</t>
  </si>
  <si>
    <t>СЕРИЯ: СНЕЖИНКИ ДЛЯ ВЫРЕЗАНИЯ 260х260</t>
  </si>
  <si>
    <t>171782</t>
  </si>
  <si>
    <t>СНЕЖИНКИ ДЛЯ ВЫРЕЗАНИЯ. ЗИМНИЕ УЗОРЫ</t>
  </si>
  <si>
    <t>461-0-144-86771-9</t>
  </si>
  <si>
    <t>Эти снежинки - отличный способ украсить дом к Новому году. В каждой брошюре найдётся 12 уникальных дизайнов с красочными узорами. Благодаря им вырезание снежинок станет ещё интереснее. А чтобы процесс проходил просто и увлекательно, на обороте расположена схема-подсказка. "Снежинки для вырезания" помогут весело провести время с ребёнком и подарят праздничное настроение</t>
  </si>
  <si>
    <t>4610144867719</t>
  </si>
  <si>
    <t>260х260х2</t>
  </si>
  <si>
    <t>171780</t>
  </si>
  <si>
    <t>СНЕЖИНКИ ДЛЯ ВЫРЕЗАНИЯ. НОВОГОДНЕЕ ЧУДО</t>
  </si>
  <si>
    <t>461-0-144-86770-2</t>
  </si>
  <si>
    <t>Эти снежинки - отличный способ украсить дом к Новому году. В каждой брошюре найдётся 12 уникальных дизайнов с красочными узорами. Благодаря им вырезание снежинок станет ещё интереснее. А чтобы процесс проходил просто и увлекательно, на обороте расположена схема-подсказка. "Снежинки для вырезания" помогут весело провести время с ребёнком и подарят праздничное настроение.</t>
  </si>
  <si>
    <t>4610144867702</t>
  </si>
  <si>
    <t>СЕРИЯ:НГ БЛОКНОТ ТОЧКАБУК 72л кругл.углы, 7БЦ 145х203 (бумага 100 гр офсет Котлас)</t>
  </si>
  <si>
    <t>172783</t>
  </si>
  <si>
    <t>ТОЧКАБУК. НОВОГОДНЕЕ СЕЛФИ</t>
  </si>
  <si>
    <t>461-0-144-87954-5</t>
  </si>
  <si>
    <t>Точкабук из новогодней коллекции станет отличным новогодним сувениром для любителя канцелярии! Забавные обложки с праздничными персонажами поднимут настроение и настроят на творческий лад. Высокое качество печати, плотная бумага и фиксирующая резинка сделают использование точкабука максимально комфортным.</t>
  </si>
  <si>
    <t>4610144879545</t>
  </si>
  <si>
    <t>172782</t>
  </si>
  <si>
    <t>ТОЧКАБУК. НОВОГОДНИЕ ЗВЕРЯТА</t>
  </si>
  <si>
    <t>461-0-144-87953-8</t>
  </si>
  <si>
    <t>4610144879538</t>
  </si>
  <si>
    <t>СЕРИЯ:НГ ПОЛЕЗНЫЕ НАКЛЕЙКИ глянц.ламин. 205х280</t>
  </si>
  <si>
    <t>065467</t>
  </si>
  <si>
    <t>НОВОГОДНИЕ ПОЛЕЗНЫЕ НАКЛЕЙКИ. ЗИМНИЕ КАНИКУЛЫ</t>
  </si>
  <si>
    <t>978-5-378-27358-4</t>
  </si>
  <si>
    <t>Замечательная серия развивающих брошюр "Полезные наклейки" позволит вашему ребёнку изучить геометрические фигуры и развить мелкую моторику рук в процессе увлекательной игры. Малыш сам сможет дополнить картинку, подобрав соответствующую по форме и цвету наклейку. Темы,представленные в данной серии, интересны каждому ребёнку,который познаёт мир вокруг.</t>
  </si>
  <si>
    <t>9785378273584</t>
  </si>
  <si>
    <t>31.05.2017 0:00:00</t>
  </si>
  <si>
    <t>Полезные наклейки</t>
  </si>
  <si>
    <t>280х205х3</t>
  </si>
  <si>
    <t>1. БРЕНДЫ</t>
  </si>
  <si>
    <t>CЕРИЯ: БРЕНДЫ. ЦК глянц.ламинация 200х260</t>
  </si>
  <si>
    <t>271647</t>
  </si>
  <si>
    <t>ЦК 200х260. АЗБУКА В СТИХАХ (Мастер Витя и Мотор)</t>
  </si>
  <si>
    <t>978-5-378-35969-1</t>
  </si>
  <si>
    <t>Учиться легко и весело с героями любимых мультфильмов «Синий трактор», «ТРИ КОТА», «Турбозавры», «Кошечки-собачки», «Цветняшки» и «Цып-Цып»! Новые книги на картоне увеличенного формата познакомят детей с алфавитом, разными машинами, помогут запомнить новые слова и понятия, а также научат определять и описывать свои эмоции и чувства. Крупные яркие иллюстрации обязательно понравятся малышам, а благодаря картонным страницам книга надолго сохранит аккуратный вид.</t>
  </si>
  <si>
    <t>9785378359691</t>
  </si>
  <si>
    <t>2da4c0f498b81ead7893d63768fbbe97</t>
  </si>
  <si>
    <t>200х260х5</t>
  </si>
  <si>
    <t>271644</t>
  </si>
  <si>
    <t>ЦК 200х260. ВЕСЁЛЫЕ СТИХИ (Кошечки - собачки)</t>
  </si>
  <si>
    <t>978-5-378-35967-7</t>
  </si>
  <si>
    <t>9785378359677</t>
  </si>
  <si>
    <t>Брагинец Наталья Владимировна,Купырина Анна Михайловна</t>
  </si>
  <si>
    <t>f851c016859835435e8ecad9fcb8882e</t>
  </si>
  <si>
    <t>271648</t>
  </si>
  <si>
    <t>ЦК 200х260. ПЕРВАЯ КНИГА МАЛЫША (Три кота)</t>
  </si>
  <si>
    <t>978-5-378-35970-7</t>
  </si>
  <si>
    <t>9785378359707</t>
  </si>
  <si>
    <t>e3202ab349fdd2aa0ccf6d0364dcdd18</t>
  </si>
  <si>
    <t>271649</t>
  </si>
  <si>
    <t>ЦК 200х260. ПЕРВЫЕ СЛОВА (Цып-Цып)</t>
  </si>
  <si>
    <t>978-5-378-35971-4</t>
  </si>
  <si>
    <t>9785378359714</t>
  </si>
  <si>
    <t>cd12190fe051a0209284a732fa06a2a8</t>
  </si>
  <si>
    <t>271646</t>
  </si>
  <si>
    <t>ЦК 200х260. ТРАНСПОРТ (Турбозавры)</t>
  </si>
  <si>
    <t>978-5-378-35968-4</t>
  </si>
  <si>
    <t>9785378359684</t>
  </si>
  <si>
    <t>e839ed3aa01f347c5c74e7ca94ebd73e</t>
  </si>
  <si>
    <t>271652</t>
  </si>
  <si>
    <t>ЦК 200х260. ЭМОЦИИ И ЧУВСТВА (Цветняшки)</t>
  </si>
  <si>
    <t>978-5-378-35972-1</t>
  </si>
  <si>
    <t>9785378359721</t>
  </si>
  <si>
    <t>52a07b1660172c8d3128f754534b1fec</t>
  </si>
  <si>
    <t>CЕРИЯ: ЦК С ВЫРУБКОЙ глянц.ламин. 145х145</t>
  </si>
  <si>
    <t>273308</t>
  </si>
  <si>
    <t>ЦК С ВЫРУБКОЙ 145х145. Важные машины (Турбозавры)</t>
  </si>
  <si>
    <t>978-5-378-36017-8</t>
  </si>
  <si>
    <t>Книжка-картонка - прекрасный способ привить любовь к чтению с самого детства. Яркие иллюстрации с героями популярных мультфильмов, интересные стихи на полезные темы, плотные страницы с вырубкой без острых углов. Малышам точно понравится!</t>
  </si>
  <si>
    <t>9785378360178</t>
  </si>
  <si>
    <t>d37c1e5ac3961908475a39a643c583d0</t>
  </si>
  <si>
    <t>140х145х5</t>
  </si>
  <si>
    <t>273309</t>
  </si>
  <si>
    <t>ЦК С ВЫРУБКОЙ 145х145. Вежливые слова (Цветняшки)</t>
  </si>
  <si>
    <t>978-5-378-36018-5</t>
  </si>
  <si>
    <t>9785378360185</t>
  </si>
  <si>
    <t>65da7ab80ca2b423a5be9b55ee6bf37e</t>
  </si>
  <si>
    <t>273303</t>
  </si>
  <si>
    <t>ЦК С ВЫРУБКОЙ 145х145. Нужные профессии (Мастер Витя и Мотор)</t>
  </si>
  <si>
    <t>978-5-378-36015-4</t>
  </si>
  <si>
    <t>9785378360154</t>
  </si>
  <si>
    <t>eb8b2215f0d944eb89efe72f9032fd31</t>
  </si>
  <si>
    <t>273307</t>
  </si>
  <si>
    <t>ЦК С ВЫРУБКОЙ 145х145. Режим дня (Синий трактор)</t>
  </si>
  <si>
    <t>978-5-378-36016-1</t>
  </si>
  <si>
    <t>9785378360161</t>
  </si>
  <si>
    <t>206a1f0ac769002ffba0480969865a0e</t>
  </si>
  <si>
    <t>CЕРИЯ: ЦК С ВЫРУБКОЙ глянц.ламин. 160х220</t>
  </si>
  <si>
    <t>264378</t>
  </si>
  <si>
    <t>ЦК С ВЫРУБКОЙ. Мир вокруг (Турбозавры)</t>
  </si>
  <si>
    <t>978-5-378-35793-2</t>
  </si>
  <si>
    <t>Представляем новую серию книг на картоне с вырубкой, которая создана для маленьких читателей. На страницах с красочными иллюстрациями и любимыми героями мультфильмов и комиксов их ждут знакомства с алфавитом и счётом, с цветами и формами, с хорошими манерами и фактами о животных, а так же другими важными и интересными темами. Читайте ребёнку, объясняйте значения, и со временем ваш малыш сам начнёт произносить слова, рассказывать об изображенных ситуациях и задавать много-много вопросов. Даже если малыш еще не умеет говорить, ему очень понравится играть с книгой и возвращаться к ней снова и снова. Благодаря толстому картону, устойчивому к повреждениям, книга прослужит долго и займет достойное место в библиотеке малыша.</t>
  </si>
  <si>
    <t>9785378357932</t>
  </si>
  <si>
    <t>88069897c72f665281b72fce25f51a72</t>
  </si>
  <si>
    <t>157х220х5</t>
  </si>
  <si>
    <t>264381</t>
  </si>
  <si>
    <t>ЦК С ВЫРУБКОЙ. Учим буквы с Капибарой</t>
  </si>
  <si>
    <t>978-5-378-35796-3</t>
  </si>
  <si>
    <t>9785378357963</t>
  </si>
  <si>
    <t>d76fdced9fea0949825c4aa6db1a0dfe</t>
  </si>
  <si>
    <t>264382</t>
  </si>
  <si>
    <t>ЦК С ВЫРУБКОЙ. Учим счёт (Синий трактор)</t>
  </si>
  <si>
    <t>978-5-378-35797-0</t>
  </si>
  <si>
    <t>9785378357970</t>
  </si>
  <si>
    <t>0f04fbbdee2d7ca981054b09f36a4da9</t>
  </si>
  <si>
    <t>264376</t>
  </si>
  <si>
    <t>ЦК С ВЫРУБКОЙ. Учим формы (Цветняшки)</t>
  </si>
  <si>
    <t>978-5-378-35792-5</t>
  </si>
  <si>
    <t>9785378357925</t>
  </si>
  <si>
    <t>bacac2a99b22e4b4db4502996b985a3b</t>
  </si>
  <si>
    <t>264383</t>
  </si>
  <si>
    <t>ЦК С ВЫРУБКОЙ. Учим цвета (СУПЕРМЯУ)</t>
  </si>
  <si>
    <t>978-5-378-35798-7</t>
  </si>
  <si>
    <t>9785378357987</t>
  </si>
  <si>
    <t>905632bd9b8d9d07e73da90aae6d464f</t>
  </si>
  <si>
    <t>264380</t>
  </si>
  <si>
    <t>ЦК С ВЫРУБКОЙ. Хорошие манеры (Ми-ми-мишки)</t>
  </si>
  <si>
    <t>978-5-378-35795-6</t>
  </si>
  <si>
    <t>9785378357956</t>
  </si>
  <si>
    <t>e919bb9807ab0320e722dec7016a05fc</t>
  </si>
  <si>
    <t>СЕРИЯ: БРЕНДЫ. КНИГИ НА КАРТОНЕ на гребне 145х145</t>
  </si>
  <si>
    <t>261449</t>
  </si>
  <si>
    <t>КНИГИ НА КАРТОНЕ на гребне 145х145. СЧЁТ. Турбозавры</t>
  </si>
  <si>
    <t>978-5-378-35746-8</t>
  </si>
  <si>
    <t>Учиться легко и весело с героями любимых мультфильмов «ТРИ КОТА», «Турбозавры», «Кошечки-собачки» и «Синий трактор»! Новые яркие книги на гребне познакомят детей с буквами, цифрами, цветами и разными видами транспорта. Благодаря небольшому формату малышам будет удобно держать и листать книгу, а плотный картон и глянцевая ламинация всех страниц позволят надолго сохранить аккуратный вид и сочные цвета.</t>
  </si>
  <si>
    <t>9785378357468</t>
  </si>
  <si>
    <t>ca83963666578446690a425839b50d46</t>
  </si>
  <si>
    <t>148х144х10</t>
  </si>
  <si>
    <t>261448</t>
  </si>
  <si>
    <t>КНИГИ НА КАРТОНЕ на гребне 145х145. ЦВЕТА. Кошечки-собачки</t>
  </si>
  <si>
    <t>978-5-378-35745-1</t>
  </si>
  <si>
    <t>9785378357451</t>
  </si>
  <si>
    <t>48e107726d898bbbe5cd5614d228ab15</t>
  </si>
  <si>
    <t>СЕРИЯ: КОШЕЧКИ-СОБАЧКИ</t>
  </si>
  <si>
    <t>СЕРИЯ: КОШЕЧКИ-СОБАЧКИ. ПРОПИСИ для МАЛЫШЕЙ глянц.ламин. 195х276</t>
  </si>
  <si>
    <t>158837</t>
  </si>
  <si>
    <t>КОШЕЧКИ-СОБАЧКИ. ПРОПИСИ для МАЛЫШЕЙ. ВЕСЁЛЫЕ РИСУНКИ</t>
  </si>
  <si>
    <t>978-5-378-31464-5</t>
  </si>
  <si>
    <t>Встречайте новые яркие и полезные прописи "Кошечки-собачки"! Они научат малышей рисовать различные фигуры и весёлые картинки. В игровой форме ваш ребёнок сможет развить мелкую моторику и подготовиться к письму. Цветные иллюстрации с героями любимого мультфильма превратят занятия в увлекательное развлечение.</t>
  </si>
  <si>
    <t>9785378314645</t>
  </si>
  <si>
    <t>195х275х2</t>
  </si>
  <si>
    <t>158839</t>
  </si>
  <si>
    <t>КОШЕЧКИ-СОБАЧКИ. ПРОПИСИ для МАЛЫШЕЙ. ДЛЯ МАЛЬЧИКОВ</t>
  </si>
  <si>
    <t>978-5-378-31466-9</t>
  </si>
  <si>
    <t>9785378314669</t>
  </si>
  <si>
    <t>158840</t>
  </si>
  <si>
    <t>КОШЕЧКИ-СОБАЧКИ. ПРОПИСИ для МАЛЫШЕЙ. ПЕРВЫЕ КАРТИНКИ</t>
  </si>
  <si>
    <t>978-5-378-31467-6</t>
  </si>
  <si>
    <t>9785378314676</t>
  </si>
  <si>
    <t>СЕРИЯ: СИНИЙ ТРАКТОР</t>
  </si>
  <si>
    <t>CЕРИЯ: СИНИЙ ТРАКТОР. ПОСТРАНИЧНАЯ ВЫРУБКА 150х150</t>
  </si>
  <si>
    <t>240127</t>
  </si>
  <si>
    <t>СИНИЙ ТРАКТОР. ПОСТРАНИЧНАЯ ВЫРУБКА. Домашние животные</t>
  </si>
  <si>
    <t>978-5-378-35186-2</t>
  </si>
  <si>
    <t>Новинка! Постраничные вырубки СИНИЙ ТРАКТОР на самые популярные темы: домашние животные, полезные машинки, цвета и счёт. Яркие иллюстрации и забавные стихи сделают чтение весёлым и увлекательным, а благодаря постраничной вырубке малышам будет интересно рассматривать странички снова и снова. Маленький формат позволит взять книжку с собой, чтобы занять малыша в дороге.</t>
  </si>
  <si>
    <t>9785378351862</t>
  </si>
  <si>
    <t>c20664f6435e4a2f647cd98291a2bacb</t>
  </si>
  <si>
    <t>147х150х6</t>
  </si>
  <si>
    <t>240128</t>
  </si>
  <si>
    <t>СИНИЙ ТРАКТОР. ПОСТРАНИЧНАЯ ВЫРУБКА. Полезные машинки</t>
  </si>
  <si>
    <t>978-5-378-35187-9</t>
  </si>
  <si>
    <t>9785378351879</t>
  </si>
  <si>
    <t>d93e98239bf59d1fa89ad8606b228ca0</t>
  </si>
  <si>
    <t>240129</t>
  </si>
  <si>
    <t>СИНИЙ ТРАКТОР. ПОСТРАНИЧНАЯ ВЫРУБКА. Счёт</t>
  </si>
  <si>
    <t>978-5-378-35188-6</t>
  </si>
  <si>
    <t>9785378351886</t>
  </si>
  <si>
    <t>f219f7f733e2a2f277d5b9786d12b194</t>
  </si>
  <si>
    <t>240131</t>
  </si>
  <si>
    <t>СИНИЙ ТРАКТОР. ПОСТРАНИЧНАЯ ВЫРУБКА. Цвета</t>
  </si>
  <si>
    <t>978-5-378-35189-3</t>
  </si>
  <si>
    <t>9785378351893</t>
  </si>
  <si>
    <t>2bdcea77b473dd7c2cc793d87cfebb7a</t>
  </si>
  <si>
    <t>СЕРИЯ: СИНИЙ ТРАКТОР. 7БЦ глянц.ламин, кругл.углы, офсет 170х220</t>
  </si>
  <si>
    <t>253346</t>
  </si>
  <si>
    <t>СИНИЙ ТРАКТОР. 7БЦ. 500 ПЕРВЫХ СЛОВ МАЛЫША</t>
  </si>
  <si>
    <t>978-5-378-35543-3</t>
  </si>
  <si>
    <t>Дорогой читатель! Ты держишь в руках книгу, которая поможет развить словарный запас и интерес к окружающему миру, познакомит с цветами и счётом, живой и неживой природой, транспортом и предметами быта, профессиями и многими другими темами. Учитесь вместе с любимыми героями мультфильма «Синий Трактор»!</t>
  </si>
  <si>
    <t>9785378355433</t>
  </si>
  <si>
    <t>под ред. Черкашина Александра</t>
  </si>
  <si>
    <t>62f01bd0a7a949b06963354ccc8cc0c0</t>
  </si>
  <si>
    <t>170x220x8</t>
  </si>
  <si>
    <t>245242</t>
  </si>
  <si>
    <t>СИНИЙ ТРАКТОР. 7БЦ. ВЕСЁЛЫЕ ПЕСЕНКИ И ИСТОРИИ</t>
  </si>
  <si>
    <t>978-5-378-35339-2</t>
  </si>
  <si>
    <t>На страницах этой книги малыши и их родители найдут хорошо знакомые песенки из мультфильма, а также новые истории о необычных приключениях Синего Трактора. Читайте и подпевайте вместе с любимыми героями!</t>
  </si>
  <si>
    <t>9785378353392</t>
  </si>
  <si>
    <t>Васягина Веста Анатольевна</t>
  </si>
  <si>
    <t>78310dec859bcd6c8819d55080de2423</t>
  </si>
  <si>
    <t>25.12.2024 0:00:00</t>
  </si>
  <si>
    <t>170x220x9</t>
  </si>
  <si>
    <t>245239</t>
  </si>
  <si>
    <t>СИНИЙ ТРАКТОР. 7БЦ. МОИ ЛЮБИМЫЕ СКАЗКИ</t>
  </si>
  <si>
    <t>978-5-378-35336-1</t>
  </si>
  <si>
    <t>На страницах этой книги малыши и их родители найдут хорошо знакомые сказки, а также увлекательные задания от Синего Трактора. Читайте, размышляйте и отвечайте на вопросы вместе с любимыми героями!</t>
  </si>
  <si>
    <t>9785378353361</t>
  </si>
  <si>
    <t>под ред.Брагинец Наталья</t>
  </si>
  <si>
    <t>f73c25f83f629100a538d9e25bd68524</t>
  </si>
  <si>
    <t>13.01.2025 0:00:00</t>
  </si>
  <si>
    <t>245241</t>
  </si>
  <si>
    <t>СИНИЙ ТРАКТОР. 7БЦ. МОЯ ПЕРВАЯ ЭНЦИКЛОПЕДИЯ</t>
  </si>
  <si>
    <t>978-5-378-35338-5</t>
  </si>
  <si>
    <t>Учиться с любимыми героями мультфильма «Синий Трактор» весело и увлекательно! Скорее открывай книгу и каждый день узнавай что-то новое и интересное о животных, транспорте, профессиях и многом другом.</t>
  </si>
  <si>
    <t>9785378353385</t>
  </si>
  <si>
    <t>под ред. Брагинец Наталья</t>
  </si>
  <si>
    <t>1797d0b6737b402d1de963892ff6a035</t>
  </si>
  <si>
    <t>245240</t>
  </si>
  <si>
    <t>СИНИЙ ТРАКТОР. 7БЦ. ПЕРВАЯ КНИГА МАЛЫША</t>
  </si>
  <si>
    <t>978-5-378-35337-8</t>
  </si>
  <si>
    <t>Учиться с любимыми героями мультфильма «Синий Трактор» весело и увлекательно! Скорее открывай книгу и каждый день узнавай новые слова: названия животных и растений, разных видов транспорта, предметов одежды и многое другое.</t>
  </si>
  <si>
    <t>9785378353378</t>
  </si>
  <si>
    <t>ред. Брагинец Наталья</t>
  </si>
  <si>
    <t>3ad1812849b0ae220205971d962cda92</t>
  </si>
  <si>
    <t>СЕРИЯ: СИНИЙ ТРАКТОР. 7БЦ глянц.ламин, офсет 203х257</t>
  </si>
  <si>
    <t>263054</t>
  </si>
  <si>
    <t>СИНИЙ ТРАКТОР. 7БЦ. ВСЕ ПЕСЕНКИ СИНЕГО ТРАКТОРА</t>
  </si>
  <si>
    <t>978-5-378-35769-7</t>
  </si>
  <si>
    <t>На страницах этой книги малышей ждут весёлые и познавательные песенки про цвета и цифры, животных и птиц, фрукты, овощи, транспорт и многое другое. Читайте и подпевайте вместе с Синим Трактором, профессором, забавными зверятами и машинками из любимого мультфильма!</t>
  </si>
  <si>
    <t>9785378357697</t>
  </si>
  <si>
    <t>817adec89ec7892877e62ea95a1f4305</t>
  </si>
  <si>
    <t>203х256х15</t>
  </si>
  <si>
    <t>СЕРИЯ: СИНИЙ ТРАКТОР. ПЕРВЫЙ КОМИКС глянц.ламин, офсет 170х220</t>
  </si>
  <si>
    <t>256217</t>
  </si>
  <si>
    <t>ПЕРВЫЙ КОМИКС. Весёлые приключения Синего Трактора</t>
  </si>
  <si>
    <t>978-5-378-35638-6</t>
  </si>
  <si>
    <t xml:space="preserve">«Первые комиксы» созданы для малышей, которые только начинают знакомство с увлекательным миром книг. Читайте вместе с детьми добрые и весёлые истории в картинках о приключениях синего трактора и его друзей. Любимые герои, забавные иллюстрации и простые тексты помогут заинтересовать чтением маленьких непосед. </t>
  </si>
  <si>
    <t>9785378356386</t>
  </si>
  <si>
    <t>адаптация Васягиной Весты Анатольевны</t>
  </si>
  <si>
    <t>74739cc543c37b9872d3bbd14574f03d</t>
  </si>
  <si>
    <t>170х220х6</t>
  </si>
  <si>
    <t>2. МАКСИ РАСКРАСКИ</t>
  </si>
  <si>
    <t>CEРИЯ: МАКСИ-РАСКРАСКА с наклейками, перфорация 340х485 (бумага 100гр)</t>
  </si>
  <si>
    <t>194023</t>
  </si>
  <si>
    <t>МАКСИ-РАСКРАСКА с наклейками. ВОЛШЕБНАЯ СТРАНА</t>
  </si>
  <si>
    <t>978-5-378-34027-9</t>
  </si>
  <si>
    <t>Новые MAXI-раскраски стали ещё лучше! Ведь теперь в них есть ещё и MAXI-наклейки! Яркие обложки, интересные сюжеты и милые персонажи вызовут восторг у ребёнка. А благодаря перфорированным листам и твёрдой основе раскраска очень удобна в использовании.</t>
  </si>
  <si>
    <t>9785378340279</t>
  </si>
  <si>
    <t>340х485х5</t>
  </si>
  <si>
    <t>194021</t>
  </si>
  <si>
    <t>МАКСИ-РАСКРАСКА с наклейками. ДИНОЗАВРЫ</t>
  </si>
  <si>
    <t>978-5-378-34030-9</t>
  </si>
  <si>
    <t>9785378340309</t>
  </si>
  <si>
    <t>216533</t>
  </si>
  <si>
    <t>МАКСИ-РАСКРАСКА с наклейками. КАВАЙИ</t>
  </si>
  <si>
    <t>978-5-378-34522-9</t>
  </si>
  <si>
    <t xml:space="preserve">Представляем новую MAXI-раскраску в стиле японского направления кавайи! Милые герои и предметы непременно понравятся юному художнику.  Благодаря твердой основе удобно творить даже на полу, а еще легко отделить рисунок, аккуратно вырвав лист по линии перфорации. Но самое главное — внутри целых 150 наклеек! С ними так просто придумать собственный дизайн открыток, а также украсить блокнот или альбом. </t>
  </si>
  <si>
    <t>9785378345229</t>
  </si>
  <si>
    <t>8181377b12d4470e6d162a2ef3d2b4ee</t>
  </si>
  <si>
    <t>201325</t>
  </si>
  <si>
    <t>МАКСИ-РАСКРАСКА с наклейками. КОТИКИ И СОБАЧКИ</t>
  </si>
  <si>
    <t>978-5-378-34213-6</t>
  </si>
  <si>
    <t>9785378342136</t>
  </si>
  <si>
    <t>194024</t>
  </si>
  <si>
    <t>МАКСИ-РАСКРАСКА с наклейками. МИЛЫЕ ЗВЕРУШКИ</t>
  </si>
  <si>
    <t>978-5-378-34028-6</t>
  </si>
  <si>
    <t>9785378340286</t>
  </si>
  <si>
    <t>201326</t>
  </si>
  <si>
    <t>МАКСИ-РАСКРАСКА с наклейками. НЯШКИ</t>
  </si>
  <si>
    <t>978-5-378-34212-9</t>
  </si>
  <si>
    <t>9785378342129</t>
  </si>
  <si>
    <t>CEРИЯ: МАКСИ-РАСКРАСКА с перфорацией 325х485 (бумага 100гр)</t>
  </si>
  <si>
    <t>190390</t>
  </si>
  <si>
    <t>МАКСИ-ПОСТЕР. ТРИ КОТА И МОРЕ ПРИКЛЮЧЕНИЙ</t>
  </si>
  <si>
    <t>978-5-378-33905-1</t>
  </si>
  <si>
    <t xml:space="preserve">Премьера сезона! Представляем новую MAXI-раскраску с сюжетами из полнометражного фильма «Три кота и море приключений»: окунись в лето вместе с Компотом, Коржиком и Карамелькой! Размер имеет значение, ведь самым юным художникам проще раскрашивать крупные элементы. Кроме того, благодаря твердой основе удобно творить даже на полу, а еще, чтобы картину легко было вырвать, а после украсить ею комнату или подарить, у основания листа предусмотрена перфорация. </t>
  </si>
  <si>
    <t>9785378339051</t>
  </si>
  <si>
    <t>Макси-раскраска 340х485</t>
  </si>
  <si>
    <t>121996</t>
  </si>
  <si>
    <t>МАКСИ-ПОСТЕР. ТРИ КОТА. ЛЕТО</t>
  </si>
  <si>
    <t>978-5-378-29283-7</t>
  </si>
  <si>
    <t>Новые MAXI-раскраски вызовут восторг у каждого ребёнка своим нестандартным форматом и крупными изображениями любимых героев. А благодаря перфорированным листам и твёрдой основе раскраска очень удобна в использовании.</t>
  </si>
  <si>
    <t>9785378292837</t>
  </si>
  <si>
    <t>173054</t>
  </si>
  <si>
    <t>МАКСИ-РАСКРАСКА. БОЛЬШИЕ МАШИНЫ</t>
  </si>
  <si>
    <t>978-5-378-32403-3</t>
  </si>
  <si>
    <t>На страницах новой MAXI-раскраски мальчишек ждут самые разные большие машины: трактор, лесовоз, автовышка, внедорожник и многие другие!  Крупные иллюстрации деталей точно понравятся юным художникам! Благодаря перфорированным листам и твёрдой основе раскраска очень удобна в использовании.</t>
  </si>
  <si>
    <t>9785378324033</t>
  </si>
  <si>
    <t>233224</t>
  </si>
  <si>
    <t>МАКСИ-РАСКРАСКА. В МИРЕ ИГР</t>
  </si>
  <si>
    <t>978-5-378-34886-2</t>
  </si>
  <si>
    <t>9785378348862</t>
  </si>
  <si>
    <t>081631</t>
  </si>
  <si>
    <t>МАКСИ-РАСКРАСКА. ВОЛШЕБНАЯ СТРАНА</t>
  </si>
  <si>
    <t>978-5-378-28365-1</t>
  </si>
  <si>
    <t>9785378283651</t>
  </si>
  <si>
    <t>17.04.2018 0:00:00</t>
  </si>
  <si>
    <t>CЕРИЯ: ВОДНАЯ МАКСИ-РАСКРАСКА 340х485 (бумага 160гр)</t>
  </si>
  <si>
    <t>216439</t>
  </si>
  <si>
    <t>ВОДНАЯ МАКСИ-РАСКРАСКА. ВОЛШЕБНЫЙ МИР</t>
  </si>
  <si>
    <t>978-5-378-34518-2</t>
  </si>
  <si>
    <t>Необычные водные раскраски увеличенного формата станут отличным сюрпризом для малышей. Для раскрашивания не нужны карандаши и гуашь. Достаточно окунуть кисточку в воду, провести по странице, и она преобразится яркими цветами. Благодаря высокой плотности листов, бумага не размокнет. Иллюстрации находятся с одной стороны листа, а перфорация позволит аккуратно оторвать страницу, чтобы повесить детский рисунок как картину.</t>
  </si>
  <si>
    <t>9785378345182</t>
  </si>
  <si>
    <t>340х485х4</t>
  </si>
  <si>
    <t>200918</t>
  </si>
  <si>
    <t>ВОДНАЯ МАКСИ-РАСКРАСКА. ДИНОЗАВРЫ</t>
  </si>
  <si>
    <t>978-5-378-34190-0</t>
  </si>
  <si>
    <t>9785378341900</t>
  </si>
  <si>
    <t>273300</t>
  </si>
  <si>
    <t>ВОДНАЯ МАКСИ-РАСКРАСКА. КОТЭ</t>
  </si>
  <si>
    <t>978-5-378-36039-0</t>
  </si>
  <si>
    <t>Представляем новую раскраску с героями популярного мультсериала «КОТЭ». Карандаши, фломастеры и краски – в сторону! Возьми стакан с водой, намочи кисточку и проведи ею по листу – ты увидишь, как оживают картинки!</t>
  </si>
  <si>
    <t>9785378360390</t>
  </si>
  <si>
    <t>c2ebabd079e7941cd512db1cafa95d85</t>
  </si>
  <si>
    <t>230518</t>
  </si>
  <si>
    <t>ВОДНАЯ МАКСИ-РАСКРАСКА. МИ-МИ-МИШКИ</t>
  </si>
  <si>
    <t>978-5-378-34769-8</t>
  </si>
  <si>
    <t>9785378347698</t>
  </si>
  <si>
    <t>d0b224e5ab6d87c86091eed5eab340b2</t>
  </si>
  <si>
    <t>264369</t>
  </si>
  <si>
    <t>ВОДНАЯ МАКСИ-РАСКРАСКА. ЦВЕТНЯШКИ</t>
  </si>
  <si>
    <t>978-5-378-35827-4</t>
  </si>
  <si>
    <t>Представляем новую раскраску с героями популярного мультсериала «Цветняшки». Карандаши, фломастеры и краски – в сторону! Возьми стакан с водой, намочи кисточку и проведи ею по листу – ты увидишь, как оживают картинки!</t>
  </si>
  <si>
    <t>9785378358274</t>
  </si>
  <si>
    <t>273301</t>
  </si>
  <si>
    <t>ВОДНАЯ МАКСИ-РАСКРАСКА. ЦЫП-ЦЫП</t>
  </si>
  <si>
    <t>978-5-378-36040-6</t>
  </si>
  <si>
    <t>Представляем новую раскраску с героями популярного мультсериала «Цып-Цып». Карандаши, фломастеры и краски – в сторону! Возьми стакан с водой, намочи кисточку и проведи ею по листу – ты увидишь, как оживают картинки!</t>
  </si>
  <si>
    <t>9785378360406</t>
  </si>
  <si>
    <t>CЕРИЯ: КАРТИНЫ для раскрашивания по номерам. 340х485 (бумага 150гр)</t>
  </si>
  <si>
    <t>181514</t>
  </si>
  <si>
    <t xml:space="preserve">РАСКРАСКА по номерам. МИР ДИНОЗАВРОВ (МАКСИ) </t>
  </si>
  <si>
    <t>978-5-378-33288-5</t>
  </si>
  <si>
    <t>Картины по номерам помогут вам попробовать себя в роли художника. Раскрашивание по номерам развивает художественный вкус, аккуратность и усидчивость. Яркие цвета и отличные сюжеты помогут вам почувствовать себя настоящими мастерами кисти, профессионалами, мастерски подбирающими цвета и наполняющими смыслом безликие рисунки.</t>
  </si>
  <si>
    <t>9785378332885</t>
  </si>
  <si>
    <t>Картон</t>
  </si>
  <si>
    <t>CЕРИЯ: КАРТИНЫ ПО НОМЕРАМ альбом, мат.ламин. 400х322 (бумага 150гр)</t>
  </si>
  <si>
    <t>206297</t>
  </si>
  <si>
    <t>КАРТИНЫ ПО НОМЕРАМ. АНИМЕ</t>
  </si>
  <si>
    <t>978-5-378-34278-5</t>
  </si>
  <si>
    <t>С картинами для раскрашивания по номерам время пролетит незаметно! Процесс подбора цветов, смешивания красок, концентрация на творчестве позволит вам отвлечься от повседневных забот, суеты и окунуться в мир прекрасного. Плотные белые листы с перфорацией, разнообразные сюжеты, отличное качество печати – всё это делает покупку очень приятной.</t>
  </si>
  <si>
    <t>9785378342785</t>
  </si>
  <si>
    <t>400x322x5</t>
  </si>
  <si>
    <t>169863</t>
  </si>
  <si>
    <t>КАРТИНЫ ПО НОМЕРАМ. ВДОХНОВЕНИЕ</t>
  </si>
  <si>
    <t>978-5-378-32065-3</t>
  </si>
  <si>
    <t>9785378320653</t>
  </si>
  <si>
    <t>169862</t>
  </si>
  <si>
    <t>КАРТИНЫ ПО НОМЕРАМ. ЖИВОТНЫЕ</t>
  </si>
  <si>
    <t>978-5-378-32064-6</t>
  </si>
  <si>
    <t>9785378320646</t>
  </si>
  <si>
    <t>206294</t>
  </si>
  <si>
    <t>КАРТИНЫ ПО НОМЕРАМ. МИРОВЫЕ ШЕДЕВРЫ</t>
  </si>
  <si>
    <t>978-5-378-34277-8</t>
  </si>
  <si>
    <t>9785378342778</t>
  </si>
  <si>
    <t>208714</t>
  </si>
  <si>
    <t>КАРТИНЫ ПО НОМЕРАМ. РОМАНТИКА</t>
  </si>
  <si>
    <t>978-5-378-34346-1</t>
  </si>
  <si>
    <t xml:space="preserve">9785378343461 </t>
  </si>
  <si>
    <t>233220</t>
  </si>
  <si>
    <t>КАРТИНЫ ПО НОМЕРАМ. РОМАНТИКА В АНИМЕ</t>
  </si>
  <si>
    <t>978-5-378-34915-9</t>
  </si>
  <si>
    <t>9785378349159</t>
  </si>
  <si>
    <t>3. ВСЕЛЕННАЯ ГЕРОЕВ ПРОФ-ПРЕССА</t>
  </si>
  <si>
    <t>Динозаврик Макс</t>
  </si>
  <si>
    <t>CЕРИЯ: ПРОПИСИ с динозавриком МАКСОМ картон.обл, глянц.ламин. 195х276</t>
  </si>
  <si>
    <t>190344</t>
  </si>
  <si>
    <t>ПРОПИСИ с динозавриком Максом. ГОТОВИМ РУКУ К ПИСЬМУ</t>
  </si>
  <si>
    <t>978-5-378-33859-7</t>
  </si>
  <si>
    <t>Новая серия прописей для малышей с забавным динозавриком Максом поможет подготовить руку к письму. Палочки, крючочки, картинки, буквы и цифры... и яркие герои. Скучать точно не придётся!</t>
  </si>
  <si>
    <t>9785378338597</t>
  </si>
  <si>
    <t>195х276х2</t>
  </si>
  <si>
    <t>190345</t>
  </si>
  <si>
    <t>ПРОПИСИ с динозавриком Максом. ПИШЕМ БУКВЫ И ЦИФРЫ</t>
  </si>
  <si>
    <t>978-5-378-33860-3</t>
  </si>
  <si>
    <t>9785378338603</t>
  </si>
  <si>
    <t>190342</t>
  </si>
  <si>
    <t>ПРОПИСИ с динозавриком Максом. РИСУЕМ УЗОРЫ И ФИГУРЫ</t>
  </si>
  <si>
    <t>978-5-378-33857-3</t>
  </si>
  <si>
    <t>9785378338573</t>
  </si>
  <si>
    <t>190343</t>
  </si>
  <si>
    <t>ПРОПИСИ с динозавриком Максом. УЧИМСЯ ОБВОДИТЬ</t>
  </si>
  <si>
    <t>978-5-378-33858-0</t>
  </si>
  <si>
    <t>9785378338580</t>
  </si>
  <si>
    <t>СЕРИЯ: УМНЫЕ РАСКРАСКИ С ДИНОЗАВРИКОМ МАКСОМ  глянц.ламин, картон.обл 195х276</t>
  </si>
  <si>
    <t>193298</t>
  </si>
  <si>
    <t>УМНЫЕ РАСКРАСКИ С ДИНОЗАВРИКОМ МАКСОМ. ИГРАЕМ И РИСУЕМ</t>
  </si>
  <si>
    <t>978-5-378-33934-1</t>
  </si>
  <si>
    <t>Дети любят рисовать и раскрашивать, а эти яркие раскраски с милым и забавным динозавриком Максом ещё и полезные! С серией брошюр по 16 страниц ребёнок не только проведёт интересно время, но и научится новому, выполняя задания с различной тематикой. В серию входят раскраски: "Развиваем креативность", "Решаем примеры", "Играем и рисуем", "Раскрашиваем по номерам", они подойдут как в подарок ребёнку, так и для занятий в детском саду.</t>
  </si>
  <si>
    <t>9785378339341</t>
  </si>
  <si>
    <t>193299</t>
  </si>
  <si>
    <t>УМНЫЕ РАСКРАСКИ С ДИНОЗАВРИКОМ МАКСОМ. РАЗВИВАЕМ КРЕАТИВНОСТЬ</t>
  </si>
  <si>
    <t>978-5-378-33935-8</t>
  </si>
  <si>
    <t>9785378339358</t>
  </si>
  <si>
    <t>193296</t>
  </si>
  <si>
    <t>УМНЫЕ РАСКРАСКИ С ДИНОЗАВРИКОМ МАКСОМ. РЕШАЕМ ПРИМЕРЫ</t>
  </si>
  <si>
    <t>978-5-378-33932-7</t>
  </si>
  <si>
    <t>9785378339327</t>
  </si>
  <si>
    <t>Книги для чтения</t>
  </si>
  <si>
    <t>185072</t>
  </si>
  <si>
    <t>АЗБУКА ДИНОЗАВРИКА МАКСА глянц.ламин. мелов.бум. 215х290</t>
  </si>
  <si>
    <t>978-5-378-33540-4</t>
  </si>
  <si>
    <t xml:space="preserve">Учить алфавит с динозавриком Максом легко и весело! Представляем новую азбуку с любимым героем, в которой он доступно знакомит с буквами и приводит примеры соответствующих слов. </t>
  </si>
  <si>
    <t>9785378335404</t>
  </si>
  <si>
    <t>109743</t>
  </si>
  <si>
    <t>ДАША УЧИТСЯ ЗАСЫПАТЬ глянц.ламин.обл, офсет  215х290</t>
  </si>
  <si>
    <t>978-5-378-29207-3</t>
  </si>
  <si>
    <t>Как заснуть, если спать совсем не хочется? В этой книге озорная непоседа Даша узнает несколько полезных советов о том, как вечером быстро настроиться на сон, а утром проснуться бодрой и весёлой!</t>
  </si>
  <si>
    <t>9785378292073</t>
  </si>
  <si>
    <t>116863</t>
  </si>
  <si>
    <t>ПАНДОЧКА И ПАПИН ПОДАРОК, или как провести день без телефона глянц.ламин.обл. офсет  215х290</t>
  </si>
  <si>
    <t>978-5-378-29567-8</t>
  </si>
  <si>
    <t>Маленькая Пандочка, как и многие другие дети, очень хотела себе телефон. И когда она получила заветный подарок, малышка не могла с ним расстаться... Возможно, подобная ситуация знакома многим...Эта книга будет полезна как детям, так и их родителям, и расскажет, что ни один гаджет не сможет заменить общения с близкими людьми.</t>
  </si>
  <si>
    <t>9785378295678</t>
  </si>
  <si>
    <t>Грецкая Анастасия Николаевна</t>
  </si>
  <si>
    <t>Котёнок Пух</t>
  </si>
  <si>
    <t>СЕРИЯ: ПРОПИСИ КОТЁНКА ПУХА глянц.ламин, картон.обл. 195х276</t>
  </si>
  <si>
    <t>152575</t>
  </si>
  <si>
    <t>ПРОПИСИ КОТЁНКА ПУХА. ГОТОВИМ РУКУ К ПИСЬМУ</t>
  </si>
  <si>
    <t>978-5-378-31065-4</t>
  </si>
  <si>
    <t>Новые прописи помогут малышу подготовить руку к письму, развить внимание и аккуратность, а иллюстрации с милым котёнком Пухом сделают процесс рисования интересным и нескучным!</t>
  </si>
  <si>
    <t>9785378310654</t>
  </si>
  <si>
    <t>556e1896040b368b19227dc1f112c0bf</t>
  </si>
  <si>
    <t>195х276х3</t>
  </si>
  <si>
    <t>152576</t>
  </si>
  <si>
    <t>ПРОПИСИ КОТЁНКА ПУХА. РАЗВИВАЕМ МЕЛКУЮ МОТОРИКУ</t>
  </si>
  <si>
    <t>978-5-378-31068-5</t>
  </si>
  <si>
    <t>9785378310685</t>
  </si>
  <si>
    <t>77ee7f9e6abcd45874179ffbee488241</t>
  </si>
  <si>
    <t>СЕРИЯ: РАЗВИВАЕМСЯ С ПУХОМ глянц.ламин. картон.обл. 195х276</t>
  </si>
  <si>
    <t>185009</t>
  </si>
  <si>
    <t>РАЗВИВАЕМСЯ С ПУХОМ. Задачки котёнка Пуха</t>
  </si>
  <si>
    <t>978-5-378-33519-0</t>
  </si>
  <si>
    <t>Серия из четырёх развивающих брошюр для полезного времяпрепровождения. Дети вместе с любимыми героями окунутся в яркий увлекательный мир кроссвордов, головоломок, игр и заданий для памяти, внимания и мышления.</t>
  </si>
  <si>
    <t>9785378335190</t>
  </si>
  <si>
    <t>92370ee7f4ca9008950b280d489a6cac</t>
  </si>
  <si>
    <t>185007</t>
  </si>
  <si>
    <t>РАЗВИВАЕМСЯ С ПУХОМ. Кроссворды котёнка Пуха</t>
  </si>
  <si>
    <t>978-5-378-33517-6</t>
  </si>
  <si>
    <t>9785378335176</t>
  </si>
  <si>
    <t>ab117d3bbd27bef19b9f09d4e3534f9e</t>
  </si>
  <si>
    <t>Лучший для Мамы. Летучий мышонок Юрик</t>
  </si>
  <si>
    <t>190385</t>
  </si>
  <si>
    <t>ЛУЧШИЙ ДЛЯ МАМЫ мат.ламин.обл. выб.лак, тиснение, офсет 203х257</t>
  </si>
  <si>
    <t>978-5-378-33907-5</t>
  </si>
  <si>
    <t xml:space="preserve">Летучий мышонок Юрик - большой озорник! Он очень переживает, что плохо себя ведёт и мама любит его не так сильно, как остальных братьев и сестёр... Но так ли это? История, написанная с юмором и большой теплотой, идеально подходит для первого чтения с ребёнком. </t>
  </si>
  <si>
    <t>9785378339075</t>
  </si>
  <si>
    <t>08988caa0bf412dd6dd3369984205dbd</t>
  </si>
  <si>
    <t>200х240х7</t>
  </si>
  <si>
    <t>270083</t>
  </si>
  <si>
    <t>ЛУЧШИЙ ДЛЯ МАМЫ. КОГДА ЛЮБОВЬ ЛЕЧИТ мат.ламин.обл. выб.лак, тиснение, офсет 203х257</t>
  </si>
  <si>
    <t>978-5-378-35990-5</t>
  </si>
  <si>
    <t>Однажды мама летучих мышат - Юрика, Шурика, Рюрика и Юли - простудилась. Но как её вылечить? Возможно, поможет волшебный отвар. Но есть лекарство сильнее...</t>
  </si>
  <si>
    <t>9785378359905</t>
  </si>
  <si>
    <t>f18e7444c70721ffc82afb5b26c37fd7</t>
  </si>
  <si>
    <t>203х257х10</t>
  </si>
  <si>
    <t>275023</t>
  </si>
  <si>
    <t>ЛУЧШИЙ ДЛЯ МАМЫ. ЛЕТУЧИЙ МЫШОНОК ЮРИК И ВСЕ-ВСЕ-ВСЕ мат.ламин.обл. выб.лак, тиснение, офсет 203х257</t>
  </si>
  <si>
    <t>978-5-378-36075-8</t>
  </si>
  <si>
    <t>Летучий мышонок Юрик – неугомонный озорник и непоседа! В книге представлены все истории о невероятно милом герое, которые учат добру и безусловной любви к близким.</t>
  </si>
  <si>
    <t>9785378360758</t>
  </si>
  <si>
    <t>fea5d8f972f0329f4b2a7073a8dcfde9</t>
  </si>
  <si>
    <t>Трактор Вик</t>
  </si>
  <si>
    <t xml:space="preserve">СЕРИЯ: Книги 7БЦ Трактор Вик </t>
  </si>
  <si>
    <t>267396</t>
  </si>
  <si>
    <t>БОЛЬШАЯ КНИГА ПРИКЛЮЧЕНИЙ ТРАКТОРА ВИКА мат.ламин + выб лак, офсет.  203х257</t>
  </si>
  <si>
    <t>978-5-378-35917-2</t>
  </si>
  <si>
    <t>Все истории про любимого героя в одной книге! Жизнь маленького трактора Вика полна невероятных событий. Он обошёл всех соперников в крутых гонках, поборол пожар на фермерской ярмарке и спас от гибели лес и его обитателей. Но ничего бы не получилось без поддержки самых близких - семьи и верных друзей.</t>
  </si>
  <si>
    <t>9785378359172</t>
  </si>
  <si>
    <t>3e2dbc88368ce621dad72091a186a5e5</t>
  </si>
  <si>
    <t>203х257х13</t>
  </si>
  <si>
    <t>176643</t>
  </si>
  <si>
    <t>ТРАКТОР ВИК И БОЛЬШАЯ ГОНКА мат.ламин, выб.лак, офсет.  230х230</t>
  </si>
  <si>
    <t>978-5-378-32895-6</t>
  </si>
  <si>
    <t>Это Вик! С одной стороны он совершенно обыкновенный трактор, который живет и работает на ферме со своей семьёй. Но с другой стороны...Он всем своим мотором любит гонки и мечтает поучаствовать в соревнованиях тракторов. Упорные тренировки, вера в себя и, конечно же, поддержка семьи и друзей непременно помогут ему прийти к своей цели!</t>
  </si>
  <si>
    <t>9785378328956</t>
  </si>
  <si>
    <t>82d4cdf6695adf6cd6fd1fd4ab08ba9d</t>
  </si>
  <si>
    <t>230x230x6</t>
  </si>
  <si>
    <t>232089</t>
  </si>
  <si>
    <t>ТРАКТОР ВИК И ЕГО КОМАНДА СПАСАЮТ ЛЕС мат.ламин, выб.лак, офсет.  230х230</t>
  </si>
  <si>
    <t>978-5-378-34848-0</t>
  </si>
  <si>
    <t xml:space="preserve">Еще более захватывающий сюжет в новой книге о приключениях любимых героев!  На этот раз трактор Вик вместе с дружной командой должны освободить русло реки от поваленного дерева и спасти лес от неминуемой гибели. </t>
  </si>
  <si>
    <t>9785378348480</t>
  </si>
  <si>
    <t>1b7887b41347aadf3a9d6f5e6f53bf85</t>
  </si>
  <si>
    <t>204770</t>
  </si>
  <si>
    <t>ТРАКТОР ВИК И ЕГО ПОЖАРНАЯ КОМАНДА мат.ламин, выб.лак, офсет.  230х230</t>
  </si>
  <si>
    <t>978-5-378-34260-0</t>
  </si>
  <si>
    <t xml:space="preserve">Трактор Вик возвращается с новой захватывающей историей о смелости, преданности своему делу и, конечно же, дружбе. 
В новой книге герою придется найти общий язык со своим главным соперником, чтобы предотвратить беду. И кто бы мог подумать, что с тех пор они станут добрыми друзьями! </t>
  </si>
  <si>
    <t>9785378342600</t>
  </si>
  <si>
    <t>f48178d1c645960263efe448d61bd5ef</t>
  </si>
  <si>
    <t>4. КНИГИ НА РАЗНЫХ ЯЗЫКАХ</t>
  </si>
  <si>
    <t>КНИГИ НА АНГЛИЙСКОМ глянц.ламин. тв.обл.</t>
  </si>
  <si>
    <t>183392</t>
  </si>
  <si>
    <t>Fiction on afflictions (Стори про хвори, офсет 215х280)</t>
  </si>
  <si>
    <t>978-5-378-33410-0</t>
  </si>
  <si>
    <t>Хотите не просто совершенствовать английский язык, но и расширять кругозор? Представляем вам мини-энциклопедию о болезнях Fiction on afflictions. Кто заразил броненосцев проказой, почему до начала 20 века романтизировали туберкулёз, сколько стоит самое дорогое лекарство в мире, в какой стране девушек откармливают, чтобы «подогнать» под местные каноны красоты – об этих и других любопытных фактах вы узнаете из нашей новой книги, если ваш уровень английского не ниже Intermediate. Пополняйте свой багаж знаний и делитесь открытиями с друзьями и близкими! Entertaining reading!</t>
  </si>
  <si>
    <t>9785378334100</t>
  </si>
  <si>
    <t>Гринина Ольга Александровна</t>
  </si>
  <si>
    <t>215х280х5</t>
  </si>
  <si>
    <t>185073</t>
  </si>
  <si>
    <t>How Max beat waterpox (Как Макс ветрянку победил, мелов. 215х290)</t>
  </si>
  <si>
    <t>978-5-378-33541-1</t>
  </si>
  <si>
    <t xml:space="preserve">Всем знакомая фраза «Чтение – лучшее учение» как никогда справедлива, если речь об изучении иностранного языка. Не только закрепить базовый уровень английского, но и совершенствовать его помогут наши новые книги с добрыми сказками об отзывчивом муравье Матвее, дружелюбной акуле Миле, азартном тракторе Вике и маленьком динозаврике Максе, который заболел ветрянкой. Растите полиглотов, повышайте уровень английского языка с издательством «Проф-Пресс»!  </t>
  </si>
  <si>
    <t>9785378335411</t>
  </si>
  <si>
    <t>124082</t>
  </si>
  <si>
    <t xml:space="preserve">Kitten Fluffy and Tooth fairy (Котёнок Пух и Зубная фея, мелов. 200х240) </t>
  </si>
  <si>
    <t>978-5-378-29860-0</t>
  </si>
  <si>
    <t>Обучение иностранному языку проходит гораздо успешнее, если сопровождать его интересными и красочными историями. Полюбившиеся многим серии книг о маленькой панде, динозаврике Максе, лисичке Даше и котёнке Пухе переведены на английский, чтобы ваш ребёнок мог практиковать навык чтения и разговорной речи. В этом ему помогут яркие иллюстрации и крупный понятный шрифт. Читайте и развивайтесь с удовольствием!</t>
  </si>
  <si>
    <t>9785378298600</t>
  </si>
  <si>
    <t>da96f444a40e844f509c8092cab39d3e</t>
  </si>
  <si>
    <t>200х240х5</t>
  </si>
  <si>
    <t>124081</t>
  </si>
  <si>
    <t>Kitten Fluffy learns to be a good friend (Котёнок Пух учится дружить, мелов. 200х240)</t>
  </si>
  <si>
    <t>978-5-378-29861-7</t>
  </si>
  <si>
    <t>9785378298617</t>
  </si>
  <si>
    <t>4bd98499d8ebfd8e5452a9361052ac3f</t>
  </si>
  <si>
    <t>124076</t>
  </si>
  <si>
    <t>The Little Panda and Dad's present (Пандочка и папин подарок, мелов. 215х290)</t>
  </si>
  <si>
    <t>978-5-378-29862-4</t>
  </si>
  <si>
    <t>9785378298624</t>
  </si>
  <si>
    <t>КНИГИ НА ТАТАРСКОМ глянц.ламин. тв.обл.  217х280</t>
  </si>
  <si>
    <t>200223</t>
  </si>
  <si>
    <t>Габдулла Тукай. ШҮРӘЛЕ (на татарском) глянц.ламин. мелов. 217х280</t>
  </si>
  <si>
    <t>978-5-378-34139-9</t>
  </si>
  <si>
    <t>Текст в книге представлен полностью на татарском языке. Книга рассказывает историю из татарского фольклора об удалом джигите, сумевшем не стать добычей лесного духа Шурале благодаря хитрости и смекалке. Крупный текст делает чтение простым и лёгким. Приятные тактильные ощущения достигаются за счёт качественной мелованной бумаги, которая превращает издание в настоящий подарок. Потрясающие яркие и аутентичные иллюстрации современного художника одновременно позволяют и сохранить национальный колорит, и познакомить с классическим произведением представителей подрастающего поколения!</t>
  </si>
  <si>
    <t>9785378341399</t>
  </si>
  <si>
    <t>Тукай Габдулла Мухамметгарифович</t>
  </si>
  <si>
    <t>217х280х6</t>
  </si>
  <si>
    <t>СЕРИЯ: КНИГИ ДЛЯ БИЛИНГВОВ глянц.ламин. тв.обл. 215х288 (офсет 100)</t>
  </si>
  <si>
    <t>226099</t>
  </si>
  <si>
    <t>КНИГИ ДЛЯ БИЛИНГВОВ. Акула Мила находит друзей (Mila the shark makes friends)</t>
  </si>
  <si>
    <t>978-5-378-34687-5</t>
  </si>
  <si>
    <t>Хотите воспитать ребёнка-билингва? Наши новые книги с оригинальным текстом на русском языке и переводом, размещённым рядом, помогут не только закрепить базовый уровень английского, но и совершенствовать его. Вы держите в руках книгу о самой миролю бивой акуле Миле, которой так не хватает друзей. Также в серии представлены добрые истории о храбром муравье Матвее, спасшем школу и товарищей от страшного ливня, знакомстве маленького динозаврика Макса с детским садом и безграничной лю бви мамы к своему непоседливому сыночку, летучему мышонку Юрику.</t>
  </si>
  <si>
    <t>9785378346875</t>
  </si>
  <si>
    <t>Федулова Анна Алексеевна</t>
  </si>
  <si>
    <t>fa58454cb060574be22d839345728e25</t>
  </si>
  <si>
    <t>226101</t>
  </si>
  <si>
    <t>КНИГИ ДЛЯ БИЛИНГВОВ. Лучший для мамы (The best for his mum)</t>
  </si>
  <si>
    <t>978-5-378-34688-2</t>
  </si>
  <si>
    <t>Хотите воспитать ребёнка-билингва? Наши новые книги с оригинальным текстом на русском языке и переводом, размещённым рядом, помогут не только закрепить базовый уровень английского, но и совершенствовать его. Вы держите в руках книгу о безграничной лю бви мамы к своему непоседливому сыночку, летучему мышонку Юрику. Также в серии представлены добрые истории о миролю бивой акуле Миле, которой так не хватает друзей, знакомстве маленького динозаврика Макса с детским садом и храбром муравье Матвее, спасшем школу и товарищей от страшного ливня.</t>
  </si>
  <si>
    <t>9785378346882</t>
  </si>
  <si>
    <t>6b6f7e601f9ef840741508aa3ff31ef3</t>
  </si>
  <si>
    <t>226103</t>
  </si>
  <si>
    <t>КНИГИ ДЛЯ БИЛИНГВОВ. Макс в детском саду (Max in the kindergarten)</t>
  </si>
  <si>
    <t>978-5-378-34690-5</t>
  </si>
  <si>
    <t>Хотите воспитать ребёнка-билингва? Наши новые книги с оригинальным текстом на русском языке и переводом, размещённым рядом, помогут не только закрепить базовый уровень английского, но и совершенствовать его. Вы держите в руках книгу о маленьком динозаврике Максе, который только знакомится с детским садом и учится быть самостоятельным. Также в серии представлены добрые истории о храбром муравье Матвее, спасшем школу и товарищей от страшного ливня, миролю бивой акуле Миле, которой так не хватает друзей, и безграничной любви мамы к своему непоседливому сыночку, летучему мышонку Юрику.</t>
  </si>
  <si>
    <t>9785378346905</t>
  </si>
  <si>
    <t>a69dc0f04fab7d7bfcc1db2375cc2e81</t>
  </si>
  <si>
    <t>226102</t>
  </si>
  <si>
    <t>КНИГИ ДЛЯ БИЛИНГВОВ. Самый храбрый муравей (The bravest ant)</t>
  </si>
  <si>
    <t>978-5-378-34689-9</t>
  </si>
  <si>
    <t>Хотите воспитать ребёнка-билингва? Наши новые книги с оригинальным текстом на русском языке и переводом, размещённым рядом, помогут не только закрепить базовый уровень английского, но и совершенствовать его. Вы держите в руках книгу о самом храбром муравье Матвее, спасшем школу и товарищей от страшного ливня. Также в серии представлены добрые истории о миролю бивой акуле Миле, которой так не хватает друзей, знакомстве маленького динозаврика Макса с детским садом и безграничной лю бви мамы к своему непоседливому сыночку, летучему мышонку Юрику.</t>
  </si>
  <si>
    <t>9785378346899</t>
  </si>
  <si>
    <t>Хворост Александра Юрьевна</t>
  </si>
  <si>
    <t>2a6415446842edf87ea5e27ad21cbe28</t>
  </si>
  <si>
    <t>5. ИЗДАНИЯ ДЛЯ ТВОРЧЕСТВА И ПЛАНИРОВАНИЯ</t>
  </si>
  <si>
    <t>Gatto Rosso</t>
  </si>
  <si>
    <t>CЕРИЯ: Gatto Rosso. Angel Sketchbook 64л. выб.лак, кругл.углы. 200х262 (офсет 120гр)</t>
  </si>
  <si>
    <t>211299</t>
  </si>
  <si>
    <t xml:space="preserve">Gatto Rosso. Angel Sketchbook. Angel in Blue </t>
  </si>
  <si>
    <t>467-0-159-07992-7</t>
  </si>
  <si>
    <t>Утонченные силуэты, легкие крылья и нежные мазки... Ангелы на земле... а если точнее — на обложках наших новых роскошных скетчбуков, оформленных в акварельном стиле.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Она не пропускает чернила и выдержит многократное стирание ластиком.</t>
  </si>
  <si>
    <t>4670159079927</t>
  </si>
  <si>
    <t>81c73d9935c5ae28ef7b150504cb1b17</t>
  </si>
  <si>
    <t>200х262х13</t>
  </si>
  <si>
    <t>211295</t>
  </si>
  <si>
    <t>Gatto Rosso. Angel Sketchbook. Angel in Green</t>
  </si>
  <si>
    <t>467-0-159-07988-0</t>
  </si>
  <si>
    <t>Утончённые силуэты, лёгкие крылья и нежные мазки...  ангелы на земле... А если точнее - на обложках наших новых роскошных скетчбуков, оформленных в акварельном стиле.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Она не пропускает чернила и выдерживает многократные стирание ластиком.</t>
  </si>
  <si>
    <t>4670159079880</t>
  </si>
  <si>
    <t>5cb449581a8ef0e7bc645d238f3f6b84</t>
  </si>
  <si>
    <t>211297</t>
  </si>
  <si>
    <t>Gatto Rosso. Angel Sketchbook. Angel in Pink</t>
  </si>
  <si>
    <t>467-0-159-07990-3</t>
  </si>
  <si>
    <t>4670159079903</t>
  </si>
  <si>
    <t>595fd96b6f83d5f08e6468628ef90847</t>
  </si>
  <si>
    <t>211296</t>
  </si>
  <si>
    <t>Gatto Rosso. Angel Sketchbook. Angel in Purple</t>
  </si>
  <si>
    <t>467-0-159-07989-7</t>
  </si>
  <si>
    <t>4670159079897</t>
  </si>
  <si>
    <t>959106f513b68890633a76ecbcf4245c</t>
  </si>
  <si>
    <t>211298</t>
  </si>
  <si>
    <t>Gatto Rosso. Angel Sketchbook. Angel in Yellow</t>
  </si>
  <si>
    <t>467-0-159-07991-0</t>
  </si>
  <si>
    <t>4670159079910</t>
  </si>
  <si>
    <t>e21aa6cabadd94c8773d1dc760fbfcba</t>
  </si>
  <si>
    <t>CЕРИЯ: Gatto Rosso. Блокнот в клетку "ДИКИЕ КОШКИ" 128л.выб.лак,тиснен.,круг.углы.145х203(офсет80гр)</t>
  </si>
  <si>
    <t>253364</t>
  </si>
  <si>
    <t>Gatto Rosso. Блокнот в клетку "ДИКИЕ КОШКИ" ЛЬВИЦА</t>
  </si>
  <si>
    <t>467-0-159-26480-4</t>
  </si>
  <si>
    <t>Серия блокнотов «Дикие кошки» Gatto Rosso — это воплощение роскоши и грации. В коллекцию входят блокноты «Чёрная кошка», «Леопард», «Львица» и «Пантера», каждая из которых покоряет пронзительным взглядом хищницы и изысканным дизайном с использованием флористических мотивов и топовых цветовых сочетаний цветов. Формат А5, твёрдый переплет, скруглённые углы, матовая обложка с выборочным лаком и холодным тиснением, внутренний блок из 128 листов с клеткой делают блокноты практичными, современными, невероятно стильными. Идеальный аксессуар для тех, кто ценит элегантность и дерзкий характер диких кошек.</t>
  </si>
  <si>
    <t>4670159264804</t>
  </si>
  <si>
    <t>8c7581501b742aa9bdbd4a6d99580cda</t>
  </si>
  <si>
    <t>тиснение + лак</t>
  </si>
  <si>
    <t>144x203x16</t>
  </si>
  <si>
    <t>CЕРИЯ: Gatto Rosso. Блокнот в клетку My notebook 40л. выб.лак, кругл.углы 140х200 (офсет 80гр)</t>
  </si>
  <si>
    <t>208679</t>
  </si>
  <si>
    <t>Gatto Rosso. Блокнот в клетку My notebook. НЕВИННОСТЬ</t>
  </si>
  <si>
    <t xml:space="preserve">467-0-159-06373-5 </t>
  </si>
  <si>
    <t xml:space="preserve">Какая ты? Невинная, нежная, таинственная, чувственная? Выбери блокнот в клетку из нашей новой серии, который подойдет именно тебе. Записывай свои мысли и планы — мечтай и достигай! </t>
  </si>
  <si>
    <t>4670159063735</t>
  </si>
  <si>
    <t>140х200х5</t>
  </si>
  <si>
    <t>208673</t>
  </si>
  <si>
    <t>Gatto Rosso. Блокнот в клетку My notebook. НЕЖНОСТЬ</t>
  </si>
  <si>
    <t xml:space="preserve">467-0-159-06371-1 </t>
  </si>
  <si>
    <t>4670159063711</t>
  </si>
  <si>
    <t>208681</t>
  </si>
  <si>
    <t>Gatto Rosso. Блокнот в клетку My notebook. ТАИНСТВЕННОСТЬ</t>
  </si>
  <si>
    <t xml:space="preserve">467-0-159-06374-2 </t>
  </si>
  <si>
    <t>4670159063742</t>
  </si>
  <si>
    <t>208677</t>
  </si>
  <si>
    <t>Gatto Rosso. Блокнот в клетку My notebook. ЧУВСТВЕННОСТЬ</t>
  </si>
  <si>
    <t xml:space="preserve">467-0-159-06372-8 </t>
  </si>
  <si>
    <t>4670159063728</t>
  </si>
  <si>
    <t>CЕРИЯ: Gatto Rosso. Блокнот в линию Tenero 40л. мат.ламин, тиснение, кругл.углы 140х200 (офсет 80гр)</t>
  </si>
  <si>
    <t>223812</t>
  </si>
  <si>
    <t>Gatto Rosso. Блокнот в линию Tenero. Голубой</t>
  </si>
  <si>
    <t>467-0-159-14644-5</t>
  </si>
  <si>
    <t>Представляем блокноты в линию с обложками в нежных оттенках. Какой выберешь ты? Записывай мысли и планы, мечтай и достигай!</t>
  </si>
  <si>
    <t>4670159146445</t>
  </si>
  <si>
    <t>dbc5574826347a83d25be20efc82cecb</t>
  </si>
  <si>
    <t>22.11.2024 0:00:00</t>
  </si>
  <si>
    <t>мат ламинация+тиснение</t>
  </si>
  <si>
    <t>140x199x5</t>
  </si>
  <si>
    <t>223814</t>
  </si>
  <si>
    <t>Gatto Rosso. Блокнот в линию Tenero. Жёлтый</t>
  </si>
  <si>
    <t>467-0-159-14646-9</t>
  </si>
  <si>
    <t>4670159146469</t>
  </si>
  <si>
    <t>959051bbf256d1c2c3fd9616109361c1</t>
  </si>
  <si>
    <t>13.11.2024 0:00:00</t>
  </si>
  <si>
    <t>223813</t>
  </si>
  <si>
    <t>Gatto Rosso. Блокнот в линию Tenero. Персиковый</t>
  </si>
  <si>
    <t>467-0-159-14645-2</t>
  </si>
  <si>
    <t xml:space="preserve">4670159146452 </t>
  </si>
  <si>
    <t>c3e82282a923f1787ebc70f484e0495c</t>
  </si>
  <si>
    <t>223815</t>
  </si>
  <si>
    <t>Gatto Rosso. Блокнот в линию Tenero. Розовый</t>
  </si>
  <si>
    <t>467-0-159-14647-6</t>
  </si>
  <si>
    <t>4670159146476</t>
  </si>
  <si>
    <t>803a0f66947f2e68191607b1b7bba01d</t>
  </si>
  <si>
    <t>CЕРИЯ: Gatto Rosso. Блокнот в линию Женщины о женщинах 40л. выб.лак, кругл.углы 140х200 (офсет 80гр)</t>
  </si>
  <si>
    <t>223810</t>
  </si>
  <si>
    <t>Gatto Rosso. Блокнот в линию Женщины о женщинах. Вивьен Ли</t>
  </si>
  <si>
    <t>467-0-159-14858-6</t>
  </si>
  <si>
    <t xml:space="preserve">Представляем блокноты с яркими фразами великих женщин. Какой выберешь ты? Записывай мысли и планы, мечтай и достигай! </t>
  </si>
  <si>
    <t>4670159148586</t>
  </si>
  <si>
    <t>e4c21d99b5a2f613f709b49df3176a53</t>
  </si>
  <si>
    <t>12.11.2024 0:00:00</t>
  </si>
  <si>
    <t>223809</t>
  </si>
  <si>
    <t>Gatto Rosso. Блокнот в линию Женщины о женщинах. Коко Шанель</t>
  </si>
  <si>
    <t>467-0-159-14857-9</t>
  </si>
  <si>
    <t>4670159148579</t>
  </si>
  <si>
    <t>4612a0ead6d11f4bbf689a30e7b703bc</t>
  </si>
  <si>
    <t>223807</t>
  </si>
  <si>
    <t>Gatto Rosso. Блокнот в линию Женщины о женщинах. Мэрилин Монро</t>
  </si>
  <si>
    <t>467-0-159-14855-5</t>
  </si>
  <si>
    <t>4670159148555</t>
  </si>
  <si>
    <t>5ee26ea63b56ad0671f93314789afc9b</t>
  </si>
  <si>
    <t>223808</t>
  </si>
  <si>
    <t>Gatto Rosso. Блокнот в линию Женщины о женщинах. Софи Лорен</t>
  </si>
  <si>
    <t>467-0-159-14856-2</t>
  </si>
  <si>
    <t>4670159148562</t>
  </si>
  <si>
    <t>2a891ed43c8eff5ed7b9b4ebccc45dda</t>
  </si>
  <si>
    <t>CЕРИЯ: Gatto Rosso. МАК в коробке 105х160</t>
  </si>
  <si>
    <t>221915</t>
  </si>
  <si>
    <t>Gatto Rosso. Метафорические Ассоциативные Карты. Послания из подсознания</t>
  </si>
  <si>
    <t>467-0-159-13656-9</t>
  </si>
  <si>
    <t>На пути к принятию, постижению себя и любви к себе важно заручиться поддержкой. Эта колода поможет справиться с кризисами, достичь гармонии души и расшифровать знаки, которые посылает нам Судьба.
Как использовать:
1. Разложите карты перед собой рубашкой вверх и настройтесь.
Сформулируйте вопрос, обратитесь к Подсознанию, вытяните карту из колоды и рассмотрите изображение. Какие метафоры, ассоциации и воспоминания вызывает эта карта? Важно не столько само изображение, сколько уникальные впечатления и эмоции от него.
2. Доставайте карту дня на каждый день месяца.
И помните: карты не дают ответов. Они только помогают вам
увидеть решение и изыскать ресурсы.</t>
  </si>
  <si>
    <t>4670159136569</t>
  </si>
  <si>
    <t>8b3487a4199981764778225202446cf0</t>
  </si>
  <si>
    <t>в картонной коробке</t>
  </si>
  <si>
    <t>110х160х20</t>
  </si>
  <si>
    <t>CЕРИЯ: Gatto Rosso. НАПОЛЬНАЯ КРУГЛАЯ РАСКРАСКА в коробке 275х365х20</t>
  </si>
  <si>
    <t>228258</t>
  </si>
  <si>
    <t>Gatto Rosso. НАПОЛЬНАЯ КРУГЛАЯ РАСКРАСКА. Мандала богатства и успеха</t>
  </si>
  <si>
    <t>978-5-378-34790-2</t>
  </si>
  <si>
    <t>Раскраска мандала – это уникальный способ самопрограммирования и самопознания, возможность через процесс раскрашивания обрести гармонию с самим собой.  Раскрашивание мандалы обладает огромным исцеляющим эффектом, помогая освободить подавленную энергию и направить ее на исполнение своих желаний.
Новая серия круглых раскрасок-антистресс в большом формате подойдет для самостоятельных практик, для творчества в кругу единомышленников, а так же в качестве подарка подруге или другому человеку, который занимается внутренним развитием.</t>
  </si>
  <si>
    <t>9785378347902</t>
  </si>
  <si>
    <t>275х365х20</t>
  </si>
  <si>
    <t>228259</t>
  </si>
  <si>
    <t>Gatto Rosso. НАПОЛЬНАЯ КРУГЛАЯ РАСКРАСКА. Мандала любви и счастья</t>
  </si>
  <si>
    <t>978-5-378-34791-9</t>
  </si>
  <si>
    <t xml:space="preserve">Раскраска мандала – это уникальный способ самопрограммирования и самопознания, возможность через процесс раскрашивания обрести гармонию с самим собой.  Раскрашивание мандалы обладает огромным исцеляющим эффектом, помогая освободить подавленную энергию и направить ее на исполнение своих желаний.
Новая серия круглых раскрасок-антистресс в большом формате подойдет для самостоятельных практик, для творчества в кругу единомышленников, а так же в качестве подарка подруге или другому человеку, который занимается внутренним развитием. </t>
  </si>
  <si>
    <t>9785378347919</t>
  </si>
  <si>
    <t>CЕРИЯ: Gatto Rosso. Раскраска Мандала 16л. картон обл, глянц.лам. 190х230 (офсет 100гр)</t>
  </si>
  <si>
    <t>236317</t>
  </si>
  <si>
    <t>Gatto Rosso. Раскраска Мандала. Денежный символ</t>
  </si>
  <si>
    <t>978-5-378-35062-9</t>
  </si>
  <si>
    <t>Если эти мандалы оказались у вас в руках, значит, пришла пора для терапевтического творчества и глубокой трансформации личности.
Значит, настало время довериться внутреннему голосу и приблизить желаемое. Магический круг можно выбрать либо интуитивно, либо по своим потребностям. Раскрашивание витиеватых рисунков — своеобразная форма медитации, позволяющая погрузиться в центр своей Вселенной.</t>
  </si>
  <si>
    <t>9785378350629</t>
  </si>
  <si>
    <t>b37d7fbe610f2314d95fcf9d50021ca1</t>
  </si>
  <si>
    <t>190х230х4</t>
  </si>
  <si>
    <t>236314</t>
  </si>
  <si>
    <t>Gatto Rosso. Раскраска Мандала. Код любви</t>
  </si>
  <si>
    <t>978-5-378-35061-2</t>
  </si>
  <si>
    <t>9785378350612</t>
  </si>
  <si>
    <t>d059804b7e59b7fe8652df00db507ba6</t>
  </si>
  <si>
    <t>CЕРИЯ: Gatto Rosso. СКЕТЧБУК 80л. выб.лак, кругл.углы. индивид.упак. 145х203 (офсет 120гр)</t>
  </si>
  <si>
    <t>208690</t>
  </si>
  <si>
    <t>Gatto Rosso. СКЕТЧБУК 145х203. НЕВИННОСТЬ</t>
  </si>
  <si>
    <t>467-0-159-06357-5</t>
  </si>
  <si>
    <t>Какая ты? Невинная, нежная, таинственная, чувственная? Выбери скетчбук из нашей новой серии, который подойдет именно тебе. Пиши заметки, делай наброски и эскизы – плотная качественная бумага подходит для цветных и графитовых карандашей, гелевых и шариковых ручек, фломастеров и маркеров. Кроме того, она не пропускает чернила и выдержит многократное стирание ластиком.</t>
  </si>
  <si>
    <t>4670159063575</t>
  </si>
  <si>
    <t>MyArt</t>
  </si>
  <si>
    <t xml:space="preserve"> MyArt. Блокноты</t>
  </si>
  <si>
    <t>MyArt. Блокноты Total 168л выб.лак, кругл.углы, индивид.упак, 7БЦ 145х203(офсет 80гр)</t>
  </si>
  <si>
    <t>СЕРИЯ: MyArt. БЛОКНОТ в клетку Total PINK 168л мат.лам, выб.лак, кругл.углы, 7БЦ 145х203(офсет 80гр)</t>
  </si>
  <si>
    <t>236321</t>
  </si>
  <si>
    <t>MyArt. БЛОКНОТ в клетку Total PINK. Pink 1</t>
  </si>
  <si>
    <t>467-0-159-20635-4</t>
  </si>
  <si>
    <t>Девочки всех возрастов во всём мире знают и любят ЕЁ! Красивую блондинку, обожающую всё розовое. "Чем больше розового, тем лучше!" — это не только девиз популярной куклы, но и принцип, которым мы руководствовались при создании новых блокнотов. Розовая обложка и розовая клетка под ней. Этой зимой смотрим на мир сквозь розовые очки!</t>
  </si>
  <si>
    <t>4670159206354</t>
  </si>
  <si>
    <t>bda925c4513983136953eb3571c22704</t>
  </si>
  <si>
    <t>145x203x19</t>
  </si>
  <si>
    <t>236322</t>
  </si>
  <si>
    <t>MyArt. БЛОКНОТ в клетку Total PINK. Pink 2</t>
  </si>
  <si>
    <t>467-0-159-20636-1</t>
  </si>
  <si>
    <t>4670159206361</t>
  </si>
  <si>
    <t>6da73e34f46558b72f9c24c85e32a97d</t>
  </si>
  <si>
    <t>СЕРИЯ: MyArt: БЛОКНОТ на гребне 80л. мат.ламин, выб.лак 150х196 (бумага 120гр)</t>
  </si>
  <si>
    <t>169839</t>
  </si>
  <si>
    <t>MyArt. СКЕТЧБУК на гребне. БЛОКНОТ ДЛЯ ЛЕТТЕРИНГА И КАЛЛИГРАФИИ</t>
  </si>
  <si>
    <t>461-0-144-86653-8</t>
  </si>
  <si>
    <t>Блокнот для леттеринга и каллиграфии отлично подойдёт для тех, кто хочет освоить искусство красивого письма. Внутри чередуются 2 вида блоков с косыми линиями и разной толщиной строк. Плотная бумага, удобный формат и крепление страниц на гребне – все детали продуманы до мелочей.</t>
  </si>
  <si>
    <t>4610144866538</t>
  </si>
  <si>
    <t>168х195х27</t>
  </si>
  <si>
    <t>СЕРИЯ: MyArt. БЛОКНОТ "Милые животные" 80л выбор. лак, кругл. углы КБС 100х138 (бумага 100гр)</t>
  </si>
  <si>
    <t>256231</t>
  </si>
  <si>
    <t>MyArt. БЛОКНОТ. Милые животные. Сиба-ину</t>
  </si>
  <si>
    <t>467-0-159-27115-4</t>
  </si>
  <si>
    <t>Новая серия блокнотов «Милые животные» - это мини-блокноты с очаровательными питомцами на обложке! В серию входят: пушистый Шпиц, улыбчивая Сиба-Ину, загадочный Черный котик и игривый Белый котик. Удобный компактный формат, 80 листов. Идеально для записей, скетчей или подарка! Поднимет настроение в любой день.</t>
  </si>
  <si>
    <t>4670159271154</t>
  </si>
  <si>
    <t>4147129df3e21791c1064d1bee5b7b7c</t>
  </si>
  <si>
    <t>100х138х11</t>
  </si>
  <si>
    <t>СЕРИЯ: MyArt. БЛОКНОТ "На стиле" 32л, выб.лак, кругл.углы 115х150 (офсет 100гр)</t>
  </si>
  <si>
    <t>222885</t>
  </si>
  <si>
    <t>MyArt. БЛОКНОТ "На стиле" ГОЛУБОЙ</t>
  </si>
  <si>
    <t>467-0-159-13784-9</t>
  </si>
  <si>
    <t>Представляем стильные мини-блокноты с плотными белыми листами. Какой выберешь ты? Записывай мысли и планы, мечтай и достигай!</t>
  </si>
  <si>
    <t>4670159137849</t>
  </si>
  <si>
    <t>4d9b105c026ef20faa4d85f5196a0d35</t>
  </si>
  <si>
    <t>14.01.2025 0:00:00</t>
  </si>
  <si>
    <t>115х150х4</t>
  </si>
  <si>
    <t>222886</t>
  </si>
  <si>
    <t>MyArt. БЛОКНОТ "На стиле" ОРАНЖЕВЫЙ</t>
  </si>
  <si>
    <t>467-0-159-13785-6</t>
  </si>
  <si>
    <t>4670159137856</t>
  </si>
  <si>
    <t>aee015b3a2e44fef650946cb0b30e245</t>
  </si>
  <si>
    <t>222887</t>
  </si>
  <si>
    <t>MyArt. БЛОКНОТ "На стиле" РОЗОВЫЙ</t>
  </si>
  <si>
    <t>467-0-159-13786-3</t>
  </si>
  <si>
    <t>4670159137863</t>
  </si>
  <si>
    <t>55b005c4cfaf4402d158718276c950d7</t>
  </si>
  <si>
    <t>222888</t>
  </si>
  <si>
    <t>MyArt. БЛОКНОТ "На стиле" ФИОЛЕТОВЫЙ</t>
  </si>
  <si>
    <t>467-0-159-13787-0</t>
  </si>
  <si>
    <t>4670159137870</t>
  </si>
  <si>
    <t>fbf4017df2bd74536d58d9f48db80e2c</t>
  </si>
  <si>
    <t xml:space="preserve">СЕРИЯ: MyArt. БЛОКНОТ 64л выб.лак, кругл.углы КБС 160х195 </t>
  </si>
  <si>
    <t>136606</t>
  </si>
  <si>
    <t>MyArt. Дневник моей беременности</t>
  </si>
  <si>
    <t>468-0-088-40091-4</t>
  </si>
  <si>
    <t>Блокноты удобного формата с прекрасным художественным оформлением идеально подойдут как для записей, так и для зарисовок!</t>
  </si>
  <si>
    <t>4680088400914</t>
  </si>
  <si>
    <t>160х195х10</t>
  </si>
  <si>
    <t>СЕРИЯ: MyArt. БЛОКНОТ Аниме "Рисуй, пиши, люби" 32л, выб.лак, кругл.углы 115х150 (офсет 100гр)</t>
  </si>
  <si>
    <t>214959</t>
  </si>
  <si>
    <t>MyArt. БЛОКНОТ "Рисуй, пиши, люби" ЗЕЛЁНЫЙ</t>
  </si>
  <si>
    <t>467-0-159-10020-1</t>
  </si>
  <si>
    <t xml:space="preserve">Что делать, если муза творчества или умная мысль внезапно посетили вне дома? Достать из рюкзака, сумки или широких штанин наш новый блокнот мини-формата! Делайте наброски, пишите заметки – модные обложки в стиле аниме непременно вдохновят на новые свершения и неожиданные решения! </t>
  </si>
  <si>
    <t>4670159100201</t>
  </si>
  <si>
    <t>bd0a6b2c2d47a7c4e966789d2affd5db</t>
  </si>
  <si>
    <t>115х150х5</t>
  </si>
  <si>
    <t>СЕРИЯ: MyArt. БЛОКНОТ ТАРОЛОГА 96л. 7БЦ, обл.мат.ламин, выб.лак, кругл.углы, 145х203 (офсет 80гр)</t>
  </si>
  <si>
    <t>211248</t>
  </si>
  <si>
    <t>MyArt. БЛОКНОТ ТАРОЛОГА. Женщина</t>
  </si>
  <si>
    <t>467-0-159-08036-7</t>
  </si>
  <si>
    <t>Магический блокнот для начинающих и практикующих тарологов, использующих колоду Таро Райдера-Уэйта. Страницы для описания карт, раздел для хранения схем раскладов, место для личных заметок. Стильное оформление поможет настроится на особую атмосферу.</t>
  </si>
  <si>
    <t>4670159080367</t>
  </si>
  <si>
    <t>e529c081b8336c99e9f7b55361d43cec</t>
  </si>
  <si>
    <t>211249</t>
  </si>
  <si>
    <t>MyArt. БЛОКНОТ ТАРОЛОГА. Карты</t>
  </si>
  <si>
    <t>467-0-159-08037-4</t>
  </si>
  <si>
    <t>4670159080374</t>
  </si>
  <si>
    <t>78b8ee5f9e06c94d5f541921ea52030b</t>
  </si>
  <si>
    <t xml:space="preserve"> MyArt. Блокноты в клетку</t>
  </si>
  <si>
    <t>СЕРИЯ: MyArt. БЛОКНОТ в клетку 3D 160л, 7БЦ, глянц.лам, кругл.углы, индивид.упак 145х203(офсет 80гр)</t>
  </si>
  <si>
    <t>236584</t>
  </si>
  <si>
    <t>MyArt. БЛОКНОТ в клетку 3D. Апельсины</t>
  </si>
  <si>
    <t>467-0-159-20717-7</t>
  </si>
  <si>
    <t>4670159207177</t>
  </si>
  <si>
    <t>53c8d6d26728b683aec61e0f94b88956</t>
  </si>
  <si>
    <t>04.12.2024 0:00:00</t>
  </si>
  <si>
    <t>145х203х18</t>
  </si>
  <si>
    <t>236583</t>
  </si>
  <si>
    <t>MyArt. БЛОКНОТ в клетку 3D. Вишенки</t>
  </si>
  <si>
    <t>467-0-159-20716-0</t>
  </si>
  <si>
    <t>4670159207160</t>
  </si>
  <si>
    <t>4edd6e65579309a7154c2ceafda9422c</t>
  </si>
  <si>
    <t>236585</t>
  </si>
  <si>
    <t>MyArt. БЛОКНОТ в клетку 3D. Сердца</t>
  </si>
  <si>
    <t>467-0-159-20718-4</t>
  </si>
  <si>
    <t>4670159207184</t>
  </si>
  <si>
    <t>fdf92c88b0e9eb304e57dcc1ffa194b1</t>
  </si>
  <si>
    <t>236586</t>
  </si>
  <si>
    <t>MyArt. БЛОКНОТ в клетку 3D. Цветочки</t>
  </si>
  <si>
    <t>467-0-159-20719-1</t>
  </si>
  <si>
    <t>4670159207191</t>
  </si>
  <si>
    <t>2969f13999355bc656c3b4d0eeccf938</t>
  </si>
  <si>
    <t>СЕРИЯ: MyArt. БЛОКНОТ в клетку 40 л. мат.ламин, выб.лак 185х250 на скрепке</t>
  </si>
  <si>
    <t>253218</t>
  </si>
  <si>
    <t>MyArt. БЛОКНОТ в клетку 40 л Розовые мечты</t>
  </si>
  <si>
    <t>467-0-159-26611-2</t>
  </si>
  <si>
    <t>НЕОПРЕДЕЛЕНО</t>
  </si>
  <si>
    <t>4670159266112</t>
  </si>
  <si>
    <t>0</t>
  </si>
  <si>
    <t>253220</t>
  </si>
  <si>
    <t>MyArt. БЛОКНОТ в клетку 40 л Тираннозавр</t>
  </si>
  <si>
    <t>467-0-159-26612-9</t>
  </si>
  <si>
    <t>4670159266129</t>
  </si>
  <si>
    <t>СЕРИЯ: MyArt. БЛОКНОТ в клетку Anime &amp; Van Gogh 40л мат.лам, выб.лак, кругл.углы 140х200 (офсет 80г)</t>
  </si>
  <si>
    <t>236577</t>
  </si>
  <si>
    <t>MyArt. БЛОКНОТ в клетку Anime &amp; Van Gogh. Звёздная ночь. Лодка</t>
  </si>
  <si>
    <t>467-0-159-20691-0</t>
  </si>
  <si>
    <t>Что, если объединить два наших хита: Ван Гога и аниме? Тогда получится серия блокнотов MY ART! Всемирно известные сюжеты, яркие краски, женственные образы — это всё Anime &amp; Van Gogh.</t>
  </si>
  <si>
    <t>4670159206910</t>
  </si>
  <si>
    <t>8d4199c1d23d6cd30e2a6f2029ab1d33</t>
  </si>
  <si>
    <t>17.01.2025 0:00:00</t>
  </si>
  <si>
    <t>236578</t>
  </si>
  <si>
    <t>MyArt. БЛОКНОТ в клетку Anime &amp; Van Gogh. Маковое поле</t>
  </si>
  <si>
    <t>467-0-159-20692-7</t>
  </si>
  <si>
    <t>4670159206927</t>
  </si>
  <si>
    <t>df25bd00eb46e869ec04756478f0f3d1</t>
  </si>
  <si>
    <t>236580</t>
  </si>
  <si>
    <t>MyArt. БЛОКНОТ в клетку Anime &amp; Van Gogh. Пшеничное поле с воронами</t>
  </si>
  <si>
    <t>467-0-159-20694-1</t>
  </si>
  <si>
    <t>4670159206941</t>
  </si>
  <si>
    <t>c5c42eb5e57a2d5ef3c5db8c9622dced</t>
  </si>
  <si>
    <t>236579</t>
  </si>
  <si>
    <t>MyArt. БЛОКНОТ в клетку Anime &amp; Van Gogh. Цветущие ветки миндаля</t>
  </si>
  <si>
    <t>467-0-159-20693-4</t>
  </si>
  <si>
    <t>4670159206934</t>
  </si>
  <si>
    <t>9f393d277a0f9443aad2c270b683b574</t>
  </si>
  <si>
    <t>СЕРИЯ: MyArt. БЛОКНОТ в клетку I love pink 40л мат.ламин, выб.лак, кругл.углы 140х200 (офсет 80гр)</t>
  </si>
  <si>
    <t>220846</t>
  </si>
  <si>
    <t>MyArt. БЛОКНОТ в клетку I love pink. В ободке</t>
  </si>
  <si>
    <t>467-0-159-12837-3</t>
  </si>
  <si>
    <t>4670159128373</t>
  </si>
  <si>
    <t>a27dae4ea8fba656d673ce486c6ec75a</t>
  </si>
  <si>
    <t>220847</t>
  </si>
  <si>
    <t>MyArt. БЛОКНОТ в клетку I love pink. Парочка</t>
  </si>
  <si>
    <t>467-0-159-12838-0</t>
  </si>
  <si>
    <t>4670159128380</t>
  </si>
  <si>
    <t>5ec67eb8bc589873bbaeda35cc5311f6</t>
  </si>
  <si>
    <t>220848</t>
  </si>
  <si>
    <t>MyArt. БЛОКНОТ в клетку I love pink. Розовые очки</t>
  </si>
  <si>
    <t>467-0-159-12839-7</t>
  </si>
  <si>
    <t>4670159128397</t>
  </si>
  <si>
    <t>b0e55eb5aa4ed74a536b97a19682455c</t>
  </si>
  <si>
    <t>220845</t>
  </si>
  <si>
    <t>MyArt. БЛОКНОТ в клетку I love pink. С листьями</t>
  </si>
  <si>
    <t>467-0-159-12836-6</t>
  </si>
  <si>
    <t>4670159128366</t>
  </si>
  <si>
    <t>bc95ea20baa37eeb8b27265c24b14928</t>
  </si>
  <si>
    <t>СЕРИЯ: MyArt. БЛОКНОТ в клетку My big notebook 48л выб.лак, кругл.углы 185х250 (офсет 80гр)</t>
  </si>
  <si>
    <t>226074</t>
  </si>
  <si>
    <t>MyArt. БЛОКНОТ в клетку My big notebook. Девочка в зелёном бомбере</t>
  </si>
  <si>
    <t>467-0-159-15614-7</t>
  </si>
  <si>
    <t>Представляем блокноты в клетку с героями аниме на обложках. Какой выберешь ты? Записывай мысли и планы, мечтай и достигай!</t>
  </si>
  <si>
    <t>4670159156147</t>
  </si>
  <si>
    <t>9630187d7c6d0e6398d5501bbc30de76</t>
  </si>
  <si>
    <t>28.11.2024 0:00:00</t>
  </si>
  <si>
    <t>185х250х5</t>
  </si>
  <si>
    <t>226073</t>
  </si>
  <si>
    <t>MyArt. БЛОКНОТ в клетку My big notebook. Девочка в наушниках</t>
  </si>
  <si>
    <t>467-0-159-15613-0</t>
  </si>
  <si>
    <t>4670159156130</t>
  </si>
  <si>
    <t>b0141c2c106e2635524052cf7dfc5d46</t>
  </si>
  <si>
    <t>226076</t>
  </si>
  <si>
    <t>MyArt. БЛОКНОТ в клетку My big notebook. Девочка с книгами</t>
  </si>
  <si>
    <t>467-0-159-15616-1</t>
  </si>
  <si>
    <t>4670159156161</t>
  </si>
  <si>
    <t>37e9879b8a873ba9e18760f755f687df</t>
  </si>
  <si>
    <t>29.11.2024 0:00:00</t>
  </si>
  <si>
    <t>226075</t>
  </si>
  <si>
    <t>MyArt. БЛОКНОТ в клетку My big notebook. Девочка с косой</t>
  </si>
  <si>
    <t>467-0-159-15615-4</t>
  </si>
  <si>
    <t>4670159156154</t>
  </si>
  <si>
    <t>9accc791f9c565557c0e5926850cd276</t>
  </si>
  <si>
    <t>СЕРИЯ: MyArt. БЛОКНОТ в клетку My notebook 40л мат.ламин, выб.лак, кругл.углы 140х200 (офсет 80гр)</t>
  </si>
  <si>
    <t>208693</t>
  </si>
  <si>
    <t>MyArt. БЛОКНОТ в клетку My notebook. Волк</t>
  </si>
  <si>
    <t>467-0-159-06367-4</t>
  </si>
  <si>
    <t xml:space="preserve">Блокноты с модными антропоморфными животными и листами в клетку в цвет обложки — стильная новинка для тех, кто записывает мысли, текущие дела и планы на будущее! </t>
  </si>
  <si>
    <t>4670159063674</t>
  </si>
  <si>
    <t>208694</t>
  </si>
  <si>
    <t>MyArt. БЛОКНОТ в клетку My notebook. Заяц</t>
  </si>
  <si>
    <t>467-0-159-06368-1</t>
  </si>
  <si>
    <t>4670159063681</t>
  </si>
  <si>
    <t>208695</t>
  </si>
  <si>
    <t>MyArt. БЛОКНОТ в клетку My notebook. Кошка</t>
  </si>
  <si>
    <t>467-0-159-06369-8</t>
  </si>
  <si>
    <t>4670159063698</t>
  </si>
  <si>
    <t>208696</t>
  </si>
  <si>
    <t>MyArt. БЛОКНОТ в клетку My notebook. Лама</t>
  </si>
  <si>
    <t>467-0-159-06370-4</t>
  </si>
  <si>
    <t>4670159063704</t>
  </si>
  <si>
    <t>СЕРИЯ: MyArt. БЛОКНОТ в клетку Ангелы в облаках 48л на гребне, выб.лак,резинка 104х146 (офсет 80гр)</t>
  </si>
  <si>
    <t>226107</t>
  </si>
  <si>
    <t>MyArt. БЛОКНОТ в клетку Ангелы в облаках. Cute</t>
  </si>
  <si>
    <t>467-0-159-15617-8</t>
  </si>
  <si>
    <t>Блокноты с девочками-ангелочками в стиле аниме и листами в розовую клетку - милая новинка для самых нежных и мечтательных. Записывайте мысли, текущие дела и планы на будущее!</t>
  </si>
  <si>
    <t>4670159156178</t>
  </si>
  <si>
    <t>3feed11adf0170f6429cb1d8ce4f76aa</t>
  </si>
  <si>
    <t>18.06.2024 0:00:00</t>
  </si>
  <si>
    <t>113х146х13</t>
  </si>
  <si>
    <t>226108</t>
  </si>
  <si>
    <t>MyArt. БЛОКНОТ в клетку Ангелы в облаках. Dreamy</t>
  </si>
  <si>
    <t>467-0-159-15618-5</t>
  </si>
  <si>
    <t>4670159156185</t>
  </si>
  <si>
    <t>11549069a72867395321b82f65795385</t>
  </si>
  <si>
    <t>226109</t>
  </si>
  <si>
    <t>MyArt. БЛОКНОТ в клетку Ангелы в облаках. Lovely</t>
  </si>
  <si>
    <t>467-0-159-15619-2</t>
  </si>
  <si>
    <t>4670159156192</t>
  </si>
  <si>
    <t>485869cc46002de24edf57e7cb79d70b</t>
  </si>
  <si>
    <t>СЕРИЯ: MyArt. БЛОКНОТ в клетку Аниме 32л мат.ламин, выб.лак, кругл.углы 115х150 (офсет 80гр)</t>
  </si>
  <si>
    <t>223787</t>
  </si>
  <si>
    <t>MyArt. БЛОКНОТ в клетку Аниме 115x150. Гламурный взгляд</t>
  </si>
  <si>
    <t>467-0-159-14753-4</t>
  </si>
  <si>
    <t>Новые блокноты с анимешными девочками на обложках. Точнее, блокнотики! Невесомые и небольшого формата — удобно носить даже в маленькой сумочке или рюкзаке. Записывай важные дела, мысли и планы!</t>
  </si>
  <si>
    <t>4670159147534</t>
  </si>
  <si>
    <t>6bd0f6f6e91f31358109c18e4c000c1d</t>
  </si>
  <si>
    <t>223786</t>
  </si>
  <si>
    <t>MyArt. БЛОКНОТ в клетку Аниме 115x150. Загадочный взгляд</t>
  </si>
  <si>
    <t>467-0-159-14752-7</t>
  </si>
  <si>
    <t>4670159147527</t>
  </si>
  <si>
    <t>4d62021b87dc85fc5cb515e326d2419f</t>
  </si>
  <si>
    <t>223788</t>
  </si>
  <si>
    <t>MyArt. БЛОКНОТ в клетку Аниме 115x150. Модный взгляд</t>
  </si>
  <si>
    <t>467-0-159-14754-1</t>
  </si>
  <si>
    <t>4670159147541</t>
  </si>
  <si>
    <t>db38b843e27d30bc6f01631d04f6ce0c</t>
  </si>
  <si>
    <t>223789</t>
  </si>
  <si>
    <t>MyArt. БЛОКНОТ в клетку Аниме 115x150. Очаровательный взгляд</t>
  </si>
  <si>
    <t>467-0-159-14755-8</t>
  </si>
  <si>
    <t>4670159147558</t>
  </si>
  <si>
    <t>5c4a3417e5c3a0f500b771bb8a727538</t>
  </si>
  <si>
    <t>СЕРИЯ: MyArt. БЛОКНОТ в клетку Аниме 32л мат.ламин, выб.лак, кругл.углы 150х150 (офсет 80гр)</t>
  </si>
  <si>
    <t>217539</t>
  </si>
  <si>
    <t>MyArt. БЛОКНОТ в клетку Аниме. Голубой</t>
  </si>
  <si>
    <t>467-0-159-11193-1</t>
  </si>
  <si>
    <t xml:space="preserve">Представляем новые аниме-блокноты с клетчатыми страницами для записей, картинками для раскрашивания и готовыми панелями и пузырями для комиксов. Фиксируй главное, оживляй цветом героев и придумывай рисованные истории!  </t>
  </si>
  <si>
    <t>4670159111931</t>
  </si>
  <si>
    <t>b846e331960d565a580e4133bd051d5a</t>
  </si>
  <si>
    <t>150х150х5</t>
  </si>
  <si>
    <t>237864</t>
  </si>
  <si>
    <t>MyArt. БЛОКНОТ в клетку Аниме. Жёлтый</t>
  </si>
  <si>
    <t>467-0-159-21247-8</t>
  </si>
  <si>
    <t>4670159212478</t>
  </si>
  <si>
    <t>5a222e3a06a8fce13045e76c02209895</t>
  </si>
  <si>
    <t>217541</t>
  </si>
  <si>
    <t>MyArt. БЛОКНОТ в клетку Аниме. Красный</t>
  </si>
  <si>
    <t>467-0-159-11195-5</t>
  </si>
  <si>
    <t>4670159111955</t>
  </si>
  <si>
    <t>98600e7948317d770f179cdbbf318fad</t>
  </si>
  <si>
    <t>217542</t>
  </si>
  <si>
    <t>MyArt. БЛОКНОТ в клетку Аниме. Фиолетовый</t>
  </si>
  <si>
    <t>467-0-159-11196-2</t>
  </si>
  <si>
    <t>4670159111962</t>
  </si>
  <si>
    <t>f0696b3823ba213606d01fc6398224b7</t>
  </si>
  <si>
    <t>СЕРИЯ: MyArt. БЛОКНОТ в клетку Аниме Монохром 40л мат.лам, выб.лак, кругл.углы 140х200 (офсет 80гр)</t>
  </si>
  <si>
    <t>223803</t>
  </si>
  <si>
    <t>MyArt. БЛОКНОТ в клетку Аниме Монохром. Битва взглядов</t>
  </si>
  <si>
    <t>467-0-159-14841-8</t>
  </si>
  <si>
    <t>В поисках идеальной тетради для средней, старшей школы или офиса? Представляем вам новую серию красивых тетрадей, в каждой из которых плотная картонная обложка с блестящими монохромными иллюстрациями в стиле аниме и 40 листов белоснежной бумаги с четкой тёмно-серой клеткой. Тетради подходят для письма шариковыми, гелевыми или капиллярными ручками. Тип скрепления - скоба.</t>
  </si>
  <si>
    <t>4670159148418</t>
  </si>
  <si>
    <t>b947be0e011efbf2d57a624f8b0d1b89</t>
  </si>
  <si>
    <t>223802</t>
  </si>
  <si>
    <t>MyArt. БЛОКНОТ в клетку Аниме Монохром. Девочка с котиком</t>
  </si>
  <si>
    <t>467-0-159-14839-5</t>
  </si>
  <si>
    <t>4670159148395</t>
  </si>
  <si>
    <t>92b31af8742cda257216c23f72c7e009</t>
  </si>
  <si>
    <t>223801</t>
  </si>
  <si>
    <t>MyArt. БЛОКНОТ в клетку Аниме Монохром. Смущение</t>
  </si>
  <si>
    <t>467-0-159-14838-8</t>
  </si>
  <si>
    <t>4670159148388</t>
  </si>
  <si>
    <t>b4be6d0ce412910fd6824f6e00525a5c</t>
  </si>
  <si>
    <t>223804</t>
  </si>
  <si>
    <t>MyArt. БЛОКНОТ в клетку Аниме Монохром. Школьница</t>
  </si>
  <si>
    <t>467-0-159-14842-5</t>
  </si>
  <si>
    <t>4670159148425</t>
  </si>
  <si>
    <t>a58f02440a29f3e8bf5b47ea46c0d757</t>
  </si>
  <si>
    <t>СЕРИЯ: MyArt. БЛОКНОТ в клетку В тренде 40л КБС, выбор.лак, кругл.углы 120х180 (офсет 80гр)</t>
  </si>
  <si>
    <t>216556</t>
  </si>
  <si>
    <t>MyArt. БЛОКНОТ в клетку В тренде. Весёлый сиба-ину</t>
  </si>
  <si>
    <t>467-0-159-11102-3</t>
  </si>
  <si>
    <t>Новая серия блокнотов в клетку MyArt — это яркие обложки и модные персонажи. Выбери дизайн, который подойдет именно тебе. Записывай свои мысли, планы и мечты и будь в тренде!</t>
  </si>
  <si>
    <t>4670159111023</t>
  </si>
  <si>
    <t>122х180х5</t>
  </si>
  <si>
    <t>СЕРИЯ: MyArt. БЛОКНОТ в клетку Дивный Восток 168л, выб.лак,круг.углы, цвет.обрез,7БЦ 145x203 (80гр)</t>
  </si>
  <si>
    <t>249296</t>
  </si>
  <si>
    <t>MyArt. БЛОКНОТ в клетку Дивный Восток. Взгляд ночи</t>
  </si>
  <si>
    <t>467-0-159-25648-9</t>
  </si>
  <si>
    <t>Привнеси в свою жизнь магию восточной сказки!
Новая серия невероятно красивых блокнотов перенесёт вас в загадочный и такой притягательный мир Дивного Востока. Отважный повелитель дюн или вольная птица пустыни, таинственный взгляд ночи или караван бесстрашных путников – выбери тот дизайн, который подходит именно тебе. Цветные срезы дополняют изысканное оформление обложек.  А благодаря внутреннему блоку в клетку эти блокноты станут не только стильным, но и практичным аксессуаром.</t>
  </si>
  <si>
    <t>4670159256489</t>
  </si>
  <si>
    <t>2475a4d6322203279710e631b3ec77ea</t>
  </si>
  <si>
    <t>145x203x21</t>
  </si>
  <si>
    <t>249297</t>
  </si>
  <si>
    <t>MyArt. БЛОКНОТ в клетку Дивный Восток. Караван</t>
  </si>
  <si>
    <t xml:space="preserve">467-0-159-25649-6 </t>
  </si>
  <si>
    <t xml:space="preserve">4670159256496 </t>
  </si>
  <si>
    <t>0a3c03731a3bf79a0c61a335a6f0c34b</t>
  </si>
  <si>
    <t>249298</t>
  </si>
  <si>
    <t>MyArt. БЛОКНОТ в клетку Дивный Восток. Повелитель дюн</t>
  </si>
  <si>
    <t xml:space="preserve">467-0-159-25650-2 </t>
  </si>
  <si>
    <t xml:space="preserve">4670159256502 </t>
  </si>
  <si>
    <t>814daa55958d2a2d1a4674a44adeb91c</t>
  </si>
  <si>
    <t>249299</t>
  </si>
  <si>
    <t>MyArt. БЛОКНОТ в клетку Дивный Восток. Птица пустыни</t>
  </si>
  <si>
    <t>467-0-159-25651-9</t>
  </si>
  <si>
    <t>4670159256519</t>
  </si>
  <si>
    <t>5773965971201a79dcea0a435bf12425</t>
  </si>
  <si>
    <t>СЕРИЯ: MyArt. БЛОКНОТ в клетку Дутыши 64л КБС, глянц.ламин, кругл.углы 120х180 (офсет 80гр)</t>
  </si>
  <si>
    <t>236561</t>
  </si>
  <si>
    <t>MyArt. БЛОКНОТ в клетку Дутыши. Звёзды(голубой)</t>
  </si>
  <si>
    <t>467-0-159-20712-2</t>
  </si>
  <si>
    <t>Новая серия блокнотов в клетку Дутыши — это яркие обложки. Выбери дизайн, который подойдет именно тебе. Записывай свои мысли, планы и мечты и будь в тренде!</t>
  </si>
  <si>
    <t>4670159207122</t>
  </si>
  <si>
    <t>1ba825f670dbfcf193f9a8863b9dfd57</t>
  </si>
  <si>
    <t>120х180х8</t>
  </si>
  <si>
    <t>236564</t>
  </si>
  <si>
    <t>MyArt. БЛОКНОТ в клетку Дутыши. Звёзды(жёлтый)</t>
  </si>
  <si>
    <t>467-0-159-20714-6</t>
  </si>
  <si>
    <t>4670159207146</t>
  </si>
  <si>
    <t>1f9d18bbf3df1fe5ab7ca2abfc3773ab</t>
  </si>
  <si>
    <t>236565</t>
  </si>
  <si>
    <t>MyArt. БЛОКНОТ в клетку Дутыши. Ромашки</t>
  </si>
  <si>
    <t>467-0-159-20715-3</t>
  </si>
  <si>
    <t>4670159207153</t>
  </si>
  <si>
    <t>4e238c80aaaceb3018a70b818c1f7508</t>
  </si>
  <si>
    <t>СЕРИЯ: MyArt. БЛОКНОТ в клетку Милашки 48л гл.ламин, пухл, кругл.углы 130х190 (офсет 100гр)</t>
  </si>
  <si>
    <t>256224</t>
  </si>
  <si>
    <t>MyArt. БЛОКНОТ в клетку Милашки. Белый зайка</t>
  </si>
  <si>
    <t>467-0-159-27056-0</t>
  </si>
  <si>
    <t>Новая серия MyArt «Милашки» с глянцевой пухлой обложкой нежных оттенков и скругленными уголками. Выберите своего любимца: радостный Белый медвежонок, нежный Белый зайка, игривый Котёнок и забавный Корги. В каждом блокноте 48 листов в серую клетку. Идеальный подарок или комплект для творчества и заметок!</t>
  </si>
  <si>
    <t>4670159270560</t>
  </si>
  <si>
    <t>3bc6ee832c4c5327ed2ccb2467daa875</t>
  </si>
  <si>
    <t>130х190х11</t>
  </si>
  <si>
    <t>256223</t>
  </si>
  <si>
    <t>MyArt. БЛОКНОТ в клетку Милашки. Белый медвежонок</t>
  </si>
  <si>
    <t>467-0-159-27055-3</t>
  </si>
  <si>
    <t>4670159270553</t>
  </si>
  <si>
    <t>83cee3ae83bac89aedf82e4d2ccbbe14</t>
  </si>
  <si>
    <t>256225</t>
  </si>
  <si>
    <t>MyArt. БЛОКНОТ в клетку Милашки. Котёнок</t>
  </si>
  <si>
    <t>467-0-159-27057-7</t>
  </si>
  <si>
    <t>4670159270577</t>
  </si>
  <si>
    <t>191fa547946d78d11dbe9fdba32d28ec</t>
  </si>
  <si>
    <t>СЕРИЯ: MyArt. БЛОКНОТ в клетку Мировые шедевры 40л выб.лак, кругл.углы, 140х200 (бум 80гр)</t>
  </si>
  <si>
    <t>282223</t>
  </si>
  <si>
    <t>MyArt. БЛОКНОТ в клетку Мировые шедевры. Большая волна в Канагаве</t>
  </si>
  <si>
    <t>467-0-159-33572-6</t>
  </si>
  <si>
    <t>4670159335726</t>
  </si>
  <si>
    <t>139х200х5</t>
  </si>
  <si>
    <t>282225</t>
  </si>
  <si>
    <t xml:space="preserve">MyArt. БЛОКНОТ в клетку Мировые шедевры. Девушка с жемчужной серёжкой </t>
  </si>
  <si>
    <t>467-0-159-33574-0</t>
  </si>
  <si>
    <t>4670159335740</t>
  </si>
  <si>
    <t>282224</t>
  </si>
  <si>
    <t>MyArt. БЛОКНОТ в клетку Мировые шедевры. Миндаль</t>
  </si>
  <si>
    <t>467-0-159-33573-3</t>
  </si>
  <si>
    <t>4670159335733</t>
  </si>
  <si>
    <t>282222</t>
  </si>
  <si>
    <t>MyArt. БЛОКНОТ в клетку Мировые шедевры. Поцелуй</t>
  </si>
  <si>
    <t>467-0-159-33571-9</t>
  </si>
  <si>
    <t>4670159335719</t>
  </si>
  <si>
    <t>СЕРИЯ: MyArt. БЛОКНОТ в клетку Мой мини блокнот 32л мат.ламин, выб.лак, круг.углы 130х155 (офсет 80)</t>
  </si>
  <si>
    <t>240167</t>
  </si>
  <si>
    <t>MyArt. БЛОКНОТ в клетку Мой мини блокнот. Голубой</t>
  </si>
  <si>
    <t>467-0-159-21903-3</t>
  </si>
  <si>
    <t>Представляем стильные мини-блокноты с листами в клетку. Какой выберешь ты? Записывай мысли и планы, мечтай и достигай!</t>
  </si>
  <si>
    <t>4670159219033</t>
  </si>
  <si>
    <t>a9ed83cb1bc54578c663d3b3cb6b680d</t>
  </si>
  <si>
    <t>130х155х5</t>
  </si>
  <si>
    <t>240164</t>
  </si>
  <si>
    <t>MyArt. БЛОКНОТ в клетку Мой мини блокнот. Зелёный</t>
  </si>
  <si>
    <t>467-0-159-21901-9</t>
  </si>
  <si>
    <t>4670159219019</t>
  </si>
  <si>
    <t>df26043ef2d790789b82868c75b88860</t>
  </si>
  <si>
    <t>240168</t>
  </si>
  <si>
    <t>MyArt. БЛОКНОТ в клетку Мой мини блокнот. Розовый</t>
  </si>
  <si>
    <t>467-0-159-21904-0</t>
  </si>
  <si>
    <t>4670159219040</t>
  </si>
  <si>
    <t>cf5c4e7a3a3c686f61867f1e9e3e65fd</t>
  </si>
  <si>
    <t>240166</t>
  </si>
  <si>
    <t>MyArt. БЛОКНОТ в клетку Мой мини блокнот. Фиолетовый</t>
  </si>
  <si>
    <t>467-0-159-21902-6</t>
  </si>
  <si>
    <t>4670159219026</t>
  </si>
  <si>
    <t>fe4c033c63968720b0ef2052f25d0190</t>
  </si>
  <si>
    <t>СЕРИЯ: MyArt. БЛОКНОТ в клетку Тренд Тетрадь 40л глянц.ламин, кругл.углы 140х200 (офсет 80гр)</t>
  </si>
  <si>
    <t>236575</t>
  </si>
  <si>
    <t>MyArt. БЛОКНОТ в клетку Тренд Тетрадь. Ананасики</t>
  </si>
  <si>
    <t>467-0-159-20711-5</t>
  </si>
  <si>
    <t>4670159207115</t>
  </si>
  <si>
    <t>0ff2b5d21016131a61d42410e8d40a8d</t>
  </si>
  <si>
    <t>236571</t>
  </si>
  <si>
    <t>MyArt. БЛОКНОТ в клетку Тренд Тетрадь. Ромашки</t>
  </si>
  <si>
    <t>467-0-159-20707-8</t>
  </si>
  <si>
    <t>4670159207078</t>
  </si>
  <si>
    <t>07aecb2509ed8f33635a0d43914827cb</t>
  </si>
  <si>
    <t>236573</t>
  </si>
  <si>
    <t>MyArt. БЛОКНОТ в клетку Тренд Тетрадь. Собачки</t>
  </si>
  <si>
    <t>467-0-159-20709-2</t>
  </si>
  <si>
    <t>4670159207092</t>
  </si>
  <si>
    <t>9e273c17776efe07db62045452c6c052</t>
  </si>
  <si>
    <t xml:space="preserve"> MyArt. Блокноты в линию</t>
  </si>
  <si>
    <t>СЕРИЯ: MyArt. БЛОКНОТ в линию 64л выб.лак, кругл.углы, индивид.упак, 7БЦ 120х180 (бумага 120гр)</t>
  </si>
  <si>
    <t>206279</t>
  </si>
  <si>
    <t>MyArt. БЛОКНОТ в линию 64л. E-GIRL</t>
  </si>
  <si>
    <t>467-0-159-04806-0</t>
  </si>
  <si>
    <t>Блокноты в твердом переплете с плотными листами в линию — практичная новинка для тех, кто записывает мысли, текущие дела и планы на будущее!</t>
  </si>
  <si>
    <t>4670159048060</t>
  </si>
  <si>
    <t>116х180х13</t>
  </si>
  <si>
    <t>СЕРИЯ: MyArt. БЛОКНОТ в линию Black &amp; Pink 40л выб.лак, кругл.углы 135х200 (офсет 80г)</t>
  </si>
  <si>
    <t>223744</t>
  </si>
  <si>
    <t>MyArt. БЛОКНОТ в линию Black &amp; Pink. Глаза в глаза</t>
  </si>
  <si>
    <t>467-0-159-14835-7</t>
  </si>
  <si>
    <t>Что выбрать: быть интро- или экстравертом? Грустный или весёлый смайлик? Чёрный или розовый цвет? Выбирать не надо. Можно всё и сразу! Как в серии наших блокнотов в линию от MyArt. Удобный формат 13,5х20 см, 40 листов офсетной бумаги, выборочный лак на обложке — составляющие успеха серии Black &amp; Pink!</t>
  </si>
  <si>
    <t>4670159148357</t>
  </si>
  <si>
    <t>135х200х5</t>
  </si>
  <si>
    <t>223745</t>
  </si>
  <si>
    <t>MyArt. БЛОКНОТ в линию Black &amp; Pink. Девочка с кроликом</t>
  </si>
  <si>
    <t>467-0-159-14836-4</t>
  </si>
  <si>
    <t>4670159148364</t>
  </si>
  <si>
    <t>212766</t>
  </si>
  <si>
    <t>MyArt. БЛОКНОТ в линию Black &amp; Pink. НеЗая</t>
  </si>
  <si>
    <t>467-0-159-08628-4</t>
  </si>
  <si>
    <t>4670159086284</t>
  </si>
  <si>
    <t>c60193caff3a38b5bd29b47be3521dcd</t>
  </si>
  <si>
    <t>212771</t>
  </si>
  <si>
    <t>MyArt. БЛОКНОТ в линию Black &amp; Pink. Сердечко</t>
  </si>
  <si>
    <t>467-0-159-08631-4</t>
  </si>
  <si>
    <t>4670159086314</t>
  </si>
  <si>
    <t>63468978f972c7275792f5d28a064565</t>
  </si>
  <si>
    <t>СЕРИЯ: MyArt. БЛОКНОТ в линию Body Art 40л выб.лак, тиснение, кругл.углы 140х200 (офсет 80гр)</t>
  </si>
  <si>
    <t>228072</t>
  </si>
  <si>
    <t>MyArt. БЛОКНОТ в линию Body Art. Дракон</t>
  </si>
  <si>
    <t>467-0-159-16704-4</t>
  </si>
  <si>
    <t>4670159167044</t>
  </si>
  <si>
    <t>46b06a04f004203744b7996b1525cda4</t>
  </si>
  <si>
    <t>228078</t>
  </si>
  <si>
    <t>MyArt. БЛОКНОТ в линию Body Art. Змея</t>
  </si>
  <si>
    <t>467-0-159-16707-5</t>
  </si>
  <si>
    <t>4670159167075</t>
  </si>
  <si>
    <t>b2202af816a07ab0630c17bfb5d8df18</t>
  </si>
  <si>
    <t>228076</t>
  </si>
  <si>
    <t>MyArt. БЛОКНОТ в линию Body Art. Рыбы</t>
  </si>
  <si>
    <t>467-0-159-16706-8</t>
  </si>
  <si>
    <t>4670159167068</t>
  </si>
  <si>
    <t>ea59b04c943a201474251c8e86be99a3</t>
  </si>
  <si>
    <t>228074</t>
  </si>
  <si>
    <t>MyArt. БЛОКНОТ в линию Body Art. Цветы</t>
  </si>
  <si>
    <t>467-0-159-16705-1</t>
  </si>
  <si>
    <t>4670159167051</t>
  </si>
  <si>
    <t>8c95766aed15e193d7747b56d6e3120e</t>
  </si>
  <si>
    <t>СЕРИЯ: MyArt. БЛОКНОТ в линию Classic 64л лён, кругл.углы, резинка, индив.уп, 130х210 (бум 80гр)</t>
  </si>
  <si>
    <t>222898</t>
  </si>
  <si>
    <t>MyArt. БЛОКНОТ в линию Classic. Зелёный</t>
  </si>
  <si>
    <t>467-0-159-13389-6</t>
  </si>
  <si>
    <t xml:space="preserve">Для стильных и деловых! Выбирайте блокноты с минималистичным оформлением, записывайте мысли и планы, мечтайте и достигайте! </t>
  </si>
  <si>
    <t>4670159133896</t>
  </si>
  <si>
    <t>6be1e48b736a25bdd13cbf9e4dc5e4c7</t>
  </si>
  <si>
    <t>13.05.2024 0:00:00</t>
  </si>
  <si>
    <t>лён+матовая ламинация</t>
  </si>
  <si>
    <t>130х210х11</t>
  </si>
  <si>
    <t>222896</t>
  </si>
  <si>
    <t>MyArt. БЛОКНОТ в линию Classic. Красный</t>
  </si>
  <si>
    <t>467-0-159-13387-2</t>
  </si>
  <si>
    <t>4670159133872</t>
  </si>
  <si>
    <t>191d47646989923ba465a32717da3941</t>
  </si>
  <si>
    <t>222897</t>
  </si>
  <si>
    <t>MyArt. БЛОКНОТ в линию Classic. Синий</t>
  </si>
  <si>
    <t>467-0-159-13388-9</t>
  </si>
  <si>
    <t>4670159133889</t>
  </si>
  <si>
    <t>defe46347da5c8c41cd10e5c29ce3a99</t>
  </si>
  <si>
    <t>16.05.2024 0:00:00</t>
  </si>
  <si>
    <t>222895</t>
  </si>
  <si>
    <t>MyArt. БЛОКНОТ в линию Classic. Чёрный</t>
  </si>
  <si>
    <t>467-0-159-13386-5</t>
  </si>
  <si>
    <t>4670159133865</t>
  </si>
  <si>
    <t>d6008c41ef68ee3a9bce81e55e5e6cce</t>
  </si>
  <si>
    <t>СЕРИЯ: MyArt. БЛОКНОТ в линию K-Notebook 40л мат.ламин, выб.лак, кругл.углы 140х200 (офсет 80гр)</t>
  </si>
  <si>
    <t>220044</t>
  </si>
  <si>
    <t>MyArt. БЛОКНОТ в линию K-Notebook. Заяц</t>
  </si>
  <si>
    <t>467-0-159-12517-4</t>
  </si>
  <si>
    <t>Делать наброски и писать заметки в блокнотах в линию можно где угодно: и дома, и на прогулке!  Яркие обложки с выборочным лаком, офсетная бумага и удобный формат изделий непременно вдохновят на новые свершения и неожиданные решения!</t>
  </si>
  <si>
    <t>4670159125174</t>
  </si>
  <si>
    <t>990c05e484f7dc3af6287ff60b10b335</t>
  </si>
  <si>
    <t>220042</t>
  </si>
  <si>
    <t>MyArt. БЛОКНОТ в линию K-Notebook. Кофе</t>
  </si>
  <si>
    <t>467-0-159-12515-0</t>
  </si>
  <si>
    <t>4670159125150</t>
  </si>
  <si>
    <t>3b878a490f82ce6a3c7a1a6a3f72fa86</t>
  </si>
  <si>
    <t>220043</t>
  </si>
  <si>
    <t>MyArt. БЛОКНОТ в линию K-Notebook. Крокодил</t>
  </si>
  <si>
    <t>467-0-159-12516-7</t>
  </si>
  <si>
    <t>4670159125167</t>
  </si>
  <si>
    <t>6c8064aa8e00f6ad7e606262edb61480</t>
  </si>
  <si>
    <t>СЕРИЯ: MyArt. БЛОКНОТ в линию Аниме Notebook 40л выб.лак, кругл.углы 140х200 (офсет 80гр)</t>
  </si>
  <si>
    <t>219825</t>
  </si>
  <si>
    <t>MyArt. БЛОКНОТ в линию Аниме Notebook. Задорно</t>
  </si>
  <si>
    <t>467-0-159-12301-9</t>
  </si>
  <si>
    <t>4670159123019</t>
  </si>
  <si>
    <t>84df8e494b4b42e3c65832d98d0da26d</t>
  </si>
  <si>
    <t>219823</t>
  </si>
  <si>
    <t>MyArt. БЛОКНОТ в линию Аниме Notebook. На велосипеде</t>
  </si>
  <si>
    <t>467-0-159-12299-9</t>
  </si>
  <si>
    <t>4670159122999</t>
  </si>
  <si>
    <t>219824</t>
  </si>
  <si>
    <t>MyArt. БЛОКНОТ в линию Аниме Notebook. На скейте</t>
  </si>
  <si>
    <t>467-0-159-12300-2</t>
  </si>
  <si>
    <t>4670159123002</t>
  </si>
  <si>
    <t>СЕРИЯ: MyArt. БЛОКНОТ в линию В тренде 40л мат.ламин, выб.лак, кругл.углы 140х200 (бумага 80гр)</t>
  </si>
  <si>
    <t>228043</t>
  </si>
  <si>
    <t>MyArt. БЛОКНОТ в линию В тренде. Чихуа</t>
  </si>
  <si>
    <t>467-0-159-16986-4</t>
  </si>
  <si>
    <t>Новая серия блокнотов в линию MyArt — это яркие обложки и модные дерзкие персонажи. Выбери дизайн, который подойдет именно тебе. Записывай свои мысли, планы и мечты и будь в тренде!</t>
  </si>
  <si>
    <t>4670159169864</t>
  </si>
  <si>
    <t>5185a63d20007919e8b7fb2fea7578cc</t>
  </si>
  <si>
    <t>СЕРИЯ: MyArt. БЛОКНОТ в линию Мировые шедевры 40л выб.лак, кругл.углы, 140х200 (бум 80гр)</t>
  </si>
  <si>
    <t>222901</t>
  </si>
  <si>
    <t>MyArt. БЛОКНОТ в линию Мировые шедевры. Подсолнухи</t>
  </si>
  <si>
    <t>467-0-159-14025-2</t>
  </si>
  <si>
    <t>4670159140252</t>
  </si>
  <si>
    <t>254f122de439b6c9e8d91574e5725839</t>
  </si>
  <si>
    <t>СЕРИЯ: MyArt. БЛОКНОТ в линию Яркие девочки Аниме 32л выб.лак, кругл.углы 115х150 (офсет 80гр)</t>
  </si>
  <si>
    <t>228436</t>
  </si>
  <si>
    <t>MyArt. БЛОКНОТ в линию Яркие девочки Аниме. Девочка с бирюзовыми волосами</t>
  </si>
  <si>
    <t>467-0-159-17047-1</t>
  </si>
  <si>
    <t>4670159170471</t>
  </si>
  <si>
    <t>7d285a0011d5541bf7f803d6817ac476</t>
  </si>
  <si>
    <t>116х150х5</t>
  </si>
  <si>
    <t>228437</t>
  </si>
  <si>
    <t>MyArt. БЛОКНОТ в линию Яркие девочки Аниме. Девочка с жёлтыми волосами</t>
  </si>
  <si>
    <t>467-0-159-17048-8</t>
  </si>
  <si>
    <t>4670159170488</t>
  </si>
  <si>
    <t>24266bb37b7409b71373aece5980aaf8</t>
  </si>
  <si>
    <t>228439</t>
  </si>
  <si>
    <t>MyArt. БЛОКНОТ в линию Яркие девочки Аниме. Девочка с пшеничными волосами</t>
  </si>
  <si>
    <t>467-0-159-17049-5</t>
  </si>
  <si>
    <t>4670159170495</t>
  </si>
  <si>
    <t>96a29bafcc0a400ed873c98e8ecb6f27</t>
  </si>
  <si>
    <t>228435</t>
  </si>
  <si>
    <t>MyArt. БЛОКНОТ в линию Яркие девочки Аниме. Девочка с розовыми волосами</t>
  </si>
  <si>
    <t>467-0-159-17046-4</t>
  </si>
  <si>
    <t>4670159170464</t>
  </si>
  <si>
    <t>ba8e50d7f6e621a182784c4648681ffa</t>
  </si>
  <si>
    <t xml:space="preserve"> MyArt. Планинги</t>
  </si>
  <si>
    <t>СЕРИЯ: MyArt. ПЛАНИНГ А5 КБС 48л глянц.ламин 160х195 (бумага 100гр)</t>
  </si>
  <si>
    <t>185026</t>
  </si>
  <si>
    <t>MyArt. ПЛАНИНГ А5 КБС. Nail ПЛАНЕР МАСТЕРА МАНИКЮРА</t>
  </si>
  <si>
    <t xml:space="preserve">462-0-129-74096-8 </t>
  </si>
  <si>
    <t>Стильные планеры разработаны специально для мастеров маникюра. Продуманное наполнение и яркая обложка с индивидуальным дизайном сделают работу не только удобной, но и приятной. Мы заботимся о тех, кто делает этот мир красивее.</t>
  </si>
  <si>
    <t>4620129740968</t>
  </si>
  <si>
    <t>160х195х8</t>
  </si>
  <si>
    <t>185025</t>
  </si>
  <si>
    <t>MyArt. ПЛАНИНГ А5 КБС. ПЛАНИНГ МАСТЕРА Nails</t>
  </si>
  <si>
    <t xml:space="preserve">462-0-129-74095-1 </t>
  </si>
  <si>
    <t xml:space="preserve">4620129740951 </t>
  </si>
  <si>
    <t xml:space="preserve"> MyArt. Скетчбуки</t>
  </si>
  <si>
    <t xml:space="preserve"> MyArt. Скетчбуки на гребне</t>
  </si>
  <si>
    <t>CЕРИЯ: MyArt. Fashion СКЕТЧБУК на гребне 40л мат.ламин, выбор.лак, 225х174 (бумага 150гр)</t>
  </si>
  <si>
    <t>158822</t>
  </si>
  <si>
    <t>My Art. Fashion СКЕТЧБУК на гребне. Дуэт</t>
  </si>
  <si>
    <t>461-0-144-80933-7</t>
  </si>
  <si>
    <t>Скетчбук этой серии подойдет для эскизов как профессиональных, так и начинающих фэшн дизайнеров. Плотные листы позволяют рисовать не только карандашом, но и маркерами.</t>
  </si>
  <si>
    <t>4610144809337</t>
  </si>
  <si>
    <t>6ec88e83735abd11d4b997eb26eb2178</t>
  </si>
  <si>
    <t>225х174x16</t>
  </si>
  <si>
    <t>158825</t>
  </si>
  <si>
    <t>My Art. Fashion СКЕТЧБУК на гребне. Модель с сумкой</t>
  </si>
  <si>
    <t>461-0-144-80936-8</t>
  </si>
  <si>
    <t>4610144809368</t>
  </si>
  <si>
    <t>29ccfd6183827a163f1a26b650e870fb</t>
  </si>
  <si>
    <t>158824</t>
  </si>
  <si>
    <t>My Art. Fashion СКЕТЧБУК на гребне. Подиум</t>
  </si>
  <si>
    <t>461-0-144-80935-1</t>
  </si>
  <si>
    <t>4610144809351</t>
  </si>
  <si>
    <t>82d364036ee08a08a1d301d4c446f499</t>
  </si>
  <si>
    <t>СЕРИЯ: MyArt. АНИМЕ СКЕТЧБУК 64л на гребне, мат.ламин. выб.лак, кругл.углы 150х196 (бум 120гр)</t>
  </si>
  <si>
    <t>199867</t>
  </si>
  <si>
    <t>MyArt. АНИМЕ СКЕТЧБУК на гребне. На стиле</t>
  </si>
  <si>
    <t>467-0-159-01589-5</t>
  </si>
  <si>
    <t>Ты поклонник аниме и живешь «на стиле»? Тогда наши новые скетчбуки на гребне для тебя! Суперъяркие обложки с модными девчонками-чиби поднимут настроение и вдохновят на невероятные творческие свершения!</t>
  </si>
  <si>
    <t>4670159015895</t>
  </si>
  <si>
    <t>163х196х24</t>
  </si>
  <si>
    <t>199866</t>
  </si>
  <si>
    <t>MyArt. АНИМЕ СКЕТЧБУК на гребне. Сладкие мечты</t>
  </si>
  <si>
    <t>467-0-159-01588-8</t>
  </si>
  <si>
    <t>4670159015888</t>
  </si>
  <si>
    <t>199872</t>
  </si>
  <si>
    <t>MyArt. АНИМЕ СКЕТЧБУК на гребне. Фанатка мишек</t>
  </si>
  <si>
    <t>467-0-159-01591-8</t>
  </si>
  <si>
    <t>4670159015918</t>
  </si>
  <si>
    <t>СЕРИЯ: MyArt. СКЕТЧБУК А4 на гребне 64л, глянц, ламин, кругл.углы 205х305 (бум 120гр)</t>
  </si>
  <si>
    <t>206255</t>
  </si>
  <si>
    <t>MyArt. СКЕТЧБУК А4 на гребне. АНИМЕ. LOVE STORY</t>
  </si>
  <si>
    <t>467-0-159-05245-6</t>
  </si>
  <si>
    <t>Представляем серию скетчбуков макси-формата в стиле аниме. Дизайн обложек порадует поклонников японской анимации, твердый переплет обеспечит практичность и долговечность, а крепление на гребне – удобство в использовании.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а еще выдержит многократное стирание ластиком.</t>
  </si>
  <si>
    <t>4670159052456</t>
  </si>
  <si>
    <t>443bec377645fb7ca1fc7f434f843be4</t>
  </si>
  <si>
    <t>205х310х25</t>
  </si>
  <si>
    <t>206253</t>
  </si>
  <si>
    <t>MyArt. СКЕТЧБУК А4 на гребне. АНИМЕ. АНГЕЛ ГРЕЗ</t>
  </si>
  <si>
    <t>467-0-159-05244-9</t>
  </si>
  <si>
    <t>4670159052449</t>
  </si>
  <si>
    <t>62d16294b1a3978c2bf7f06ca7045080</t>
  </si>
  <si>
    <t>206256</t>
  </si>
  <si>
    <t>MyArt. СКЕТЧБУК А4 на гребне. ОГНЕННЫЙ КОТ</t>
  </si>
  <si>
    <t>467-0-159-05246-3</t>
  </si>
  <si>
    <t xml:space="preserve">Представляем серию скетчбуков макси-формата в стиле аниме. Дизайн обложек порадует поклонников японской анимации, твердый переплет обеспечит практичность и долговечность, а крепление на гребне – удобство в использовании. </t>
  </si>
  <si>
    <t>4670159052463</t>
  </si>
  <si>
    <t>c3a73f1cf47bd74242ba9869549389d3</t>
  </si>
  <si>
    <t>СЕРИЯ: MyArt. СКЕТЧБУК для АКВАРЕЛИ А5 на гребне 20л, выб.лак, мат.лам. 140х205 (бумага 200гр)</t>
  </si>
  <si>
    <t>237877</t>
  </si>
  <si>
    <t>MyArt. СКЕТЧБУК для АКВАРЕЛИ А5 на гребне. РЯБИНОВЫЙ ВЕНОК</t>
  </si>
  <si>
    <t>467-0-159-20865-5</t>
  </si>
  <si>
    <t>Новая серия скетчбуков MyArt для акварели формата А5 является отличным средством для художественного самовыражения. Идеальное сочетание практичности, высокого качества и удобства делает эти скетчбуки необходимыми для художников с любым уровнем подготовки. Каждый блокнот содержит 20 страниц из 100% целлюлозы с плотностью 200 г/м², что позволяет безопасно работать с акварелью, не беспокоясь о протеканиях или искажениях, а также обеспечивает долговечность ваших работ. Удобный размер 148х210 мм, плотная основа и стильное бронзовое крепление на гребне делают эту серию подходящей для использования на творческих встречах, в поездках или на пленэрах, позволяя раскрывать их на 360 градусов для комфортного рисования. Серия скетчбуков MyArt для акварели — это выбор настоящих художников, стремящихся передать свои эмоции через акварельные произведения! Творчество всегда рядом!</t>
  </si>
  <si>
    <t>4670159208655</t>
  </si>
  <si>
    <t>7f37b1ca16134f326f508c9d691e718c</t>
  </si>
  <si>
    <t>140х205х10</t>
  </si>
  <si>
    <t>СЕРИЯ: MyArt. СКЕТЧБУК для АКВАРЕЛИ на гребне 20л, выб.лак, 200х200 (бумага 200гр)</t>
  </si>
  <si>
    <t>218626</t>
  </si>
  <si>
    <t>MyArt. СКЕТЧБУК для АКВАРЕЛИ на гребне. ЛЕВ В КОРОНЕ</t>
  </si>
  <si>
    <t>467-0-159-11826-8</t>
  </si>
  <si>
    <t>Новая серия скетчбуков MyArt для акварели - идеальный инструмент для творчества. Сочетание практичности, качества и удобства делает эту серию незаменимой для художников всех уровней и опыта. В скетчбуках 20 листов из 100% целлюлозы плотностью 200 г/м, что позволяет работать с акварелью без опасения о протечках или искажениях, а так же сохранить ваши работы на долгие годы.Благодаря удобному квадратному формату, размеру 20х20 см, плотной подложке и креплению на стильном гребне цвета бронзы скетчбуки будет легко брать с собой на творческие встречи, в любую поездку или на пленэр, делая зарисовки, раскрыв скетчбук на 360 градусов. Серия скетчбуков MyArt для акварели с листами 200 г/м 100% целлюлоза - это выбор истинных художников, которые стремятся выразить свои эмоции и творческую энергию через акварельные картины. Позвольте этой серии стать вашим надежным спутником в искусстве!</t>
  </si>
  <si>
    <t>4670159118268</t>
  </si>
  <si>
    <t>f938f9b7dda60b3d59aaf611eaaa3a2f</t>
  </si>
  <si>
    <t>205х200х13</t>
  </si>
  <si>
    <t>218628</t>
  </si>
  <si>
    <t>MyArt. СКЕТЧБУК для АКВАРЕЛИ на гребне. ЛЕОПАРД В ВЕНКЕ</t>
  </si>
  <si>
    <t>467-0-159-11828-2</t>
  </si>
  <si>
    <t>4670159118282</t>
  </si>
  <si>
    <t>СЕРИЯ: MyArt. СКЕТЧБУК для детей на гребне С УШКАМИ 40л, глянц.ламин 150х200 (бумага 100гр)</t>
  </si>
  <si>
    <t>166993</t>
  </si>
  <si>
    <t>MyArt. СКЕТЧБУК для детей на гребне С УШКАМИ. ПАНДА</t>
  </si>
  <si>
    <t>461-0-144-84781-0</t>
  </si>
  <si>
    <t>Милые фигурные скетчбуки обязательно понравятся маленьким художникам. Ведь на обложке их встретят любимые зверушки с мягкими ушками. Небольшой формат, белые листы и пружинка сделают рисование удобным и приятным.</t>
  </si>
  <si>
    <t>4610144847810</t>
  </si>
  <si>
    <t>150х210х14</t>
  </si>
  <si>
    <t>166995</t>
  </si>
  <si>
    <t>MyArt. СКЕТЧБУК для детей на гребне С УШКАМИ. ЩЕНОК</t>
  </si>
  <si>
    <t>461-0-144-84782-7</t>
  </si>
  <si>
    <t>4610144847827</t>
  </si>
  <si>
    <t>CЕРИЯ: MyArt. Alter Ego СКЕТЧБУК 64л софт.тач, выб.лак, кругл.углы, резинка 7БЦ 130х190 (бум 120гр)</t>
  </si>
  <si>
    <t>215051</t>
  </si>
  <si>
    <t>MyArt. Alter Ego СКЕТЧБУК. Настроение Зелёное</t>
  </si>
  <si>
    <t>467-0-159-10192-5</t>
  </si>
  <si>
    <t>Новые скетчбуки серии Alter Ego притягивают взгляды! 
Плотные листы, кругленные углы, небольшой формат, резинка-фиксатор - все это делает скетчбуки удобными в использовании. А благодаря покрытию soft-touch их еще и приятно держать в руках.
Делайте зарисовки, пишите заметки и раскрывайте свое второе Я.</t>
  </si>
  <si>
    <t>4670159101925</t>
  </si>
  <si>
    <t>619b02727bcbde54b37b54b7451fd9d0</t>
  </si>
  <si>
    <t>01.12.2023 0:00:00</t>
  </si>
  <si>
    <t>130х190х14</t>
  </si>
  <si>
    <t>215052</t>
  </si>
  <si>
    <t>MyArt. Alter Ego СКЕТЧБУК. Настроение Розовое</t>
  </si>
  <si>
    <t>467-0-159-10193-2</t>
  </si>
  <si>
    <t>4670159101932</t>
  </si>
  <si>
    <t>46bdedde0ccb710bc921d707b0b6938d</t>
  </si>
  <si>
    <t>CЕРИЯ: MyArt. MeowBook СКЕТЧБУК 80л мат.ламин, выб.лак, КБС 118х150 (бум 100гр)</t>
  </si>
  <si>
    <t>199863</t>
  </si>
  <si>
    <t>MyArt. MeowBook СКЕТЧБУК. Рыжий котик</t>
  </si>
  <si>
    <t>467-0-159-01447-8</t>
  </si>
  <si>
    <t>Что может умилять, удивлять и вдохновлять больше, чем котики? Только скетчбуки с котиками! Новая серия забавных «Мяубуков» подойдет как для зарисовок, так и для записей. Белые нелинованые листы, удобный формат, яркая позитивная обложка – все самое лучшее для твоих заМУРчательных идей!</t>
  </si>
  <si>
    <t>4670159014478</t>
  </si>
  <si>
    <t>120x150x11</t>
  </si>
  <si>
    <t>CЕРИЯ: MyArt. My animal Art СКЕТЧБУК 40л мат.ламин, выб.лак, тиснение 7БЦ 200х200 (бумага 160г)</t>
  </si>
  <si>
    <t>169820</t>
  </si>
  <si>
    <t>MyArt. My animal Art. СКЕТЧБУК 7БЦ. ТИГР</t>
  </si>
  <si>
    <t>461-0-144-86643-9</t>
  </si>
  <si>
    <t>Блокноты с роскошным художественным оформлением обложек идеально подойдут как профессиональным художникам так и новичкам! Плотная бумага, удобный формат - всё это очень удобно для рисования.</t>
  </si>
  <si>
    <t>4610144866439</t>
  </si>
  <si>
    <t>da903a5985f42f00157efe65d2dd30a9</t>
  </si>
  <si>
    <t>200х200х13</t>
  </si>
  <si>
    <t>CЕРИЯ: MyArt. Pocket СКЕТЧБУК 48л мат.ламин, выб.лак, кругл.углы, резинка 7БЦ 104х146 (бум 100гр)</t>
  </si>
  <si>
    <t>177630</t>
  </si>
  <si>
    <t>MyArt. Pocket СКЕТЧБУК. БЕГЕМОТ</t>
  </si>
  <si>
    <t>462-0-129-70255-3</t>
  </si>
  <si>
    <t>Делай быстрые скетчи и записывай свои мысли всегда и везде! С нашими стильными карманными скетчбуками это очень просто! Удобный формат напоминает телефон, твердая обложка и резинка-фиксатор не дадут листам помяться.</t>
  </si>
  <si>
    <t>4620129702553</t>
  </si>
  <si>
    <t>104х146х11</t>
  </si>
  <si>
    <t>194689</t>
  </si>
  <si>
    <t>MyArt. Pocket СКЕТЧБУК. БОЛЬШАЯ ВОЛНА В КАНАГАВЕ</t>
  </si>
  <si>
    <t>462-0-129-78736-9</t>
  </si>
  <si>
    <t>4620129787369</t>
  </si>
  <si>
    <t>192111</t>
  </si>
  <si>
    <t>MyArt. Pocket СКЕТЧБУК. ГУБЫ</t>
  </si>
  <si>
    <t>462-0-129-77596-0</t>
  </si>
  <si>
    <t>4620129775960</t>
  </si>
  <si>
    <t>215039</t>
  </si>
  <si>
    <t>MyArt. Pocket СКЕТЧБУК. ДЕВУШКА В КЕПКЕ</t>
  </si>
  <si>
    <t>467-0-159-10075-1</t>
  </si>
  <si>
    <t>Представляем наши новые pocket-скетчбуки! Мини-формат удобен в поездках и на прогулке, твердый переплет гарантирует долговечность, а яркие обложки с героями в стиле аниме всегда поднимут настроение!</t>
  </si>
  <si>
    <t>4670159100751</t>
  </si>
  <si>
    <t>14.11.2023 0:00:00</t>
  </si>
  <si>
    <t>177629</t>
  </si>
  <si>
    <t>MyArt. Pocket СКЕТЧБУК. ЕДИНОРОГ</t>
  </si>
  <si>
    <t>462-0-129-70254-6</t>
  </si>
  <si>
    <t>4620129702546</t>
  </si>
  <si>
    <t>215988</t>
  </si>
  <si>
    <t>MyArt. Pocket СКЕТЧБУК. ЕНОТ</t>
  </si>
  <si>
    <t>467-0-159-10794-1</t>
  </si>
  <si>
    <t>4670159107941</t>
  </si>
  <si>
    <t>5ee7d565af510503928e2ab8a680a3e6</t>
  </si>
  <si>
    <t>215985</t>
  </si>
  <si>
    <t>MyArt. Pocket СКЕТЧБУК. КАПИБАРА</t>
  </si>
  <si>
    <t>467-0-159-10796-5</t>
  </si>
  <si>
    <t>4670159107965</t>
  </si>
  <si>
    <t>bbdf0417152e4484a44d6c5316663ac9</t>
  </si>
  <si>
    <t>177639</t>
  </si>
  <si>
    <t>MyArt. Pocket СКЕТЧБУК. ЛИСИЧКА</t>
  </si>
  <si>
    <t>462-0-129-70260-7</t>
  </si>
  <si>
    <t>4620129702607</t>
  </si>
  <si>
    <t>215989</t>
  </si>
  <si>
    <t>MyArt. Pocket СКЕТЧБУК. ЛЯГУШКА</t>
  </si>
  <si>
    <t>467-0-159-10797-2</t>
  </si>
  <si>
    <t>4670159107972</t>
  </si>
  <si>
    <t>215040</t>
  </si>
  <si>
    <t>MyArt. Pocket СКЕТЧБУК. МОЙ МИШКА</t>
  </si>
  <si>
    <t>467-0-159-10076-8</t>
  </si>
  <si>
    <t>4670159100768</t>
  </si>
  <si>
    <t>150060</t>
  </si>
  <si>
    <t>MyArt. Pocket СКЕТЧБУК. ПИНГВИНЁНОК</t>
  </si>
  <si>
    <t>468-0-088-44256-3</t>
  </si>
  <si>
    <t>4680088442563</t>
  </si>
  <si>
    <t>177637</t>
  </si>
  <si>
    <t>MyArt. Pocket СКЕТЧБУК. ЧЕРЕП</t>
  </si>
  <si>
    <t>462-0-129-70259-1</t>
  </si>
  <si>
    <t>4620129702591</t>
  </si>
  <si>
    <t>3ad43858bac15533fc1c11f7abae5643</t>
  </si>
  <si>
    <t>188913</t>
  </si>
  <si>
    <t>MyArt. Pocket СКЕТЧБУК. ЯЩЕРКИ</t>
  </si>
  <si>
    <t>462-0-129-76293-9</t>
  </si>
  <si>
    <t>4620129762939</t>
  </si>
  <si>
    <t>CЕРИЯ: MyArt. Trendy Sketchbook for Girls 64л выб.лак, резинка 7БЦ 170х220 (бумага 100гр)</t>
  </si>
  <si>
    <t>172919</t>
  </si>
  <si>
    <t>MyArt. Trendy Sketchbook for Girls. ЦВЕТЫ</t>
  </si>
  <si>
    <t>461-0-144-87996-5</t>
  </si>
  <si>
    <t>Красивый и стильный скетчбук – прекрасный подарок для современной креативной девчонки. Блокнот в твердой обложке подойдет не только для рисования, его можно вести как личный дневник, использовать в качестве планера, делать интересные заметки и дополнять их рисунками. Оригинальный рисунок на обложке добавляет скетчбуку оригинальности и помогает его хозяйке выразить свою индивидуальность.</t>
  </si>
  <si>
    <t>4610144879965</t>
  </si>
  <si>
    <t>170х220х14</t>
  </si>
  <si>
    <t>CЕРИЯ: MyArt. Van Gogh Сollection СКЕТЧБУК 64л мат.ламин, кругл.углы, инд.упак 7БЦ 130х190 (бум 120)</t>
  </si>
  <si>
    <t>228480</t>
  </si>
  <si>
    <t>MyArt. Van Gogh Сollection СКЕТЧБУК. Ирисы</t>
  </si>
  <si>
    <t>467-0-159-16317-6</t>
  </si>
  <si>
    <t xml:space="preserve">Однотонные скетчбуки, обложку которых обрамляет обечайка с шедеврами Ван Гога, – для самых практичных и стильных! Пишите заметки, делайте наброски и эскизы, рисуйте сразу в цвете! </t>
  </si>
  <si>
    <t>4670159163176</t>
  </si>
  <si>
    <t>c27c2f5d7d41dad20b0f9b32bbba8382</t>
  </si>
  <si>
    <t>130х190х13</t>
  </si>
  <si>
    <t>228478</t>
  </si>
  <si>
    <t>MyArt. Van Gogh Сollection СКЕТЧБУК. Ночная терраса кафе</t>
  </si>
  <si>
    <t>467-0-159-16315-2</t>
  </si>
  <si>
    <t>4670159163152</t>
  </si>
  <si>
    <t>84b565e3ed90617817e029127f4832bb</t>
  </si>
  <si>
    <t>24.10.2024 0:00:00</t>
  </si>
  <si>
    <t>228479</t>
  </si>
  <si>
    <t>MyArt. Van Gogh Сollection СКЕТЧБУК. Подсолнухи</t>
  </si>
  <si>
    <t>467-0-159-16316-9</t>
  </si>
  <si>
    <t>4670159163169</t>
  </si>
  <si>
    <t>a656e68e8273dced507ffc2ea199df38</t>
  </si>
  <si>
    <t>CЕРИЯ: MyArt. Wonderland СКЕТЧБУК 64л выб.лак, кругл.углы, в пакете 120х180 (бумага 120гр)</t>
  </si>
  <si>
    <t>211251</t>
  </si>
  <si>
    <t>MyArt. СКЕТЧБУК "Wonderland sketchbook" АЛИСА С ФЛАМИНГО</t>
  </si>
  <si>
    <t>467-0-159-07917-0</t>
  </si>
  <si>
    <t xml:space="preserve">Представляем невероятно стильные скетчбуки! Обложки с легендарными иллюстрациями первой книги Льюиса Кэрролла «Алиса в стране чудес» дополнят любой модный образ, а небольшой формат удобен в использовании – рисуйте и делайте эскизы, пишите развернутые тексты и оставляйте короткие заметки!  Каждая книжка упакована в пленку, что гарантирует покупателю презентабельный вид даже после доставки издалека.  </t>
  </si>
  <si>
    <t>4670159079170</t>
  </si>
  <si>
    <t>727f0bb4b76d037ad3fd8964c69b6276</t>
  </si>
  <si>
    <t>116х180х15</t>
  </si>
  <si>
    <t>198357</t>
  </si>
  <si>
    <t>MyArt. СКЕТЧБУК "Wonderland sketchbook" КРОЛИК</t>
  </si>
  <si>
    <t>467-0-159-00605-3</t>
  </si>
  <si>
    <t>4670159006053</t>
  </si>
  <si>
    <t>117х180х12</t>
  </si>
  <si>
    <t>211252</t>
  </si>
  <si>
    <t>MyArt. СКЕТЧБУК "Wonderland sketchbook" ШАЛТАЙ-БОЛТАЙ</t>
  </si>
  <si>
    <t>467-0-159-07918-7</t>
  </si>
  <si>
    <t>4670159079187</t>
  </si>
  <si>
    <t>60798d41af9b1acfcd02ec842e11ea08</t>
  </si>
  <si>
    <t>CЕРИЯ: MyArt. XS Pocket СКЕТЧБУК 48л мат.ламин, выб.лак, кругл.углы 7БЦ 94х138 (бумага 120гр)</t>
  </si>
  <si>
    <t>194050</t>
  </si>
  <si>
    <t>MyArt. XS Pocket СКЕТЧБУК. Аниме. Взгляд дракона</t>
  </si>
  <si>
    <t>462-0-129-78360-6</t>
  </si>
  <si>
    <t>Что делать, если муза творчества и вдохновение внезапно посетили вне дома? Достать из рюкзака, сумки или широких штанин наш новый XS pocket sketchbook! Мини-формат удобен в поездках и на прогулке, твердый переплет гарантирует долговечность, а стильные обложки всегда поднимут настроение!</t>
  </si>
  <si>
    <t>4620129783606</t>
  </si>
  <si>
    <t>95х138х11</t>
  </si>
  <si>
    <t>194049</t>
  </si>
  <si>
    <t>MyArt. XS Pocket СКЕТЧБУК. Аниме. Девочка с голубыми волосами</t>
  </si>
  <si>
    <t>462-0-129-78359-0</t>
  </si>
  <si>
    <t>4620129783590</t>
  </si>
  <si>
    <t>194052</t>
  </si>
  <si>
    <t>MyArt. XS Pocket СКЕТЧБУК. Аниме. Девушка с молотом</t>
  </si>
  <si>
    <t>462-0-129-78362-0</t>
  </si>
  <si>
    <t>4620129783620</t>
  </si>
  <si>
    <t>194051</t>
  </si>
  <si>
    <t>MyArt. XS Pocket СКЕТЧБУК. Аниме. Маленькая ведьмочка</t>
  </si>
  <si>
    <t>462-0-129-78361-3</t>
  </si>
  <si>
    <t>4620129783613</t>
  </si>
  <si>
    <t>СЕРИЯ: MyArt. Pocket ArtBook 80л выб.лак, кругл.углы КБС 100х138 (бумага 100гр)</t>
  </si>
  <si>
    <t>183469</t>
  </si>
  <si>
    <t>MyArt. Pocket ArtBook. Авокадо</t>
  </si>
  <si>
    <t>462-0-129-72070-0</t>
  </si>
  <si>
    <t>Блокноты удобного небольшого формата с оригинальным художественным оформлением отлично подойдут как для зарисовок, так и для ведения заметок.</t>
  </si>
  <si>
    <t>4620129720700</t>
  </si>
  <si>
    <t>194653</t>
  </si>
  <si>
    <t>MyArt. Pocket ArtBook. Большая волна в Канагаве</t>
  </si>
  <si>
    <t>462-0-129-78735-2</t>
  </si>
  <si>
    <t>4620129787352</t>
  </si>
  <si>
    <t>6be0ce35d0a8e454483c6aadbdfd721e</t>
  </si>
  <si>
    <t>183472</t>
  </si>
  <si>
    <t>MyArt. Pocket ArtBook. Девочка</t>
  </si>
  <si>
    <t>462-0-129-72073-1</t>
  </si>
  <si>
    <t>4620129720731</t>
  </si>
  <si>
    <t>4fee84a418127a71d7c1323932d7d216</t>
  </si>
  <si>
    <t>188900</t>
  </si>
  <si>
    <t>MyArt. Pocket ArtBook. Девушка с волками</t>
  </si>
  <si>
    <t>462-0-129-76155-0</t>
  </si>
  <si>
    <t>4620129761550</t>
  </si>
  <si>
    <t>214973</t>
  </si>
  <si>
    <t>MyArt. Pocket ArtBook. Клод Моне. Кувшинки</t>
  </si>
  <si>
    <t>467-0-159-10047-8</t>
  </si>
  <si>
    <t>Где творчество, там скетчбуки серии Pocket Artbook. И наоборот! Особенно, когда обложки украшают мировые шедевры живописи. Пишите заметки, делайте наброски и эскизы – плотная качественная бумага подходит для цветных и графитовых карандашей, гелевых и шариковых ручек. Кроме того, она не пропускает чернила и выдержит многократное стирание ластиком. Благодаря мини-формату скетчбук легко уместится в кармане или сумочке.</t>
  </si>
  <si>
    <t>4670159100478</t>
  </si>
  <si>
    <t>195234</t>
  </si>
  <si>
    <t>MyArt. Pocket ArtBook. Котик на пончике</t>
  </si>
  <si>
    <t>462-0-129-78831-1</t>
  </si>
  <si>
    <t>4620129788311</t>
  </si>
  <si>
    <t>214971</t>
  </si>
  <si>
    <t>MyArt. Pocket ArtBook. Леонардо да Винчи. Мона Лиза</t>
  </si>
  <si>
    <t>467-0-159-10045-4</t>
  </si>
  <si>
    <t>4670159100454</t>
  </si>
  <si>
    <t>94b1deb1037cf395128f38b31e13a971</t>
  </si>
  <si>
    <t>183471</t>
  </si>
  <si>
    <t>MyArt. Pocket ArtBook. Листья</t>
  </si>
  <si>
    <t>462-0-129-72072-4</t>
  </si>
  <si>
    <t>4620129720724</t>
  </si>
  <si>
    <t>94d3c05c74c51ed7847bef8b32da21ff</t>
  </si>
  <si>
    <t>193672</t>
  </si>
  <si>
    <t>MyArt. Pocket ArtBook. Магия</t>
  </si>
  <si>
    <t>462-0-129-78097-1</t>
  </si>
  <si>
    <t>4620129780971</t>
  </si>
  <si>
    <t>183481</t>
  </si>
  <si>
    <t>MyArt. Pocket ArtBook. Розы</t>
  </si>
  <si>
    <t>462-0-129-72801-0</t>
  </si>
  <si>
    <t>4620129728010</t>
  </si>
  <si>
    <t>190373</t>
  </si>
  <si>
    <t>MyArt. Pocket ArtBook. Романтика</t>
  </si>
  <si>
    <t>462-0-129-77000-2</t>
  </si>
  <si>
    <t>4620129770002</t>
  </si>
  <si>
    <t>СЕРИЯ: MyArt. Sketchbook for Pocket 48л выб.лак, кругл.углы 7БЦ 105х149 (бумага 120гр)</t>
  </si>
  <si>
    <t>192124</t>
  </si>
  <si>
    <t>MyArt. Sketchbook for Pocket. Грустный котик</t>
  </si>
  <si>
    <t>462-0-129-77386-7</t>
  </si>
  <si>
    <t xml:space="preserve">Милые и дерзкие, яркие и нежные – из новой линейки скетбуков MyArt ты можешь выбрать тот, что подойдёт именно тебе! Небольшой блокнот удобного карманного формата можно носить с собой, чтобы делать быстрые скетчи или записывать свои мысли и планы. </t>
  </si>
  <si>
    <t>4620129773867</t>
  </si>
  <si>
    <t>105х149х11</t>
  </si>
  <si>
    <t>192115</t>
  </si>
  <si>
    <t>MyArt. Sketchbook for Pocket. Рок гитара</t>
  </si>
  <si>
    <t>462-0-129-77378-2</t>
  </si>
  <si>
    <t>4620129773782</t>
  </si>
  <si>
    <t>СЕРИЯ: MyArt. КВАДРАТНЫЙ СКЕТЧБУК 80л мат.ламин, выб.лак, ляссе, резинка 7БЦ 200х200 (бумага 100гр)</t>
  </si>
  <si>
    <t>194656</t>
  </si>
  <si>
    <t>MyArt. КВАДРАТНЫЙ СКЕТЧБУК. Большая волна в Канагаве</t>
  </si>
  <si>
    <t>462-0-129-78737-6</t>
  </si>
  <si>
    <t>Серию скетчбуков с мировыми шедеврами живописи на обложках пополнила новинка – «Кацусика Хокусай. Большая волна в Канагаве».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Кроме того, она не пропускает чернила и выдержит многократное стирание ластиком.</t>
  </si>
  <si>
    <t>4620129787376</t>
  </si>
  <si>
    <t>d232768c37c77e606786255a5b00fed5</t>
  </si>
  <si>
    <t>200х200х19</t>
  </si>
  <si>
    <t>154480</t>
  </si>
  <si>
    <t>MyArt. КВАДРАТНЫЙ СКЕТЧБУК. Винсент Ван Гог. Звёздная ночь</t>
  </si>
  <si>
    <t>468-0-088-48541-6</t>
  </si>
  <si>
    <t>В новую серию вошли четыре скетчбука по 80 листов с эластичным фиксатором страниц. Дизайн обложек, навеянный знаменитыми полотнами классиков мировой живописи - Ван Гога, Моне, Климта, Дега, гарантирует презентабельный вид, а твёрдый переплёт - практичность и долговечность.</t>
  </si>
  <si>
    <t>4680088485416</t>
  </si>
  <si>
    <t>ffe38e10b3628ac8c9bd774f4e440480</t>
  </si>
  <si>
    <t>200824</t>
  </si>
  <si>
    <t>MyArt. КВАДРАТНЫЙ СКЕТЧБУК. Винсент Ван Гог. Подсолнухи</t>
  </si>
  <si>
    <t>467-0-159-02158-2</t>
  </si>
  <si>
    <t>Серию скетчбуков с мировыми шедеврами живописи на обложках пополнили четыре новинки: «Леонардо да Винчи. Мона Лиза», «Пьер Ренуар. Зонтики», «Клод Моне. Кувшинки», «Винсент Ван Гог. Подсолнухи».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Кроме того, она не пропускает чернила и выдержит многократное стирание ластиком.</t>
  </si>
  <si>
    <t>4670159021582</t>
  </si>
  <si>
    <t>мат.ламанация+ выб.лак</t>
  </si>
  <si>
    <t>154482</t>
  </si>
  <si>
    <t>MyArt. КВАДРАТНЫЙ СКЕТЧБУК. Густав Климт. Поцелуй</t>
  </si>
  <si>
    <t>468-0-088-48543-0</t>
  </si>
  <si>
    <t>4680088485430</t>
  </si>
  <si>
    <t>228465</t>
  </si>
  <si>
    <t>MyArt. КВАДРАТНЫЙ СКЕТЧБУК. Леонардо да Винчи. Дама с горностаем</t>
  </si>
  <si>
    <t>467-0-159-16282-7</t>
  </si>
  <si>
    <t>Серию скетчбуков с мировыми шедеврами живописи на обложках пополнили две новинки: «Леонардо да Винчи. Дама с горностаем» и «Винсент Ван Гог. Ночная терраса кафе».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Кроме того, она не пропускает чернила и выдержит многократное стирание ластиком.</t>
  </si>
  <si>
    <t>4670159162827</t>
  </si>
  <si>
    <t>b5a11cc734e51c84cfe1996e113f3bbc</t>
  </si>
  <si>
    <t>200829</t>
  </si>
  <si>
    <t>MyArt. КВАДРАТНЫЙ СКЕТЧБУК. Леонардо да Винчи. Мона Лиза</t>
  </si>
  <si>
    <t>467-0-159-02160-5</t>
  </si>
  <si>
    <t>4670159021605</t>
  </si>
  <si>
    <t>214968</t>
  </si>
  <si>
    <t>MyArt. КВАДРАТНЫЙ СКЕТЧБУК. Микеланджело Буанаротти. Сотворение Адама</t>
  </si>
  <si>
    <t>467-0-159-10042-3</t>
  </si>
  <si>
    <t xml:space="preserve">Серию скетчбуков с мировыми шедеврами живописи на обложках пополнили новинки: «Микеланджело Буонарроти. Сотворение Адама» и «Сандро Боттичелли. Рождение Венеры». Пишите заметки, делайте наброски и эскизы – плотная качественная бумага подходит для цветных и графитовых карандашей, гелевых и шариковых ручек. Кроме того, она не пропускает чернила и выдержит многократное стирание ластиком. </t>
  </si>
  <si>
    <t>4670159100423</t>
  </si>
  <si>
    <t>20.11.2023 0:00:00</t>
  </si>
  <si>
    <t>200826</t>
  </si>
  <si>
    <t>MyArt. КВАДРАТНЫЙ СКЕТЧБУК. Пьер Ренуар. Зонтики</t>
  </si>
  <si>
    <t>467-0-159-02159-9</t>
  </si>
  <si>
    <t>4670159021599</t>
  </si>
  <si>
    <t>7e3495e9716b2644e5a3fe046e1dfc9b</t>
  </si>
  <si>
    <t>214969</t>
  </si>
  <si>
    <t>MyArt. КВАДРАТНЫЙ СКЕТЧБУК. Сандро Боттичелли. Рождение Венеры</t>
  </si>
  <si>
    <t>467-0-159-10043-0</t>
  </si>
  <si>
    <t>4670159100430</t>
  </si>
  <si>
    <t>154479</t>
  </si>
  <si>
    <t>MyArt. КВАДРАТНЫЙ СКЕТЧБУК. Эдгар Дега. Три танцовщицы в синих пачках с красным корсажем</t>
  </si>
  <si>
    <t>468-0-088-48540-9</t>
  </si>
  <si>
    <t>4680088485409</t>
  </si>
  <si>
    <t>203142</t>
  </si>
  <si>
    <t>MyArt. КВАДРАТНЫЙ СКЕТЧБУК. Ян Вермеер. Девушка с жемчужной серёжкой</t>
  </si>
  <si>
    <t>467-0-159-03613-5</t>
  </si>
  <si>
    <t>Серию скетчбуков с мировыми шедеврами живописи на обложках пополнила новинка – «Ян Вермеер. Девушка с жемчужной сережкой».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Кроме того, она не пропускает чернила и выдержит многократное стирание ластиком.</t>
  </si>
  <si>
    <t>4670159036135</t>
  </si>
  <si>
    <t>СЕРИЯ: MyArt. СКЕТЧБУК  48л с обечайкой, мат.ламин, каландр, резинка, индивид.уп 165х165 (бум 160гр)</t>
  </si>
  <si>
    <t>256235</t>
  </si>
  <si>
    <t>MyArt. СКЕТЧБУК 165х165. БЕНГАЛЬСКАЯ КОШКА</t>
  </si>
  <si>
    <t>467-0-159-27133-8</t>
  </si>
  <si>
    <t>Минимализм – и ничего лишнего! Квадратные скетчбуки, однотонную обложку которых обрамляет обечайка со сдержанным дизайном и основной информацией, – для самых практичных и стильных! Пишите заметки, делайте наброски и эскизы, рисуйте сразу в цвете! Плотная качественная бумага подходит для цветных и графитовых карандашей, гелевых и шариковых ручек, фломастеров и маркеров. Кроме того, она не пропускает чернила и краски и выдержит многократное стирание ластиком.</t>
  </si>
  <si>
    <t>4670159271338</t>
  </si>
  <si>
    <t>2acf3e7b45bf1b402151b75e4259c4f1</t>
  </si>
  <si>
    <t>165х165х13</t>
  </si>
  <si>
    <t>256233</t>
  </si>
  <si>
    <t>MyArt. СКЕТЧБУК 165х165. ДАМА В ШЛЯПЕ</t>
  </si>
  <si>
    <t>467-0-159-27132-1</t>
  </si>
  <si>
    <t>4670159271321</t>
  </si>
  <si>
    <t>0189f4d568689728bb5a429308eb241b</t>
  </si>
  <si>
    <t>222893</t>
  </si>
  <si>
    <t>MyArt. СКЕТЧБУК 165х165. КЕДЫ</t>
  </si>
  <si>
    <t>467-0-159-13045-1</t>
  </si>
  <si>
    <t>4670159130451</t>
  </si>
  <si>
    <t>c82b158bc8796bc7d28299c3c22cfb9d</t>
  </si>
  <si>
    <t>03.05.2024 0:00:00</t>
  </si>
  <si>
    <t>245248</t>
  </si>
  <si>
    <t>MyArt. СКЕТЧБУК 165х165. КОРГИ</t>
  </si>
  <si>
    <t>467-0-159-23812-6</t>
  </si>
  <si>
    <t>4670159238126</t>
  </si>
  <si>
    <t>9f6ed25421cc45326495e00d63cd3fa2</t>
  </si>
  <si>
    <t>29.01.2025 0:00:00</t>
  </si>
  <si>
    <t>245246</t>
  </si>
  <si>
    <t>MyArt. СКЕТЧБУК 165х165. МЕГАПОЛИС</t>
  </si>
  <si>
    <t>467-0-159-23811-9</t>
  </si>
  <si>
    <t>4670159238119</t>
  </si>
  <si>
    <t>881433c4a2a950938081540bc1156206</t>
  </si>
  <si>
    <t>12.02.2025 0:00:00</t>
  </si>
  <si>
    <t>222890</t>
  </si>
  <si>
    <t>MyArt. СКЕТЧБУК 165х165. МЕЙН-КУН</t>
  </si>
  <si>
    <t>467-0-159-13042-0</t>
  </si>
  <si>
    <t>4670159130420</t>
  </si>
  <si>
    <t>02.05.2024 0:00:00</t>
  </si>
  <si>
    <t>256232</t>
  </si>
  <si>
    <t>MyArt. СКЕТЧБУК 165х165. ПОМЕРАНСКИЙ ШПИЦ</t>
  </si>
  <si>
    <t>467-0-159-27131-4</t>
  </si>
  <si>
    <t>4670159271314</t>
  </si>
  <si>
    <t>d1ca42fb2ab86c9fe06431ee88dc998f</t>
  </si>
  <si>
    <t>278184</t>
  </si>
  <si>
    <t>MyArt. СКЕТЧБУК 165х165. РАЙСКИЙ ОСТРОВ</t>
  </si>
  <si>
    <t>467-0-159-33115-5</t>
  </si>
  <si>
    <t>4670159331155</t>
  </si>
  <si>
    <t>278183</t>
  </si>
  <si>
    <t>MyArt. СКЕТЧБУК 165х165. РОМАНТИКА</t>
  </si>
  <si>
    <t>467-0-159-33114-8</t>
  </si>
  <si>
    <t>4670159331148</t>
  </si>
  <si>
    <t>СЕРИЯ: MyArt. СКЕТЧБУК "В ТРЕНДЕ" 64л мат.лам, выб.лак, кругл.углы 7БЦ 145х203 (бумага 120гр)</t>
  </si>
  <si>
    <t>223748</t>
  </si>
  <si>
    <t>MyArt. СКЕТЧБУК "В ТРЕНДЕ" АСТА ЛА ВИСТА, ГУСИК!</t>
  </si>
  <si>
    <t>467-0-159-14833-3</t>
  </si>
  <si>
    <t>Сегодня важно быть в тренде во всех сферах. Трендовая одежда, трендовая музыка и, разумеется, трендовые скетчбуки. Новая серия MyArt именно такая. Яркие цвета обложек и дерзкие персонажи — MyArt устанавливает свои правила.</t>
  </si>
  <si>
    <t>4670159148333</t>
  </si>
  <si>
    <t>221111</t>
  </si>
  <si>
    <t>MyArt. СКЕТЧБУК "В ТРЕНДЕ" ЗАХОЧЕШЬ БЫТЬ В ТРЕНДЕ, И НЕ НА ТАКОЕ ПОЙДЁШЬ</t>
  </si>
  <si>
    <t>467-0-159-13315-5</t>
  </si>
  <si>
    <t>4670159133155</t>
  </si>
  <si>
    <t>4d59a9e0a40e4f24b116680e3564c32e</t>
  </si>
  <si>
    <t>215833</t>
  </si>
  <si>
    <t>MyArt. СКЕТЧБУК "В ТРЕНДЕ" КАПИБАРА И ГУСЬ</t>
  </si>
  <si>
    <t>467-0-159-10696-8</t>
  </si>
  <si>
    <t>4670159106968</t>
  </si>
  <si>
    <t>08.09.2023 0:00:00</t>
  </si>
  <si>
    <t>215832</t>
  </si>
  <si>
    <t>MyArt. СКЕТЧБУК "В ТРЕНДЕ" КАПИБАРА ЛУЧШЕ</t>
  </si>
  <si>
    <t>467-0-159-10695-1</t>
  </si>
  <si>
    <t>4670159106951</t>
  </si>
  <si>
    <t>223746</t>
  </si>
  <si>
    <t>MyArt. СКЕТЧБУК "В ТРЕНДЕ" КАПИДЗИЛЛА И ГУСЬ-КОНГ</t>
  </si>
  <si>
    <t>467-0-159-14831-9</t>
  </si>
  <si>
    <t>4670159148319</t>
  </si>
  <si>
    <t>221113</t>
  </si>
  <si>
    <t>MyArt. СКЕТЧБУК "В ТРЕНДЕ" МЫ ОТПУСТИЛИ, НО НЕ ЗАБЫЛИ</t>
  </si>
  <si>
    <t>467-0-159-13314-8</t>
  </si>
  <si>
    <t>4670159133148</t>
  </si>
  <si>
    <t>6f1051f8f8bcfec9e099eb1deb95b46e</t>
  </si>
  <si>
    <t>221114</t>
  </si>
  <si>
    <t>MyArt. СКЕТЧБУК "В ТРЕНДЕ" НУ ЧТО, ПОЕХАЛИ?</t>
  </si>
  <si>
    <t>467-0-159-13316-2</t>
  </si>
  <si>
    <t>4670159133162</t>
  </si>
  <si>
    <t>fc5575d1cecf6f9e7e84cdcf2436092a</t>
  </si>
  <si>
    <t>221112</t>
  </si>
  <si>
    <t>MyArt. СКЕТЧБУК "В ТРЕНДЕ" РЫБА ТВОЕЙ МЕЧТЫ</t>
  </si>
  <si>
    <t>467-0-159-13313-1</t>
  </si>
  <si>
    <t>4670159133131</t>
  </si>
  <si>
    <t>037106a8dad915bb24bc1561c57c9487</t>
  </si>
  <si>
    <t>215835</t>
  </si>
  <si>
    <t>MyArt. СКЕТЧБУК "В ТРЕНДЕ" СУПЕРСТАРЫ</t>
  </si>
  <si>
    <t>467-0-159-10698-2</t>
  </si>
  <si>
    <t>4670159106982</t>
  </si>
  <si>
    <t>11.09.2023 0:00:00</t>
  </si>
  <si>
    <t>223749</t>
  </si>
  <si>
    <t>MyArt. СКЕТЧБУК "В ТРЕНДЕ" ТРЕНДЫ В КОСПЛЕЕ</t>
  </si>
  <si>
    <t>467-0-159-14834-0</t>
  </si>
  <si>
    <t>4670159148340</t>
  </si>
  <si>
    <t>228041</t>
  </si>
  <si>
    <t>MyArt. СКЕТЧБУК "В ТРЕНДЕ" ЧИХУАШКА - ОПАСНОСТЬ</t>
  </si>
  <si>
    <t>467-0-159-16716-7</t>
  </si>
  <si>
    <t>4670159167167</t>
  </si>
  <si>
    <t>e3842bcb28596914de61da62002a45ab</t>
  </si>
  <si>
    <t>03.07.2024 0:00:00</t>
  </si>
  <si>
    <t>СЕРИЯ: MyArt. СКЕТЧБУК "Ван Гог Премиум" 64л выб.лак, кругл.углы, цвет.обрез 7БЦ 190х190 (бум 160гр)</t>
  </si>
  <si>
    <t>258290</t>
  </si>
  <si>
    <t>MyArt. СКЕТЧБУК "Ван Гог Премиум" Звёздная ночь</t>
  </si>
  <si>
    <t xml:space="preserve">467-0-159-27810-8 </t>
  </si>
  <si>
    <t>В новую серию «Ван Гог Премиум» вошли четыре роскошных скетчбука. Дизайн обложек и цветной срез листов повторяют полотна классика мировой живописи и обеспечивают презентабельный вид, а твёрдый переплёт гарантирует практичность и долговечность.</t>
  </si>
  <si>
    <t>4670159278108</t>
  </si>
  <si>
    <t>d4f33195a540c728f98819506aa378f6</t>
  </si>
  <si>
    <t>189х189х15</t>
  </si>
  <si>
    <t>265685</t>
  </si>
  <si>
    <t>MyArt. СКЕТЧБУК "Ван Гог Премиум" Звездная ночь над Роной</t>
  </si>
  <si>
    <t>467-0-159-29586-0</t>
  </si>
  <si>
    <t>4670159295860</t>
  </si>
  <si>
    <t>366abe26807b54e3e9ece3a32d48a8d5</t>
  </si>
  <si>
    <t>258294</t>
  </si>
  <si>
    <t>MyArt. СКЕТЧБУК "Ван Гог Премиум" Ночная терраса кафе</t>
  </si>
  <si>
    <t xml:space="preserve">467-0-159-27813-9 </t>
  </si>
  <si>
    <t>4670159278139</t>
  </si>
  <si>
    <t>acf36ed6198404d4db7f649180fb810a</t>
  </si>
  <si>
    <t>265686</t>
  </si>
  <si>
    <t>MyArt. СКЕТЧБУК "Ван Гог Премиум" Подсолнухи</t>
  </si>
  <si>
    <t>467-0-159-29585-3</t>
  </si>
  <si>
    <t>4670159295853</t>
  </si>
  <si>
    <t>258293</t>
  </si>
  <si>
    <t>MyArt. СКЕТЧБУК "Ван Гог Премиум" Пшеничное поле с кипарисом</t>
  </si>
  <si>
    <t>467-0-159-27812-2</t>
  </si>
  <si>
    <t>4670159278122</t>
  </si>
  <si>
    <t>e5f0105be064d4af4046102a1c71b88e</t>
  </si>
  <si>
    <t>258292</t>
  </si>
  <si>
    <t>MyArt. СКЕТЧБУК "Ван Гог Премиум" Цветущие ветки миндаля</t>
  </si>
  <si>
    <t>467-0-159-27811-5</t>
  </si>
  <si>
    <t>4670159278115</t>
  </si>
  <si>
    <t>a468d71fd5f08330aea4dae1d932ff35</t>
  </si>
  <si>
    <t>СЕРИЯ: MyArt. СКЕТЧБУК "ДНК" 64л мат.ламин, выб.лак, кругл.углы, индивид.уп 7БЦ 145х203 (бум 120гр)</t>
  </si>
  <si>
    <t>216205</t>
  </si>
  <si>
    <t>MyArt. СКЕТЧБУК "ДНК" ГРАФФИТИ</t>
  </si>
  <si>
    <t>467-0-159-09402-9</t>
  </si>
  <si>
    <t>Российский бренд одежды DNK был основан в 2015 году сёстрами Анной и Ольгой Ничковыми. За несколько лет небольшое предприятие из Ростова-на-Дону превратилось в бренд всероссийского масштаба. Сейчас бренд активно развивает два направления: DNK Russia регулярно выпускает коллекции для взрослых, а DNK Kids специализируется на дизайнерской одежде для детей и подростков.</t>
  </si>
  <si>
    <t>4670159094029</t>
  </si>
  <si>
    <t>859f342253a88ee94c66956cc0681e6f</t>
  </si>
  <si>
    <t>145x203x13</t>
  </si>
  <si>
    <t>216206</t>
  </si>
  <si>
    <t>MyArt. СКЕТЧБУК "ДНК" ЛЕГЕНДЫ</t>
  </si>
  <si>
    <t>467-0-159-09403-6</t>
  </si>
  <si>
    <t>4670159094036</t>
  </si>
  <si>
    <t>2fb5f5e97cb95e37d758e184c3d4bf90</t>
  </si>
  <si>
    <t>СЕРИЯ: MyArt. СКЕТЧБУК "ЗОЛОТОЙ" 64л холодное тиснение, кругл.углы, ляссе 7БЦ 200х262 (бумага 150гр)</t>
  </si>
  <si>
    <t>158829</t>
  </si>
  <si>
    <t>MyArt. СКЕТЧБУК Золотой. Лисичка</t>
  </si>
  <si>
    <t>461-0-144-80939-9</t>
  </si>
  <si>
    <t>Таинственные, элегантные и такие притягательные скетчбуки формата А4 из новой коллекции линейки для творчества MyArt подходят как для зарисовок, так и для ведения записей. Твердая матовая обложка с золотистым тиснением надежно сохранит ваши творческие идеи. Скетчбук тактильно приятен и прекрасен в качестве подарка близкому другу и себе любимому.</t>
  </si>
  <si>
    <t>4610144809399</t>
  </si>
  <si>
    <t>200х260х12</t>
  </si>
  <si>
    <t>158830</t>
  </si>
  <si>
    <t>MyArt. СКЕТЧБУК Золотой. Мишка</t>
  </si>
  <si>
    <t>461-0-144-80940-5</t>
  </si>
  <si>
    <t>4610144809405</t>
  </si>
  <si>
    <t>СЕРИЯ: MyArt. СКЕТЧБУК "МРАЧНАЯ СРЕДА" 64л выб.лак, кругл.углы, 7БЦ 145х203 (бумага 120гр)</t>
  </si>
  <si>
    <t>203314</t>
  </si>
  <si>
    <t>MyArt. СКЕТЧБУК "МРАЧНАЯ СРЕДА" МРАЧНАЯ СИМФОНИЯ</t>
  </si>
  <si>
    <t>467-0-159-03831-3</t>
  </si>
  <si>
    <t>Долгожданная новинка месяца! «Мрачная среда» пробудит вашу творческую натуру ото сна, поможет заглянуть вглубь себя и выразить самое сокровенное на страницах этих стильных скетчбуков. Эксклюзивные иллюстрации на обложках сделают блокноты прекрасным подарком для детей и взрослых. Соберите всю коллекцию.</t>
  </si>
  <si>
    <t>4670159038313</t>
  </si>
  <si>
    <t>145х203х13</t>
  </si>
  <si>
    <t>СЕРИЯ: MyArt. СКЕТЧБУК "НА СТИЛЕ" 64л выб.лак, кругл.углы, индивид.упак, 7БЦ 145х203 (бумага 120гр)</t>
  </si>
  <si>
    <t>200817</t>
  </si>
  <si>
    <t>MyArt. СКЕТЧБУК "НА СТИЛЕ" ВОЛК</t>
  </si>
  <si>
    <t>467-0-159-02205-3</t>
  </si>
  <si>
    <t>Стильные, яркие, необычные скетчбуки созданы специально для творческих личностей. Эксклюзивные обложки подчеркивают индивидуальность и вдохновляют на смелое самовыражение. Творите и проявляйтесь вместе с MyArt!</t>
  </si>
  <si>
    <t>4670159022053</t>
  </si>
  <si>
    <t>200816</t>
  </si>
  <si>
    <t>MyArt. СКЕТЧБУК "НА СТИЛЕ" ЗАЯЦ</t>
  </si>
  <si>
    <t>467-0-159-02204-6</t>
  </si>
  <si>
    <t>4670159022046</t>
  </si>
  <si>
    <t>200818</t>
  </si>
  <si>
    <t>MyArt. СКЕТЧБУК "НА СТИЛЕ" ЛАМА</t>
  </si>
  <si>
    <t>467-0-159-02206-0</t>
  </si>
  <si>
    <t>4670159022060</t>
  </si>
  <si>
    <t>СЕРИЯ: MyArt. СКЕТЧБУК "НАШИ ПАРНИ" 64л выб.лак, кругл.углы, 7БЦ 170х220 (бумага 120гр)</t>
  </si>
  <si>
    <t>198422</t>
  </si>
  <si>
    <t>MyArt. СКЕТЧБУК "НАШИ ПАРНИ" ГОРДОСТЬ</t>
  </si>
  <si>
    <t>467-0-159-00490-5</t>
  </si>
  <si>
    <t>Гордость, Смелость, Братсво, Отвага, Сила, Единство — важные понятия, которые близки нашим парням, настоящим защитникам. Новая серия скетчбуков посвящается духу патриотизма, верности Родине и невероятно сложному призванию. Блокнот с авторской иллюстрацией на обложке станет прекрасным подарком другу, брату, товарищу и всем, для кого честь — не пустой звук.</t>
  </si>
  <si>
    <t>4670159004905</t>
  </si>
  <si>
    <t>170х220х13</t>
  </si>
  <si>
    <t>204747</t>
  </si>
  <si>
    <t>MyArt. СКЕТЧБУК "НАШИ ПАРНИ" ЕДИНСТВО</t>
  </si>
  <si>
    <t>467-0-159-04680-6</t>
  </si>
  <si>
    <t>4670159046806</t>
  </si>
  <si>
    <t>204748</t>
  </si>
  <si>
    <t>MyArt. СКЕТЧБУК "НАШИ ПАРНИ" СИЛА</t>
  </si>
  <si>
    <t>467-0-159-04681-3</t>
  </si>
  <si>
    <t>4670159046813</t>
  </si>
  <si>
    <t>СЕРИЯ: MyArt. СКЕТЧБУК "ТАРО" 40л выб.лак, кругл.углы, 7БЦ 130х210 (бумага 90гр)</t>
  </si>
  <si>
    <t>198351</t>
  </si>
  <si>
    <t>MyArt. СКЕТЧБУК "ТАРО" ИМПЕРАТРИЦА</t>
  </si>
  <si>
    <t>467-0-159-00462-2</t>
  </si>
  <si>
    <t>Мир предсказаний притягивает своей загадочностью. Раскрой свой творческий потенциал с волшебными скетчбуками "Таро". Блокнот удобно носить с собой, а красивая обложка будет вдохновлять на новые идеи.</t>
  </si>
  <si>
    <t>4670159004622</t>
  </si>
  <si>
    <t>130х210х10</t>
  </si>
  <si>
    <t>198353</t>
  </si>
  <si>
    <t>MyArt. СКЕТЧБУК "ТАРО" ЛЮБОВНИКИ</t>
  </si>
  <si>
    <t>467-0-159-00464-6</t>
  </si>
  <si>
    <t>4670159004646</t>
  </si>
  <si>
    <t>СЕРИЯ: MyArt. АЛЬБОМ ДЛЯ ТВОРЧЕСТВА 64л выб.лак, кругл.углы, резинка 205х300 (бумага 120гр)</t>
  </si>
  <si>
    <t>203137</t>
  </si>
  <si>
    <t>My Art. АЛЬБОМ ДЛЯ ТВОРЧЕСТВА. ТИГР</t>
  </si>
  <si>
    <t>467-0-159-03614-2</t>
  </si>
  <si>
    <t>Альбомы для творчества идеально подойдут как для профессиональных, так и для начинающих художников. Большой формат и резинка-фиксатор, бумага, плотность которой 120г/м2, позволят сделать скетчинг и разработку собственных идей лёгкой и непринуждённой.</t>
  </si>
  <si>
    <t>4670159036142</t>
  </si>
  <si>
    <t>8666053278ad6e14dfc9f338a151a91c</t>
  </si>
  <si>
    <t>205х300х16</t>
  </si>
  <si>
    <t>211257</t>
  </si>
  <si>
    <t>MyArt. АЛЬБОМ ДЛЯ ТВОРЧЕСТВА. БОЛЬШАЯ ВОЛНА В КАНАГАВЕ</t>
  </si>
  <si>
    <t>467-0-159-08024-4</t>
  </si>
  <si>
    <t>4670159080244</t>
  </si>
  <si>
    <t>c604ebf31caec917c341425b2e3ba4a4</t>
  </si>
  <si>
    <t>205х300х15</t>
  </si>
  <si>
    <t>186361</t>
  </si>
  <si>
    <t>MyArt. АЛЬБОМ ДЛЯ ТВОРЧЕСТВА. ВОЛК</t>
  </si>
  <si>
    <t>462-0-129-74928-2</t>
  </si>
  <si>
    <t xml:space="preserve">Альбомы для творчества идеально подойдут как для профессиональных, так и для начинающих художников. Большой формат и резинка-фиксатор, бумага, плотность которой 120г/м2, позволят сделать скетчинг и разработку собственных идей лёгкой и непринуждённой. </t>
  </si>
  <si>
    <t>4620129749282</t>
  </si>
  <si>
    <t>64e11d07a68ab07b97faa7b8b2fe813a</t>
  </si>
  <si>
    <t>153561</t>
  </si>
  <si>
    <t>MyArt. АЛЬБОМ ДЛЯ ТВОРЧЕСТВА. ДЕВУШКА</t>
  </si>
  <si>
    <t>468-0-088-47693-3</t>
  </si>
  <si>
    <t>4680088476933</t>
  </si>
  <si>
    <t>4902c3beb698bc43f82175d0af69012f</t>
  </si>
  <si>
    <t>194806</t>
  </si>
  <si>
    <t>MyArt. АЛЬБОМ ДЛЯ ТВОРЧЕСТВА. ЗВЁЗДНАЯ НОЧЬ. Винсент Ван Гог</t>
  </si>
  <si>
    <t>462-0-129-78776-5</t>
  </si>
  <si>
    <t>4620129787765</t>
  </si>
  <si>
    <t>04bd3a6cb7f287132060f4f7f5ffffe8</t>
  </si>
  <si>
    <t>153555</t>
  </si>
  <si>
    <t>MyArt. АЛЬБОМ ДЛЯ ТВОРЧЕСТВА. КОТ</t>
  </si>
  <si>
    <t>468-0-088-47690-2</t>
  </si>
  <si>
    <t>4680088476902</t>
  </si>
  <si>
    <t>4f140db6abbd3a044679ac5dffc28934</t>
  </si>
  <si>
    <t>217520</t>
  </si>
  <si>
    <t>MyArt. АЛЬБОМ ДЛЯ ТВОРЧЕСТВА. ЛЕВ</t>
  </si>
  <si>
    <t>467-0-159-11585-4</t>
  </si>
  <si>
    <t>4670159115854</t>
  </si>
  <si>
    <t>3d1bed66a5eac23dd95f6abbe83d3140</t>
  </si>
  <si>
    <t>09.01.2024 0:00:00</t>
  </si>
  <si>
    <t>213328</t>
  </si>
  <si>
    <t>MyArt. АЛЬБОМ ДЛЯ ТВОРЧЕСТВА. МАНГА</t>
  </si>
  <si>
    <t>467-0-159-09415-9</t>
  </si>
  <si>
    <t>4670159094159</t>
  </si>
  <si>
    <t>23d894e50d27f710212e3473acfb3598</t>
  </si>
  <si>
    <t>177646</t>
  </si>
  <si>
    <t>MyArt. АЛЬБОМ ДЛЯ ТВОРЧЕСТВА. ШПИЦ</t>
  </si>
  <si>
    <t>462-0-129-70339-0</t>
  </si>
  <si>
    <t>4620129703390</t>
  </si>
  <si>
    <t>71e181fd552bdec2337d38df33092c9b</t>
  </si>
  <si>
    <t>СЕРИЯ: MyArt. ПРЕДМЕТНАЯ ТЕТРАДЬ "ШКОЛА В ТРЕНДЕ" 40л, выб.лак, кругл.углы 140х200 (офсет 80гр)</t>
  </si>
  <si>
    <t>228054</t>
  </si>
  <si>
    <t>MyArt. ТЕТРАДЬ в клетку Школа в тренде. Важный момент (Математика)</t>
  </si>
  <si>
    <t>467-0-159-16712-9</t>
  </si>
  <si>
    <t>4670159167129</t>
  </si>
  <si>
    <t>228051</t>
  </si>
  <si>
    <t>MyArt. ТЕТРАДЬ в клетку Школа в тренде. Иняз (Иностранный язык)</t>
  </si>
  <si>
    <t>467-0-159-16710-5</t>
  </si>
  <si>
    <t>4670159167105</t>
  </si>
  <si>
    <t>228048</t>
  </si>
  <si>
    <t>MyArt. ТЕТРАДЬ в клетку Школа в тренде. Новые открытия (География)</t>
  </si>
  <si>
    <t>467-0-159-16709-9</t>
  </si>
  <si>
    <t>4670159167099</t>
  </si>
  <si>
    <t>228052</t>
  </si>
  <si>
    <t>MyArt. ТЕТРАДЬ в клетку Школа в тренде. Оставим свой след (История)</t>
  </si>
  <si>
    <t>467-0-159-16711-2</t>
  </si>
  <si>
    <t>4670159167112</t>
  </si>
  <si>
    <t>228060</t>
  </si>
  <si>
    <t>MyArt. ТЕТРАДЬ в клетку Школа в тренде. Хи-Физика (Химия/Физика)</t>
  </si>
  <si>
    <t>467-0-159-16714-3</t>
  </si>
  <si>
    <t>4670159167143</t>
  </si>
  <si>
    <t>228045</t>
  </si>
  <si>
    <t>MyArt. ТЕТРАДЬ в клетку Школа в тренде. Что из этого пестик? (Биология)</t>
  </si>
  <si>
    <t>467-0-159-16708-2</t>
  </si>
  <si>
    <t>4670159167082</t>
  </si>
  <si>
    <t>228057</t>
  </si>
  <si>
    <t>MyArt. ТЕТРАДЬ в линию Школа в тренде. Могучий русский язык (Русский язык)</t>
  </si>
  <si>
    <t>467-0-159-16715-0</t>
  </si>
  <si>
    <t>4670159167150</t>
  </si>
  <si>
    <t>228055</t>
  </si>
  <si>
    <t>MyArt. ТЕТРАДЬ в линию Школа в тренде. Чтение (Литература)</t>
  </si>
  <si>
    <t>467-0-159-16713-6</t>
  </si>
  <si>
    <t>4670159167136</t>
  </si>
  <si>
    <t>СЕРИЯ: MyArt. РАСКРАСКА ДЛЯ МАРКЕРОВ 18л КБС 213х213 (бумага 120гр)</t>
  </si>
  <si>
    <t>166970</t>
  </si>
  <si>
    <t>MyArt. РАСКРАСКА ДЛЯ МАРКЕРОВ. ФАНТАЗИЯ</t>
  </si>
  <si>
    <t>978-5-378-31966-4</t>
  </si>
  <si>
    <t>Раскраска для маркеров из линейки для творчества MyArt-хороший способ отдохнуть от повседневных дел. Каждая из 4 книг серии содержит 18 иллюстраций, раскрашивание которых поможет зарядиться вдохновением и найти новые идеи. Плотные листы с односторонней печатью отлично подходят для художественных маркеров, карандашей и фломастеров.</t>
  </si>
  <si>
    <t>9785378319664</t>
  </si>
  <si>
    <t>211х214х5</t>
  </si>
  <si>
    <t>Tochkabook</t>
  </si>
  <si>
    <t>СЕРИЯ: АНКЕТА-ТОЧКАБУК для девочек, картон.обл. глянц.ламин. 163х210</t>
  </si>
  <si>
    <t>211201</t>
  </si>
  <si>
    <t>АНКЕТА-ТОЧКАБУК для девочек. АНКЕТА ДЛЯ ДРУЗЕЙ. К-POP</t>
  </si>
  <si>
    <t>467-0-159-07648-3</t>
  </si>
  <si>
    <t>Серия "Анкета-точкабук для девочек" - это стильные и яркие дневнички для подружек. Внутри брошюры - красивое и милое оформление и линовка в точку. В дневничке девчонки найдут тесты, опросники, анкеты и несколько идей о том, как развлечься с подругами. Анкета-точкабук поместится практически в любую сумочку и не займёт много места. А это значит, что маленьким подружкам точно не придётся скучать!</t>
  </si>
  <si>
    <t>4670159076483</t>
  </si>
  <si>
    <t>5effd7ec79515a18bcb09c1bae882fc2</t>
  </si>
  <si>
    <t>163х210х5</t>
  </si>
  <si>
    <t>238460</t>
  </si>
  <si>
    <t>АНКЕТА-ТОЧКАБУК для девочек. АНКЕТА С ТЕСТАМИ. КРУТЫЕ ИГРЫ ДЛЯ ДРУЗЕЙ</t>
  </si>
  <si>
    <t>467-0-159-21513-4</t>
  </si>
  <si>
    <t>4670159215134</t>
  </si>
  <si>
    <t>6c44e94b5ecc8b82777945ffe6162dce</t>
  </si>
  <si>
    <t>225060</t>
  </si>
  <si>
    <t>АНКЕТА-ТОЧКАБУК для девочек. ДЕВОЧКА С СОБАЧКОЙ</t>
  </si>
  <si>
    <t>467-0-159-14052-8</t>
  </si>
  <si>
    <t>4670159140528</t>
  </si>
  <si>
    <t>4ed8c6bf7d54c92a2d154d6d11580134</t>
  </si>
  <si>
    <t>19.12.2024 0:00:00</t>
  </si>
  <si>
    <t>156877</t>
  </si>
  <si>
    <t>АНКЕТА-ТОЧКАБУК для девочек. ЛУЧШИЕ ПОДРУЖКИ</t>
  </si>
  <si>
    <t>461-0-144-80040-2</t>
  </si>
  <si>
    <t>4610144800402</t>
  </si>
  <si>
    <t>d470311667f1599c4e46561db15d9aea</t>
  </si>
  <si>
    <t>156884</t>
  </si>
  <si>
    <t>АНКЕТА-ТОЧКАБУК для девочек. СТИЛЬНАЯ ДЕВЧОНКА</t>
  </si>
  <si>
    <t>461-0-144-80042-6</t>
  </si>
  <si>
    <t>4610144800426</t>
  </si>
  <si>
    <t>5a1f0af7d72ba34f98231d34dba66b20</t>
  </si>
  <si>
    <t>СЕРИЯ: АНКЕТА-ТОЧКАБУК с наклейками, глянц.ламин. картон.обл 155х200</t>
  </si>
  <si>
    <t>194598</t>
  </si>
  <si>
    <t>АНКЕТА-ТОЧКАБУК с наклейками. ТОЛЬКО ДЛЯ НАСТОЯЩИХ ПОДРУГ</t>
  </si>
  <si>
    <t>462-0-129-78409-2</t>
  </si>
  <si>
    <t xml:space="preserve">Анкета для девочек - это отличный подарок! Самые актуальные вопросы для подруг, интересные рубрики, тематические развороты и классные наклейки помогут весело провести время. А как интересно будет читать анкеты хозяйке после заполнения! Легкий способ узнать лучше своих подруг, подметить мелочи, которые раньше не замечал, или обнаружить общий интерес там, где и не думал его найти!
Яркое стильное оформление, крутые обложки и удобный формат, который не займет много места в и без того тяжелом портфеле. </t>
  </si>
  <si>
    <t>4620129784092</t>
  </si>
  <si>
    <t>155х200х3</t>
  </si>
  <si>
    <t>СЕРИЯ: БЛОКНОТ ТОЧКАБУК 180° 64л выб.лак, кругл.углы, индивид.упак. 7БЦ 145х203 (бумага 100гр)</t>
  </si>
  <si>
    <t>217170</t>
  </si>
  <si>
    <t>БЛОКНОТ ТОЧКАБУК 180°. ДЕВУШКА С БАБОЧКАМИ</t>
  </si>
  <si>
    <t>467-0-159-11232-7</t>
  </si>
  <si>
    <t>Серия Tochkabook 180 - это крутые блокноты, которые точно привлекут к себе взгляды. "Девушка с бабочками" понравится всем любителям Азии и корейских сериалов (дорам), последние с невероятной скоростью набирают популярность у зрителей по всему миру! Блокнот в твердой обложке, комфортного формата, упакован в индивидуальную упаковку - все это делает точкабук прекрасным подарком на любой праздник! Блокнот прошит, поэтому раскрывается полностью, на 180 градусов.</t>
  </si>
  <si>
    <t>4670159112327</t>
  </si>
  <si>
    <t>914520d95e96662998e35b2f0156a3e1</t>
  </si>
  <si>
    <t>22.11.2023 0:00:00</t>
  </si>
  <si>
    <t>145х203х11</t>
  </si>
  <si>
    <t>217168</t>
  </si>
  <si>
    <t>БЛОКНОТ ТОЧКАБУК 180°. ПАРОЧКА ИЗ КОРЕЙСКОЙ ДОРАМЫ</t>
  </si>
  <si>
    <t xml:space="preserve">467-0-159-11231-0 </t>
  </si>
  <si>
    <t>Серия Tochkabook 180 - это крутые блокноты, которые точно привлекут к себе взгляды. "Пара из корейской дорамы" понравится всем любителям Азии и корейских сериалов (дорам), последние с невероятной скоростью набирают популярность у зрителей по всему миру!
Блокнот в твердой обложке, комфортного формата, упакован в индивидуальную упаковку - все это делает точкабук прекрасным подарком на любой праздник! Блокнот прошит, поэтому раскрывается полностью, на 180 градусов.</t>
  </si>
  <si>
    <t>4670159112310</t>
  </si>
  <si>
    <t>e4743ba4ff19f5c6302f6111d5d6e505</t>
  </si>
  <si>
    <t>217169</t>
  </si>
  <si>
    <t>БЛОКНОТ ТОЧКАБУК 180°. СКЕЛЕТЫ</t>
  </si>
  <si>
    <t>467-0-159-10247-2</t>
  </si>
  <si>
    <t>Серия Tochkabook 180 - это крутые блокноты, которые точно привлекут к себе взгляды. Лаконичная и необычная обложка со скелетами подойдет абсолютно всем, особенно тем, кто отдает предпочтение  классическим цветам.
Блокнот в твердой обложке, комфортного формата, упакован в индивидуальную упаковку - все это делает точкабук прекрасным подарком на любой праздник! Блокнот прошит, поэтому раскрывается полностью, на 180 градусов.</t>
  </si>
  <si>
    <t>4670159102472</t>
  </si>
  <si>
    <t>d0c6f4e4ea76c0d2e4b7679601234434</t>
  </si>
  <si>
    <t>СЕРИЯ: БЛОКНОТ ТОЧКАБУК 72л кругл.углы, 7БЦ 145х203 (бумага 100 гр офсет Котлас)</t>
  </si>
  <si>
    <t>131738</t>
  </si>
  <si>
    <t>ТОЧКАБУК. АНАТОМИЯ</t>
  </si>
  <si>
    <t>463-0-097-51545-1</t>
  </si>
  <si>
    <t>У этих оригинальных блокнотов удобный формат, яркие обложки с круглыми уголками, плотные фиксирующие резинки и линовка листов в точку. Всё это делает точкабуки идеальными помощниками в ведении записей, создании рисунков или даже планов на год.</t>
  </si>
  <si>
    <t>4630097515451</t>
  </si>
  <si>
    <t>185384</t>
  </si>
  <si>
    <t>ТОЧКАБУК. АНИМЕ. СТИЛЬНЫЙ ОБРАЗ (выб.лак)</t>
  </si>
  <si>
    <t>462-0-129-74360-0</t>
  </si>
  <si>
    <t>4620129743600</t>
  </si>
  <si>
    <t>185385</t>
  </si>
  <si>
    <t>ТОЧКАБУК. ДЕВУШКА С ПОДСОЛНУХАМИ (выб.лак)</t>
  </si>
  <si>
    <t>462-0-129-74361-7</t>
  </si>
  <si>
    <t>4620129743617</t>
  </si>
  <si>
    <t>220552</t>
  </si>
  <si>
    <t>ТОЧКАБУК. ДЕВУШКА С ТАТУИРОВКОЙ ДРАКОНА (выб.лак)</t>
  </si>
  <si>
    <t>467-0-159-12512-9</t>
  </si>
  <si>
    <t>4670159125129</t>
  </si>
  <si>
    <t>12.02.2024 0:00:00</t>
  </si>
  <si>
    <t>164928</t>
  </si>
  <si>
    <t>ТОЧКАБУК. ДИНОЗАВРЫ (твин-лак)</t>
  </si>
  <si>
    <t>461-0-144-83998-3</t>
  </si>
  <si>
    <t>4610144839983</t>
  </si>
  <si>
    <t>130794</t>
  </si>
  <si>
    <t>ТОЧКАБУК. КОРГИ</t>
  </si>
  <si>
    <t>463-0-097-51414-0</t>
  </si>
  <si>
    <t>4630097514140</t>
  </si>
  <si>
    <t>186579</t>
  </si>
  <si>
    <t>ТОЧКАБУК. КОТЯТА. Я ТЕБЯ ЛЮБЛЮ (выб.лак)</t>
  </si>
  <si>
    <t>462-0-129-75316-6</t>
  </si>
  <si>
    <t>4620129753166</t>
  </si>
  <si>
    <t>183526</t>
  </si>
  <si>
    <t>ТОЧКАБУК. МАШИНА В РАЗРЕЗЕ (выб.лак)</t>
  </si>
  <si>
    <t>462-0-129-73282-6</t>
  </si>
  <si>
    <t>4620129732826</t>
  </si>
  <si>
    <t>220554</t>
  </si>
  <si>
    <t>ТОЧКАБУК. МОДНЫЙ К-ПОП (выб.лак)</t>
  </si>
  <si>
    <t>467-0-159-12513-6</t>
  </si>
  <si>
    <t>4670159125136</t>
  </si>
  <si>
    <t>159106</t>
  </si>
  <si>
    <t>ТОЧКАБУК. СОБАЧКИ (твин-лак)</t>
  </si>
  <si>
    <t>461-0-144-81012-8</t>
  </si>
  <si>
    <t>4610144810128</t>
  </si>
  <si>
    <t>252301</t>
  </si>
  <si>
    <t>ТОЧКАБУК. ТВОРЧЕСТВО</t>
  </si>
  <si>
    <t>467-0-159-26288-6</t>
  </si>
  <si>
    <t>4670159262886</t>
  </si>
  <si>
    <t>122111</t>
  </si>
  <si>
    <t>ТОЧКАБУК. ЦВЕТЫ</t>
  </si>
  <si>
    <t>463-0-079-15368-8</t>
  </si>
  <si>
    <t>4630079153688</t>
  </si>
  <si>
    <t>186578</t>
  </si>
  <si>
    <t>ТОЧКАБУК. ЯПОНКА ПОД ЗОНТИКОМ (выб.лак)</t>
  </si>
  <si>
    <t>462-0-129-75315-9</t>
  </si>
  <si>
    <t>4620129753159</t>
  </si>
  <si>
    <t>137070</t>
  </si>
  <si>
    <t>ТОЧКАБУК. ЯПОНСКАЯ КОШКА (выб.лак)</t>
  </si>
  <si>
    <t>468-0-088-40447-9</t>
  </si>
  <si>
    <t>4680088404479</t>
  </si>
  <si>
    <t>СЕРИЯ: БЛОКНОТ ТОЧКАБУК Animal print 64л, выб.лак, кругл.углы, ляссе, 7БЦ 130х190 (бум 100гр)</t>
  </si>
  <si>
    <t>207533</t>
  </si>
  <si>
    <t>ТОЧКАБУК Animal print. ЗЕБРА</t>
  </si>
  <si>
    <t>467-0-159-05835-9</t>
  </si>
  <si>
    <t xml:space="preserve">Анималистичные принты всегда пользовались популярностью и привлекали к себе внимание. В современном мире это стало настоящим трендом! Модницы и модники спешат приобрести каждую вещь с подобным рисунком. </t>
  </si>
  <si>
    <t>4670159058359</t>
  </si>
  <si>
    <t>130х190х12</t>
  </si>
  <si>
    <t>207532</t>
  </si>
  <si>
    <t>ТОЧКАБУК Animal print. ЛЕОПАРД</t>
  </si>
  <si>
    <t>467-0-159-05833-5</t>
  </si>
  <si>
    <t>4670159058335</t>
  </si>
  <si>
    <t>5511ea07a487273759781d995cce45c0</t>
  </si>
  <si>
    <t>207536</t>
  </si>
  <si>
    <t>ТОЧКАБУК Animal print. ТИГР</t>
  </si>
  <si>
    <t>467-0-159-05834-2</t>
  </si>
  <si>
    <t>4670159058342</t>
  </si>
  <si>
    <t>728101e908e0eadd23c191a525944805</t>
  </si>
  <si>
    <t>СЕРИЯ: БЛОКНОТ ТОЧКАБУК Anime Pets 72л выб.лак, кругл.углы, резинка 145х203 (бумага 100гр)</t>
  </si>
  <si>
    <t>215253</t>
  </si>
  <si>
    <t>БЛОКНОТ ТОЧКАБУК Anime Pets. ДЕВОЧКА С КОТИКОМ</t>
  </si>
  <si>
    <t>467-0-159-10087-4</t>
  </si>
  <si>
    <t>Серия "Tochkabook Anime Pets" привлечет внимание не только любителей Азии и аниме, но и тех, кто любит все милое, яркое и озорное. Звездами этих обложек являются наши четвероногие друзья. Котик, пёс и даже экзотические животные - вместе со своими хозяевами на обложках новых блокнотов. У точкабука удобный формат, есть резинка для фиксации и твердая обложка. Наши блокноты прекрасно подойдут в качестве подарка.</t>
  </si>
  <si>
    <t>4670159100874</t>
  </si>
  <si>
    <t>145х203х14</t>
  </si>
  <si>
    <t>215254</t>
  </si>
  <si>
    <t>БЛОКНОТ ТОЧКАБУК Anime Pets. МАЛЬЧИК С СОБАЧКОЙ</t>
  </si>
  <si>
    <t>467-0-159-10088-1</t>
  </si>
  <si>
    <t>4670159100881</t>
  </si>
  <si>
    <t>СЕРИЯ: БЛОКНОТ ТОЧКАБУК Basic 48л софт-тач, индивид.упак. кругл.углы, 7БЦ 145х203 (бумага 100гр)</t>
  </si>
  <si>
    <t>207176</t>
  </si>
  <si>
    <t>БЛОКНОТ ТОЧКАБУК Basic. ЛАВАНДОВЫЙ</t>
  </si>
  <si>
    <t>467-0-159-05765-9</t>
  </si>
  <si>
    <t>Точкабуки Basic понравятся абсолютно всем. Лаконичные обложки, где кроме приятных оттенков и красивой надписи нет абсолютно ничего. Особенно оценят эти блокноты любители минимализма и те, кому по статусу положено делать выбор в пользу классики. Благодаря удобному формату блокноты легко помещаются практически в любую сумку. На обложках мы сделали покрытие soft touch, чтобы вы не захотел выпускать эти точкабуки из рук.</t>
  </si>
  <si>
    <t>4670159057659</t>
  </si>
  <si>
    <t>145х203х10</t>
  </si>
  <si>
    <t>207183</t>
  </si>
  <si>
    <t>БЛОКНОТ ТОЧКАБУК Basic. НЕЖНО-РОЗОВЫЙ</t>
  </si>
  <si>
    <t>467-0-159-05767-3</t>
  </si>
  <si>
    <t>4670159057673</t>
  </si>
  <si>
    <t>207181</t>
  </si>
  <si>
    <t>БЛОКНОТ ТОЧКАБУК Basic. ЧЁРНЫЙ</t>
  </si>
  <si>
    <t>467-0-159-05766-6</t>
  </si>
  <si>
    <t>4670159057666</t>
  </si>
  <si>
    <t>СЕРИЯ: БЛОКНОТ ТОЧКАБУК Classic 64л, выб.лак, кругл.углы, ляссе, 7БЦ 162х222 (бум 100гр)</t>
  </si>
  <si>
    <t>227287</t>
  </si>
  <si>
    <t>БЛОКНОТ ТОЧКАБУК Classic 162х222. Витраж. Девушка</t>
  </si>
  <si>
    <t>467-0-159-15957-5</t>
  </si>
  <si>
    <t>Обложки точкабука вдохновлена витражными картинами, которые делают архитектуру более эстетичной, яркой и интересной.
Удобный формат 162х222 мм, плотные листы, круглённые уголки - всё в лучших традициях торговой марки tochkabook ждёт вас в этих блокнотах.</t>
  </si>
  <si>
    <t>4670159159575</t>
  </si>
  <si>
    <t>162х222х13</t>
  </si>
  <si>
    <t>227288</t>
  </si>
  <si>
    <t>БЛОКНОТ ТОЧКАБУК Classic 162х222. Витраж. Феникс</t>
  </si>
  <si>
    <t>467-0-159-15958-2</t>
  </si>
  <si>
    <t>4670159159582</t>
  </si>
  <si>
    <t>200300</t>
  </si>
  <si>
    <t>БЛОКНОТ ТОЧКАБУК Classic 162х222. Голубь в очках</t>
  </si>
  <si>
    <t>467-0-159-00516-2</t>
  </si>
  <si>
    <t>Наша серия "Tochkabook Classic" - это блокноты удобного формата, которые можно использовать, как для записей, так и для скетчинга. Невероятно красивые и яркие обложки с оригинальными принтами сразу привлекут внимание, а, возможно, и заставят улыбнуться. Милые и смешные герои не оставят равнодушными никого. Блокноты отлично подойдут в качестве подарка вашим друзьям и близким. "Голубь в очках" приведет в восторг детей, подростков и ценителей юмора. Будьте в тренде вместе с TOCHKABOOK!</t>
  </si>
  <si>
    <t>4670159005162</t>
  </si>
  <si>
    <t>СЕРИЯ: БЛОКНОТ ТОЧКАБУК Comfortable 64л мат.ламин, кругл.углы, ляссе 155х203 (бумага 100гр)</t>
  </si>
  <si>
    <t>192456</t>
  </si>
  <si>
    <t>ТОЧКАБУК. КРОЛИКИ. Я ТЕБЯ ЛЮБЛЮ</t>
  </si>
  <si>
    <t>462-0-129-77627-1</t>
  </si>
  <si>
    <t xml:space="preserve">Мы всегда стараемся следить за трендами. Именно поэтому наша серия "Comfortable" объединяет в себе невероятно креативные обложки! Любителям аниме, котиков, и кроликов идеально подойдут точкабуки "Котики на самокате" и "Кролики. Я люблю тебя". А "Смешные пришельцы" и "Лягушки" придутся по вкусу ценителям юмора. </t>
  </si>
  <si>
    <t>4620129776271</t>
  </si>
  <si>
    <t>155х203х11</t>
  </si>
  <si>
    <t>СЕРИЯ: БЛОКНОТ ТОЧКАБУК Couple Bracelets с браслетами 64л выб.лак, кругл.углы 145х203 (офсет 100гр)</t>
  </si>
  <si>
    <t>233215</t>
  </si>
  <si>
    <t>БЛОКНОТ ТОЧКАБУК Couple Bracelets с браслетами. ВЛЮБЛЁННЫЕ С КРАСНОЙ НИТЬЮ</t>
  </si>
  <si>
    <t>467-0-159-18466-9</t>
  </si>
  <si>
    <t>Серия "Tochkabook Couple" - это невероятно атмосферные блокноты, которые привлекут к себе внимание с первого взгляда. Их по достоинству оценят не только фанаты аниме и манги, но и все любители эстетики. У точкабуков удобный формат и эффектные обложки, их герои — милые парочки. В подарок к каждому блокноту мы положили два браслета из красной мягкой нити с бусиной. Вы можете подарить один из аксессуаров близкому человеку и носить на пару, тем самым поддержав популярный азиатский тренд на парные вещи.
Блокнот и браслеты на подложке упакованы в индивидуальный пакет, чтобы обеспечить полную сохранность всех товаров.
Самая романтичная серия точкабуков понравится всем без исключения!</t>
  </si>
  <si>
    <t>4670159184669</t>
  </si>
  <si>
    <t>d2179f0372094ca7c43c508f3ce2e828</t>
  </si>
  <si>
    <t>162x204x12</t>
  </si>
  <si>
    <t>233216</t>
  </si>
  <si>
    <t>БЛОКНОТ ТОЧКАБУК Couple Bracelets с браслетами. ПАРОЧКА С КНИГОЙ</t>
  </si>
  <si>
    <t>467-0-159-18467-6</t>
  </si>
  <si>
    <t>4670159184676</t>
  </si>
  <si>
    <t>0cc6e764ce0cf0a9916f6f4e95011e8c</t>
  </si>
  <si>
    <t>233217</t>
  </si>
  <si>
    <t>БЛОКНОТ ТОЧКАБУК Couple Bracelets с браслетами. ПАРОЧКА С СЕРДЕЧКОМ</t>
  </si>
  <si>
    <t xml:space="preserve">467-0-159-18468-3 </t>
  </si>
  <si>
    <t xml:space="preserve">4670159184683 </t>
  </si>
  <si>
    <t>81f45719b1bec9071871a857a514775e</t>
  </si>
  <si>
    <t>233214</t>
  </si>
  <si>
    <t>БЛОКНОТ ТОЧКАБУК Couple Bracelets с браслетами. ПРИЗНАНИЕ В ЛЮБВИ</t>
  </si>
  <si>
    <t>467-0-159-18465-2</t>
  </si>
  <si>
    <t xml:space="preserve">4670159184652 </t>
  </si>
  <si>
    <t>2b70774ed1ee57c6394898a4a3d3292d</t>
  </si>
  <si>
    <t>СЕРИЯ: БЛОКНОТ ТОЧКАБУК Everyday 24л, на скрепке, выб.лак, кругл.углы, 163х215 (бумага 80гр)</t>
  </si>
  <si>
    <t>222379</t>
  </si>
  <si>
    <t>ТОЧКАБУК Everyday. ДЕВУШКА В КЕПКЕ СО ЗНАЧКАМИ</t>
  </si>
  <si>
    <t>467-0-159-13441-1</t>
  </si>
  <si>
    <t>Серия "Точкабук everyday" - это невероятно атмосферные блокноты, которые привлекут к себе внимание с первого взгляда. Их по достоинству оценят не только фанаты аниме и манги, но и все любители эстетики. У точкабуков удобный формат и эффектные обложки. В блокноте 48 страниц, которые ждут, чтобы быть заполненными яркими идеями, рисунками и заметками. Серия "Точкабуки everyday" идеально подходит для школьных занятий, домашнего планирования или просто для увлекательного времяпрепровождения. Эти блокноты тетрадного формата помогут вашему ребёнку организовать свои идеи и вдохновить на новые творческие проекты.</t>
  </si>
  <si>
    <t>4670159134411</t>
  </si>
  <si>
    <t>546fbec01a82cc1ab15396a73284e65c</t>
  </si>
  <si>
    <t>163х215х4</t>
  </si>
  <si>
    <t>222380</t>
  </si>
  <si>
    <t>ТОЧКАБУК Everyday. ДЕВУШКА С ЯПОНСКИМИ ФОНАРИКАМИ</t>
  </si>
  <si>
    <t>467-0-159-13440-4</t>
  </si>
  <si>
    <t>4670159134404</t>
  </si>
  <si>
    <t>b2f61d2711282fa30f863041ed8570c2</t>
  </si>
  <si>
    <t>222377</t>
  </si>
  <si>
    <t>ТОЧКАБУК Everyday. ЛУННАЯ ДЕВУШКА</t>
  </si>
  <si>
    <t>467-0-159-13439-8</t>
  </si>
  <si>
    <t>4670159134398</t>
  </si>
  <si>
    <t>5e740bbb833db545b11f68e9949ad671</t>
  </si>
  <si>
    <t>222378</t>
  </si>
  <si>
    <t>ТОЧКАБУК Everyday. МИЛАЯ ДЕВОЧКА С КОТИКАМИ</t>
  </si>
  <si>
    <t>467-0-159-13442-8</t>
  </si>
  <si>
    <t>4670159134428</t>
  </si>
  <si>
    <t>aacee8c620d74805e5efad99b106fb42</t>
  </si>
  <si>
    <t>СЕРИЯ: БЛОКНОТ ТОЧКАБУК Large 72л, мат.ламин, кругл.углы, 7БЦ 205х246 (бумага 100гр)</t>
  </si>
  <si>
    <t>209661</t>
  </si>
  <si>
    <t>ТОЧКАБУК Large. АНАТОМИЯ</t>
  </si>
  <si>
    <t>467-0-159-06342-1</t>
  </si>
  <si>
    <t>Точкабуки теперь и в формате А4! Линовка в точку и увеличенный формат делают блокнот удобным для скетчинга, а также для ведения записей. Также точкабук Large можно использовать в качестве амбарной книги. Дизайны обложек  рассчитаны и для тех, кто любит лаконичный стиль, и для любителей аниме.</t>
  </si>
  <si>
    <t>4670159063421</t>
  </si>
  <si>
    <t>204х246х11</t>
  </si>
  <si>
    <t>209663</t>
  </si>
  <si>
    <t>ТОЧКАБУК Large. ДЕВУШКА-ВОИН</t>
  </si>
  <si>
    <t>467-0-159-06341-4</t>
  </si>
  <si>
    <t>4670159063414</t>
  </si>
  <si>
    <t>209658</t>
  </si>
  <si>
    <t>ТОЧКАБУК Large. СЕРЫЙ</t>
  </si>
  <si>
    <t>467-0-159-06340-7</t>
  </si>
  <si>
    <t>4670159063407</t>
  </si>
  <si>
    <t>209660</t>
  </si>
  <si>
    <t>ТОЧКАБУК Large. ЧЁРНЫЙ</t>
  </si>
  <si>
    <t>467-0-159-06339-1</t>
  </si>
  <si>
    <t>4670159063391</t>
  </si>
  <si>
    <t>СЕРИЯ: БЛОКНОТ ТОЧКАБУК Little 64л на гребне, выб.лак 110х150 (бумага 100гр)</t>
  </si>
  <si>
    <t>224755</t>
  </si>
  <si>
    <t>БЛОКНОТ ТОЧКАБУК Little. КОТИК И СУШИ</t>
  </si>
  <si>
    <t>467-0-159-13985-0</t>
  </si>
  <si>
    <t xml:space="preserve">Серия "Точкабук Little" - это абсолютно японские блокноты! Эти точкабуки сделаны в самых лучших традициях японской анимации - нежные, лаконичные и супермилые. Блокноты небольшого формата, что позволит брать их с собой куда угодно. Благодаря листам в точку вы сможете использовать свой точкабук как для записей, так и для скетчинга. </t>
  </si>
  <si>
    <t>4670159139850</t>
  </si>
  <si>
    <t>120х150х15</t>
  </si>
  <si>
    <t>224754</t>
  </si>
  <si>
    <t>БЛОКНОТ ТОЧКАБУК Little. КОТИК НА ПЛЯЖЕ</t>
  </si>
  <si>
    <t>467-0-159-13984-3</t>
  </si>
  <si>
    <t>4670159139843</t>
  </si>
  <si>
    <t>224753</t>
  </si>
  <si>
    <t>БЛОКНОТ ТОЧКАБУК Little. КОТИК С ЯПОНСКИМИ КАРПАМИ</t>
  </si>
  <si>
    <t>467-0-159-13983-6</t>
  </si>
  <si>
    <t>4670159139836</t>
  </si>
  <si>
    <t>СЕРИЯ: БЛОКНОТ ТОЧКАБУК Magic 64л мат.ламин, тиснение, кругл.углы, инд.упак. 7БЦ 145х203 (бум 100гр)</t>
  </si>
  <si>
    <t>215240</t>
  </si>
  <si>
    <t>БЛОКНОТ ТОЧКАБУК Magic. БЕЛЫЙ</t>
  </si>
  <si>
    <t>467-0-159-09298-8</t>
  </si>
  <si>
    <t xml:space="preserve">Серия "Tochkabook Magic" - это невероятно красивые магические блокноты, которые понравятся абсолютно всем. Благодаря золотому тиснению обложки красиво переливаются при любом освещении. У каждого блокнота цветной форзац в тон обложке. Точкабуки комфортного формата, чтобы они легко поместились в сумку или портфель. Невероятно популярные сейчас магические орнаменты приглянутся фанатам эзотерики. Они прекрасно подойдут для записей тарологам. Блокноты упакованы в индивидуальный пакет для большей безопасности. </t>
  </si>
  <si>
    <t>4670159092988</t>
  </si>
  <si>
    <t>f98f04e6f3fac009c3f169a175d8f623</t>
  </si>
  <si>
    <t>215238</t>
  </si>
  <si>
    <t>БЛОКНОТ ТОЧКАБУК Magic. СИНИЙ</t>
  </si>
  <si>
    <t>467-0-159-09299-5</t>
  </si>
  <si>
    <t>4670159092995</t>
  </si>
  <si>
    <t>75f0df4d5d705372579ef93cc79f8ad7</t>
  </si>
  <si>
    <t>15.11.2023 0:00:00</t>
  </si>
  <si>
    <t>215239</t>
  </si>
  <si>
    <t>БЛОКНОТ ТОЧКАБУК Magic. ФИОЛЕТОВЫЙ</t>
  </si>
  <si>
    <t>467-0-159-09300-8</t>
  </si>
  <si>
    <t>4670159093008</t>
  </si>
  <si>
    <t>7eab575be15c636acaa52f86bfa96918</t>
  </si>
  <si>
    <t>215237</t>
  </si>
  <si>
    <t>БЛОКНОТ ТОЧКАБУК Magic. ЧЁРНЫЙ</t>
  </si>
  <si>
    <t>467-0-159-09297-1</t>
  </si>
  <si>
    <t>4670159092971</t>
  </si>
  <si>
    <t>36ad21e005906ae9f3c380420c53b4ca</t>
  </si>
  <si>
    <t>СЕРИЯ: БЛОКНОТ ТОЧКАБУК Medium 72л твин лак, тиснение, резинка, 7БЦ 160х240 (бумага 100гр)</t>
  </si>
  <si>
    <t>181634</t>
  </si>
  <si>
    <t>ТОЧКАБУК Medium. ВИКИНГ</t>
  </si>
  <si>
    <t>462-0-129-72675-7</t>
  </si>
  <si>
    <t>Точкабук с брутальным викингом можно рассматривать в качестве подарка для мужчины, начальника, делового партнёра, особенного клиента. Сдержанные цвета и тёмный фон придают обложке благородный вид. Блокнот покрыт фактурным лаком и фольгой, которую становится видно, когда на блокнот попадает световой блик. В точкабуке 72 белых листа в мелкую серую точку. Такой блокнот подойдёт для деловых и творческих записей.</t>
  </si>
  <si>
    <t>4620129726757</t>
  </si>
  <si>
    <t>160х240х14</t>
  </si>
  <si>
    <t>133375</t>
  </si>
  <si>
    <t>ТОЧКАБУК Medium. ДЕВУШКА-ВОДА</t>
  </si>
  <si>
    <t>463-0-097-51558-1</t>
  </si>
  <si>
    <t>Новая серия точкабуков с космическими девушками объединяет в себе все черты идеального блокнота: внутри точкабука - плотные страницы увеличенного формата, а также удобная линовка в точку. Переливающаяся и фактурная обложка с круглёными уголками делает точкабук не только завораживающе привлекательным, но и защищает его от царапин и загрязнения при длительном использовании. Фиксирующая резинка убережёт блокнот от раскрытия в сумке.</t>
  </si>
  <si>
    <t>4630097515581</t>
  </si>
  <si>
    <t>133374</t>
  </si>
  <si>
    <t>ТОЧКАБУК Medium. ДЕВУШКА-ВОЗДУХ</t>
  </si>
  <si>
    <t>463-0-097-51557-4</t>
  </si>
  <si>
    <t>4630097515574</t>
  </si>
  <si>
    <t>133376</t>
  </si>
  <si>
    <t>ТОЧКАБУК Medium. ДЕВУШКА-ЗЕМЛЯ</t>
  </si>
  <si>
    <t>463-0-097-51560-4</t>
  </si>
  <si>
    <t>4630097515604</t>
  </si>
  <si>
    <t>133373</t>
  </si>
  <si>
    <t>ТОЧКАБУК Medium. ДЕВУШКА-ОГОНЬ</t>
  </si>
  <si>
    <t>463-0-097-51556-7</t>
  </si>
  <si>
    <t>4630097515567</t>
  </si>
  <si>
    <t>181632</t>
  </si>
  <si>
    <t>ТОЧКАБУК Medium. ДОБЕРМАН</t>
  </si>
  <si>
    <t>462-0-129-72674-0</t>
  </si>
  <si>
    <t>Точкабук с брутальными доберманом можно рассматривать в качестве подарка для мужчины, начальника, делового партнёра, особенного клиента. Сдержанные цвета и тёмный фон придают обложке благородный вид. Блокнот покрыт фактурным лаком и фольгой, которую становится видно, когда на блокнот попадает световой блик. В точкабуке 72 белых листа в мелкую серую точку. Такой блокнот подойдёт для деловых и творческих записей.</t>
  </si>
  <si>
    <t>4620129726740</t>
  </si>
  <si>
    <t>СЕРИЯ: БЛОКНОТ ТОЧКАБУК Mini 64л мат.ламин, выб.лак, кругл.углы, резинка, 7БЦ 109х148 (бум 100гр)</t>
  </si>
  <si>
    <t>215244</t>
  </si>
  <si>
    <t>ТОЧКАБУК Mini. АППЕТИТНЫЙ РАМЕН</t>
  </si>
  <si>
    <t>467-0-159-09752-5</t>
  </si>
  <si>
    <t>Маленький карманный точкабук формат А6 — то, что нужно, чтобы делать записи где и когда угодно! Он поместится даже в самую маленькую сумочку и ни за что в неё не помнётся, ведь его блок находится под защитой плотной обложки и фиксирующей резинки. Линовка в точку позволит писать ровно, а яркие обложки поднимут настроение.</t>
  </si>
  <si>
    <t>4670159097525</t>
  </si>
  <si>
    <t>13.02.2024 0:00:00</t>
  </si>
  <si>
    <t>110х149х11</t>
  </si>
  <si>
    <t>198704</t>
  </si>
  <si>
    <t>ТОЧКАБУК Mini. ВЕДЬМОЧКА</t>
  </si>
  <si>
    <t>467-0-159-00512-4</t>
  </si>
  <si>
    <t>Маленький карманный точкабук формат А6 — то, что нужно, чтобы делать записи где и когда угодно! Он поместится даже в самую маленькую сумочку и ни за что в ней не помнётся, ведь его блок находится под защитой плотной обложки и фиксирующей резинки. Линовка в точку позволит писать ровно, а яркие обложки поднимут настроение.</t>
  </si>
  <si>
    <t>4670159005124</t>
  </si>
  <si>
    <t>225052</t>
  </si>
  <si>
    <t>ТОЧКАБУК Mini. ВОЗЛЮБЛЕННЫЕ</t>
  </si>
  <si>
    <t>467-0-159-14939-2</t>
  </si>
  <si>
    <t>4670159149392</t>
  </si>
  <si>
    <t>23.05.2024 0:00:00</t>
  </si>
  <si>
    <t>225056</t>
  </si>
  <si>
    <t>ТОЧКАБУК Mini. ВОЛШЕБНАЯ ПТИЦА</t>
  </si>
  <si>
    <t>467-0-159-14942-2</t>
  </si>
  <si>
    <t>4670159149422</t>
  </si>
  <si>
    <t>230032</t>
  </si>
  <si>
    <t>ТОЧКАБУК Mini. ВОЛШЕБНЫЙ ЗАМОК</t>
  </si>
  <si>
    <t>467-0-159-17079-2</t>
  </si>
  <si>
    <t>Маленький карманный точкабук форамат А6 — то, что нужно, чтобы делать записи где и когда угодно! Он поместится даже в самую маленькую сумочку и ни за что в неё не помнётся, ведь его блок находится под защитой плотной обложки и фиксирующей резинки. Линовка в точку позволит писать ровно, а яркие обложки поднимут настроение.</t>
  </si>
  <si>
    <t>4670159170792</t>
  </si>
  <si>
    <t>5ee6670e5c61a99e201f0b5976c6e74c</t>
  </si>
  <si>
    <t>22.10.2024 0:00:00</t>
  </si>
  <si>
    <t>215245</t>
  </si>
  <si>
    <t>ТОЧКАБУК Mini. ГОРЫ</t>
  </si>
  <si>
    <t>467-0-159-09204-9</t>
  </si>
  <si>
    <t>4670159092049</t>
  </si>
  <si>
    <t>230033</t>
  </si>
  <si>
    <t>ТОЧКАБУК Mini. ДЕВУШКА И ЗВЁЗДЫ</t>
  </si>
  <si>
    <t>467-0-159-17080-8</t>
  </si>
  <si>
    <t>Маленький карманный точкабук форамат А6 — то, что нужно, чтобы делать записи где и когда угодно! Он поместится даже в самую маленькую сумочку и ни за что в ней не помнётся, ведь его блок находится под защитой плотной обложки и фиксирующей резинки. Линовка в точку позволит писать ровно, а яркие обложки поднимут настроение.</t>
  </si>
  <si>
    <t>4670159170808</t>
  </si>
  <si>
    <t>00f118d7d240dc035219cddab808101b</t>
  </si>
  <si>
    <t>176567</t>
  </si>
  <si>
    <t>ТОЧКАБУК Mini. ЗАБАВНЫЕ КОРГИ</t>
  </si>
  <si>
    <t>461-0-144-88520-1</t>
  </si>
  <si>
    <t>4610144885201</t>
  </si>
  <si>
    <t>198712</t>
  </si>
  <si>
    <t>ТОЧКАБУК Mini. ЗЕБРА</t>
  </si>
  <si>
    <t>467-0-159-00390-8</t>
  </si>
  <si>
    <t>4670159003908</t>
  </si>
  <si>
    <t>198707</t>
  </si>
  <si>
    <t>ТОЧКАБУК Mini. ЛЮБИМЫЙ ПЛЕЙЛИСТ</t>
  </si>
  <si>
    <t>467-0-159-00514-8</t>
  </si>
  <si>
    <t>4670159005148</t>
  </si>
  <si>
    <t>225055</t>
  </si>
  <si>
    <t>ТОЧКАБУК Mini. МАГИЯ</t>
  </si>
  <si>
    <t>467-0-159-14941-5</t>
  </si>
  <si>
    <t>4670159149415</t>
  </si>
  <si>
    <t>29.05.2024 0:00:00</t>
  </si>
  <si>
    <t>198706</t>
  </si>
  <si>
    <t>ТОЧКАБУК Mini. МАЛЫШКА ЧИБИ</t>
  </si>
  <si>
    <t>467-0-159-00513-1</t>
  </si>
  <si>
    <t>4670159005131</t>
  </si>
  <si>
    <t>215242</t>
  </si>
  <si>
    <t>ТОЧКАБУК Mini. РАМЕН С ВОЛНОЙ В КАНАГАВЕ</t>
  </si>
  <si>
    <t>467-0-159-09751-8</t>
  </si>
  <si>
    <t>4670159097518</t>
  </si>
  <si>
    <t>225054</t>
  </si>
  <si>
    <t>ТОЧКАБУК Mini. РУКИ ВЛЮБЛЁННЫХ</t>
  </si>
  <si>
    <t>467-0-159-14940-8</t>
  </si>
  <si>
    <t>4670159149408</t>
  </si>
  <si>
    <t>230030</t>
  </si>
  <si>
    <t>ТОЧКАБУК Mini. РУКИ И СЕРДЦЕ</t>
  </si>
  <si>
    <t>467-0-159-17077-8</t>
  </si>
  <si>
    <t>4670159170778</t>
  </si>
  <si>
    <t>a1829efd6de5641d0871ed9a1e0e1453</t>
  </si>
  <si>
    <t>215241</t>
  </si>
  <si>
    <t>ТОЧКАБУК Mini. ХИНКАЛИ</t>
  </si>
  <si>
    <t>467-0-159-09750-1</t>
  </si>
  <si>
    <t>4670159097501</t>
  </si>
  <si>
    <t>16.02.2024 0:00:00</t>
  </si>
  <si>
    <t>СЕРИЯ: БЛОКНОТ ТОЧКАБУК Mанга 48л выб.лак, кругл.углы, в индивид.упак. 7БЦ 130х190 (бумага 100гр)</t>
  </si>
  <si>
    <t>205511</t>
  </si>
  <si>
    <t>БЛОКНОТ ТОЧКАБУК Манга. ВОИТЕЛЬНИЦА И ШКОЛЬНИЦА</t>
  </si>
  <si>
    <t>467-0-159-04426-0</t>
  </si>
  <si>
    <t>Manga tochkabook - это подарочная серия, которая никого не оставит равнодушным! Вы можете начать вести блокнот с любой стороны, так как мы сделали интересные иллюстрации с обеих сторон обложки. Внутри вас порадует запечатанный форзац, вдохновленный традиционным японским искусством. Благодаря удобному формату блокнот легко поместится практически в любую сумку.
Популярность манги, японских комиксов, которые лежат в основе многих популярных аниме, не сдает своих позиций, поэтому мы не сомневаемся в успехе серии, в которой каждый найдет что-то для себя. Обложка "Воительница и школьница" сделана в лучших традициях манги, но привлечет взгляды всех любителей эстетики и оригинального концепта.</t>
  </si>
  <si>
    <t>4670159044260</t>
  </si>
  <si>
    <t>130x190x9</t>
  </si>
  <si>
    <t>233212</t>
  </si>
  <si>
    <t>БЛОКНОТ ТОЧКАБУК Манга. НОЧНОЙ ТОКИО</t>
  </si>
  <si>
    <t>467-0-159-18802-5</t>
  </si>
  <si>
    <t xml:space="preserve">Manga tochkabook - это подарочная серия, которая никого не оставит равнодушным! Вы можете начать вести блокнот с любой стороны, так как мы сделали интересные иллюстрации с обеих сторон обложки. Внутри вас порадует запечатанный форзац, вдохновленный традиционным японским искусством. Благодаря удобному формату блокнот легко поместится практически в любую сумку.
Популярность манги, японских комиксов, которые лежат в основе многих популярных аниме, не сдает своих позиций, поэтому мы не сомневаемся в успехе серии, в которой каждый найдет что-то для себя. "Ночной Токио" порадует настоящих фанатов анимешной темы. </t>
  </si>
  <si>
    <t>4670159188025</t>
  </si>
  <si>
    <t>0697b396b3389521f9895ed9f9264363</t>
  </si>
  <si>
    <t>205513</t>
  </si>
  <si>
    <t>БЛОКНОТ ТОЧКАБУК Манга. ПАРЕНЬ И ДЕВУШКА</t>
  </si>
  <si>
    <t>467-0-159-04427-7</t>
  </si>
  <si>
    <t xml:space="preserve">Manga tochkabook - это подарочная серия, которая никого не оставит равнодушным! Вы можете начать вести блокнот с любой стороны, так как мы сделали интересные иллюстрации с обеих сторон обложки. Внутри вас порадует запечатанный форзац, вдохновленный традиционным японским искусством. Благодаря удобному формату блокнот легко поместится практически в любую сумку.
Популярность манги, японских комиксов, которые лежат в основе многих популярных аниме, не сдает своих позиций, поэтому мы не сомневаемся в успехе серии, в которой каждый найдет что-то для себя. "Парень и девушка" порадуют настоящих фанатов анимешной темы. </t>
  </si>
  <si>
    <t>4670159044277</t>
  </si>
  <si>
    <t>205516</t>
  </si>
  <si>
    <t>БЛОКНОТ ТОЧКАБУК Манга. ПРОНЗИТЕЛЬНЫЕ ВЗГЛЯДЫ</t>
  </si>
  <si>
    <t>467-0-159-04429-1</t>
  </si>
  <si>
    <t>Manga tochkabook - это подарочная серия, которая никого не оставит равнодушным! Вы можете начать вести блокнот с любой стороны, так как мы сделали интересные иллюстрации с обеих сторон обложки. Внутри вас порадует запечатанный форзац, вдохновленный традиционным японским искусством. Благодаря удобному формату блокнот легко поместится практически в любую сумку.
Популярность манги, японских комиксов, которые лежат в основе многих популярных аниме, не сдает своих позиций, поэтому мы не сомневаемся в успехе серии, в которой каждый найдет что-то для себя. "Пронзительные взгляды" порадуют настоящих фанатов анимешной темы.</t>
  </si>
  <si>
    <t>4670159044291</t>
  </si>
  <si>
    <t>205515</t>
  </si>
  <si>
    <t>БЛОКНОТ ТОЧКАБУК Манга. ЧЁРНО-БЕЛЫЕ ИЕРОГЛИФЫ</t>
  </si>
  <si>
    <t>467-0-159-04428-4</t>
  </si>
  <si>
    <t xml:space="preserve">Manga tochkabook - это подарочная серия, которая никого не оставит равнодушным! Вы можете начать вести блокнот с любой стороны, так как мы сделали интересные иллюстрации с обеих сторон обложки. Внутри вас порадует запечатанный форзац, вдохновленный традиционным японским искусством. Благодаря удобному формату блокнот легко поместится практически в любую сумку.
Популярность манги, японских комиксов, которые лежат в основе многих популярных аниме, не сдает своих позиций, поэтому мы не сомневаемся в успехе серии, в которой каждый найдет что-то для себя. "Черно-белые иероглифы" для тех, кто любит лаконичность и немного готики. </t>
  </si>
  <si>
    <t>4670159044284</t>
  </si>
  <si>
    <t>СЕРИЯ: БЛОКНОТ ТОЧКАБУК Witch Girls 72л мат.ламин, выб.лак, кругл.углы 145х203 (бум 100гр)</t>
  </si>
  <si>
    <t>230037</t>
  </si>
  <si>
    <t>БЛОКНОТ ТОЧКАБУК Witch Girls. ВЕДЬМОЧКА С КОТОМ</t>
  </si>
  <si>
    <t>467-0-159-17074-7</t>
  </si>
  <si>
    <t xml:space="preserve">Погрузитесь в мир магии и приключений с нашей новой серией блокнотов “Witсh Girls” в твёрдой обложке! Ваша креативность и вдохновение найдут идеальное место на 72 страницах этого точкабука. Он подойдет как для записей, так и для подборки красивых визуализаций. Плотность бумаги позволяет использовать его для скетчинга.
 Точкабук «Ведьмочка с котом» понравятся любителям мистики, магии и таро. </t>
  </si>
  <si>
    <t>4670159170747</t>
  </si>
  <si>
    <t>9476410f8aedbd56a0f41a16d421059a</t>
  </si>
  <si>
    <t>143х203х13</t>
  </si>
  <si>
    <t>230039</t>
  </si>
  <si>
    <t>БЛОКНОТ ТОЧКАБУК Witch Girls. ЛУННАЯ ВОЛШЕБНИЦА</t>
  </si>
  <si>
    <t>467-0-159-17076-1</t>
  </si>
  <si>
    <t>Погрузитесь в мир магии и приключений с нашей новой серией блокнотов “Witсh Girls” в твёрдой обложке! Ваша креативность и вдохновение найдут идеальное место на 72 страницах этого точкабука. Он подойдет как для записей, так и для подборки красивых визуализаций. Плотность бумаги позволяет использовать его для скетчинга.
 Поклонники знаменитого аниме «Сейлор Мун» не смогут пройти мимо её тёмной версии, изображенной на обложке новенького точкабука "Лунная волшебница".</t>
  </si>
  <si>
    <t>4670159170761</t>
  </si>
  <si>
    <t>495d6cbbf7392b6f7e7775f93c22ecec</t>
  </si>
  <si>
    <t>230036</t>
  </si>
  <si>
    <t>БЛОКНОТ ТОЧКАБУК Witch Girls. РЫЖАЯ ВОЛШЕБНИЦА</t>
  </si>
  <si>
    <t>467-0-159-17073-0</t>
  </si>
  <si>
    <t>Погрузитесь в мир магии и приключений с нашей новой серией блокнотов “Witсh Girls” в твёрдой обложке! Ваша креативность и вдохновение найдут идеальное место на 72 страницах этого точкабука. Он подойдет как для записей, так и для подборки красивых визуализаций. Плотность бумаги позволяет использовать его для скетчинга.
 Точкабук «Рыжая волшебница» понравится любителям мистики, магии и таро. Мы вдохновлялись образом героини из популярного мультфильма «Храбрая сердцем».</t>
  </si>
  <si>
    <t>4670159170730</t>
  </si>
  <si>
    <t>ca0c23e784fafd583440488fd02600df</t>
  </si>
  <si>
    <t>230038</t>
  </si>
  <si>
    <t>БЛОКНОТ ТОЧКАБУК Witch Girls. УЧЕНИЦА ШКОЛЫ ВОЛШЕБСТВА</t>
  </si>
  <si>
    <t>467-0-159-17075-4</t>
  </si>
  <si>
    <t>Погрузитесь в мир магии и приключений с нашей новой серией блокнотов “Witсh Girls” в твёрдой обложке! Ваша креативность и вдохновение найдут идеальное место на 72 страницах этого точкабука. Он подойдет как для записей, так и для подборки красивых визуализаций. Плотность бумаги позволяет использовать его для скетчинга.
Любители «Гарии Поттера» оценят точкабук «Ведьма», ведь его героиня так похожа на Гермиону — юную волшебницу школы чародейства и волшебства.</t>
  </si>
  <si>
    <t>4670159170754</t>
  </si>
  <si>
    <t>0a75318d7e156bf76d3337ced4bfc5cc</t>
  </si>
  <si>
    <t>СЕРИЯ: БЛОКНОТ ТОЧКАБУК АНИМЕ 48л мат.ламин, выб.лак, кругл.углы 7БЦ 130х190 (бумага 100гр)</t>
  </si>
  <si>
    <t>215246</t>
  </si>
  <si>
    <t>ТОЧКАБУК АНИМЕ. ВЫСОКОМЕРНАЯ ДЕВУШКА</t>
  </si>
  <si>
    <t>467-0-159-09993-2</t>
  </si>
  <si>
    <t>Серия "Tochkabook anime" - это невероятно атмосферные блокноты, которые привлекут к себе внимание с первого взгляда. Их по достоинству оценят не только фанаты аниме и манги, но и все любители эстетики и лаконичного дизайна. У точкабука удобный формат и эффектная обложка. Блокнот упакован в индивидуальный пакет. Всё это сделает точкабук в стиле аниме отличным подарком!</t>
  </si>
  <si>
    <t>4670159099932</t>
  </si>
  <si>
    <t>130х190х10</t>
  </si>
  <si>
    <t>196798</t>
  </si>
  <si>
    <t>ТОЧКАБУК АНИМЕ. ДЕВУШКА ПОД МАСКОЙ</t>
  </si>
  <si>
    <t>462-0-129-79808-2</t>
  </si>
  <si>
    <t>4620129798082</t>
  </si>
  <si>
    <t>196801</t>
  </si>
  <si>
    <t>ТОЧКАБУК АНИМЕ. ДЕВУШКА С ЖЕВАТЕЛЬНОЙ РЕЗИНКОЙ</t>
  </si>
  <si>
    <t>462-0-129-79810-5</t>
  </si>
  <si>
    <t>4620129798105</t>
  </si>
  <si>
    <t>196799</t>
  </si>
  <si>
    <t>ТОЧКАБУК АНИМЕ. ДЕВУШКА-СКЕЛЕТ</t>
  </si>
  <si>
    <t>462-0-129-79809-9</t>
  </si>
  <si>
    <t>4620129798099</t>
  </si>
  <si>
    <t>215248</t>
  </si>
  <si>
    <t>ТОЧКАБУК АНИМЕ. МИЛАЯ ДЕВОЧКА-КОШКА</t>
  </si>
  <si>
    <t>467-0-159-09995-6</t>
  </si>
  <si>
    <t>4670159099956</t>
  </si>
  <si>
    <t>215247</t>
  </si>
  <si>
    <t>ТОЧКАБУК АНИМЕ. ЭЛЬФИЙКА СО ЗМЕЁЙ</t>
  </si>
  <si>
    <t>467-0-159-09994-9</t>
  </si>
  <si>
    <t>4670159099949</t>
  </si>
  <si>
    <t>СЕРИЯ: БЛОКНОТ ТОЧКАБУК с холодным тиснением 72л, 7БЦ 145х203 (бумага 100гр)</t>
  </si>
  <si>
    <t>154811</t>
  </si>
  <si>
    <t>ТОЧКАБУК с холодным тиснением. НАСЕКОМЫЕ</t>
  </si>
  <si>
    <t>468-0-088-48579-9</t>
  </si>
  <si>
    <t>Точкабуки серии Standart с холодным тиснением привлекут внимание своими завораживающими обложками. Они покрыты разноцветной фольгой и переливаются на свету. Внутри блокнота - 144 страницы в серую точку, которая не будет отвлекать от записей и рисунков.</t>
  </si>
  <si>
    <t>4680088485799</t>
  </si>
  <si>
    <t>СЕРИЯ: ПЛАНЕР-ТОЧКАБУК с отрывными листами, 48л глянц.картон.обл, КБС (бумага 70гр)</t>
  </si>
  <si>
    <t>146977</t>
  </si>
  <si>
    <t>ПЛАНЕР-ТОЧКАБУК с отрывными листами А4. ГОЛУБЫЕ ЛИСТЫ</t>
  </si>
  <si>
    <t>468-0-088-42254-1</t>
  </si>
  <si>
    <t>Планер с отрывными листами поможет фиксировать все ваши задачи на текущий день. Лист разделен функциональные зоны и имеет линовку в точку-всё это делает планирование максимально удобным. В планере 52 отрывных листа, поэтому его хватит на целый год.</t>
  </si>
  <si>
    <t>4680088422541</t>
  </si>
  <si>
    <t>198х280х5</t>
  </si>
  <si>
    <t>193451</t>
  </si>
  <si>
    <t>ПЛАНЕР-ТОЧКАБУК с отрывными листами А5. ДЕВУШКА</t>
  </si>
  <si>
    <t>462-0-129-78088-9</t>
  </si>
  <si>
    <t>Планер с отрывными листами поможет фиксировать все ваши задачи на текущий день. Лист разделен функциональные зоны и имеет линовку в точку-всё это делает планирование максимально удобным. В планере 48 двухсторонних отрывных листов, поэтому его хватит на три месяца.</t>
  </si>
  <si>
    <t>4620129780889</t>
  </si>
  <si>
    <t>200х139х5</t>
  </si>
  <si>
    <t>СЕРИЯ: ТОЧКАБУК For men 64л твин лак, холод.тиснение, ляссе 145х203 (бумага 100 гр офсет Котлас)</t>
  </si>
  <si>
    <t>181631</t>
  </si>
  <si>
    <t>ТОЧКАБУК For men. БРУТАЛЬНЫЕ ЦЕПИ</t>
  </si>
  <si>
    <t>462-0-129-72673-3</t>
  </si>
  <si>
    <t>Новая коллекция точкабуков ориентирована на мужчин, но не исключаем, что придётся по вкусу и дамам! Обложки притягивают взгляд благодаря блестящей фольге и стильным дизайнам. На ощупь точкабук даёт приятные тактильные ощущения, так как покрыт текстурным твин-лаком. В блокноте 64 страницы с линовкой в неяркую точку, которая идеально подходит для ведения записей, для набросков и даже для черчения таблиц. Закладка-ляссе всегда поможет найти нужный разворот блокнота.</t>
  </si>
  <si>
    <t>4620129726733</t>
  </si>
  <si>
    <t>145x203x12</t>
  </si>
  <si>
    <t>СЕРИЯ: ТОЧКАБУК Soft 40л мат.ламин, выб.лак 135х192 (бумага 70гр)</t>
  </si>
  <si>
    <t>152315</t>
  </si>
  <si>
    <t>ТОЧКАБУК Soft. АКУЛА</t>
  </si>
  <si>
    <t>468-0-088-45017-9</t>
  </si>
  <si>
    <t>Серия Точкабук Soft - это компактные тетради с линовкой в точку в мягкой обложке. Такой точкабук можно использовать для ведения ежедневника по системе bullet journal или просто использовать как школьную тетрадь. Она не займёт много места в сумке и будет радовать яркой обложкой с крутыми персонажами.</t>
  </si>
  <si>
    <t>4680088450179</t>
  </si>
  <si>
    <t>Тетрадная сшивка</t>
  </si>
  <si>
    <t>135х190х3</t>
  </si>
  <si>
    <t>152314</t>
  </si>
  <si>
    <t>ТОЧКАБУК Soft. ТИКТОКЕР</t>
  </si>
  <si>
    <t>468-0-088-45016-2</t>
  </si>
  <si>
    <t>4680088450162</t>
  </si>
  <si>
    <t>СЕРИЯ: ТОЧКАБУК выб.лак светящийся в темноте 72л 145х203 (бумага 100гр)</t>
  </si>
  <si>
    <t>162086</t>
  </si>
  <si>
    <t>ТОЧКАБУК выб.лак светящийся в темноте ДЕВОЧКА СО СВЕТЛЯЧКАМИ</t>
  </si>
  <si>
    <t xml:space="preserve">461-0-144-82937-3 </t>
  </si>
  <si>
    <t>Новые светящиеся в темноте точкабуки удивят даже самых искушённых любителей канцелярии. Эти блокноты не только удобны и приятны в использовании благодаря таким привычным для всех точкабуков закруглённым уголкам, фиксирующей резинке и линовке листов в точку. Эти точкабуки отличаются от остальных тем, что светятся в темноте! Стоит несколько минут подержать блокнот на свету, а затем взглянуть на него в неосвещённом помещении, и вы увидите исходящее от него свечение! Этот эффект сделает использование точкабука ещё более приятным и захватывающим.</t>
  </si>
  <si>
    <t>4610144829373</t>
  </si>
  <si>
    <t>СЕРИЯ: ТОЧКАБУК с раскраской КБС 64л, мат.ламин, выбор.лак 160х195 (бумага 100гр)</t>
  </si>
  <si>
    <t>144110</t>
  </si>
  <si>
    <t>ТОЧКАБУК с раскраской. КОТ В КОСМОСЕ</t>
  </si>
  <si>
    <t>468-0-088-41510-9</t>
  </si>
  <si>
    <t>Серия «Tochkabook&amp;relax»-это оригинальные блокноты с раскраской, которые помогут не только систематизировать информацию, но и весело провести время. В этих изданиях сочетаются страницы в точку и забавные иллюстрации, которые поднимут настроение и позволят проявить творческие способности.</t>
  </si>
  <si>
    <t>4680088415109</t>
  </si>
  <si>
    <t>160х195х9</t>
  </si>
  <si>
    <t>СЕРИЯ: ТОЧКАБУК-ЕЖЕНЕДЕЛЬНИК 96л мат.ламин, выб.лак, ляссе, резинка 170х218 (офсет 70гр)</t>
  </si>
  <si>
    <t>183518</t>
  </si>
  <si>
    <t>ЕЖЕНЕДЕЛЬНИК-ТОЧКАБУК. ИНСТРУМЕНТЫ</t>
  </si>
  <si>
    <t>462-0-129-73280-2</t>
  </si>
  <si>
    <t>Лаконичный дизайн блока и обложки еженедельника разработан специально для мужчин, в нём нет ничего лишнего. Еженедельник поможет легко строить планы, ставить цели и следить за своим прогрессом. А всё благодаря линовке в точку и удобной системе планирования bullet journal. Страницы в еженедельнике не датированы, а это значит, что можно начать вести его в любой день! Планера хватит на целый год: в нём есть 52 недельных разворота. Еженедельник-точкабук имеет удобный формат А5, твёрдый переплёт, но при этом небольшой вес (330 граммов). Также он оснащён фиксирующей резинкой, которая убережёт его от раскрытия в сумке и закладкой-ляссе, которая сделает использование ещё более удобным.</t>
  </si>
  <si>
    <t>4620129732802</t>
  </si>
  <si>
    <t>169х218х18</t>
  </si>
  <si>
    <t>183517</t>
  </si>
  <si>
    <t>ЕЖЕНЕДЕЛЬНИК-ТОЧКАБУК. МЕХАНИЗМ</t>
  </si>
  <si>
    <t>462-0-129-73279-6</t>
  </si>
  <si>
    <t>4620129732796</t>
  </si>
  <si>
    <t>Альбомы для фото</t>
  </si>
  <si>
    <t>СЕРИЯ: АЛЬБОМ ДЛЯ ФОТО глянц.ламин. офсет, тв.обл.230х270</t>
  </si>
  <si>
    <t>023490</t>
  </si>
  <si>
    <t>АЛЬБОМ ДЛЯ ФОТО. НАШ МАЛЫШ (РОЗОВЫЙ для девочек)</t>
  </si>
  <si>
    <t>978-5-378-11717-8</t>
  </si>
  <si>
    <t>Чтобы сохранить воспоминания о первых днях и месяцах жизни вашего крохи,удобнее всего будет собирать и вклеивать фотографии с важнейшими событиями в специальный альбом. Также рядом со снимками достаточно места,куда можно вписать свои комментарии и забавные истории, связанные с вашим малышом.</t>
  </si>
  <si>
    <t>9785378117178</t>
  </si>
  <si>
    <t>01.11.2017 0:00:00</t>
  </si>
  <si>
    <t>Альбом для фото и записей</t>
  </si>
  <si>
    <t>230x270x7</t>
  </si>
  <si>
    <t>023503</t>
  </si>
  <si>
    <t>АЛЬБОМ ДЛЯ ФОТО. НАШ МАЛЫШ (СИНИЙ для мальчиков)</t>
  </si>
  <si>
    <t>978-5-378-11718-5</t>
  </si>
  <si>
    <t>9785378117185</t>
  </si>
  <si>
    <t>024697</t>
  </si>
  <si>
    <t>АЛЬБОМ ДЛЯ ФОТО. НАША МАЛЕНЬКАЯ ПРИНЦЕССА (с вырубкой)</t>
  </si>
  <si>
    <t>978-5-378-12281-3</t>
  </si>
  <si>
    <t>9785378122813</t>
  </si>
  <si>
    <t>02.02.2018 0:00:00</t>
  </si>
  <si>
    <t>СЕРИЯ: АЛЬБОМ ДЛЯ ФОТО И ЗАПИСЕЙ мат.ламин, выб.лак. кругл.углы 48 стр 250х290</t>
  </si>
  <si>
    <t>181494</t>
  </si>
  <si>
    <t>ФОТОАЛЬБОМ 250х290. НАШ СЫНОЧЕК</t>
  </si>
  <si>
    <t>978-5-378-33233-5</t>
  </si>
  <si>
    <t>Сохранить в памяти драгоценные моменты вам помогут эти замечательные альбомы. Яркие страницы с милыми персонажами сберегут самые трогательные воспоминания, пожелания, забавные истории, и, конечно, фотографии.</t>
  </si>
  <si>
    <t>9785378332335</t>
  </si>
  <si>
    <t>250x290x7</t>
  </si>
  <si>
    <t>181496</t>
  </si>
  <si>
    <t>ФОТОАЛЬБОМ 250х290. НАША ДОЧЕНЬКА</t>
  </si>
  <si>
    <t>978-5-378-33234-2</t>
  </si>
  <si>
    <t>9785378332342</t>
  </si>
  <si>
    <t>СЕРИЯ: АЛЬБОМ ДЛЯ ФОТО с вырубкой, мат.ламин, тиснение, 200х200</t>
  </si>
  <si>
    <t>270066</t>
  </si>
  <si>
    <t>АЛЬБОМ ДЛЯ ФОТО с вырубкой 200х200. НАШ МАЛЫШ</t>
  </si>
  <si>
    <t>467-0-159-30540-8</t>
  </si>
  <si>
    <t>Серия "Альбом с вырубкой" создана для родителей, которые хотят запечатлеть самые важные моменты первых лет жизни малыша. Первая улыбка, прогулки, встреча нового года и дня рождения - все эти рубрики можно заполнить фотографиями и записать свои ощущения важных моментов родительства.
На обложке мы сделали специальное окошко, чтобы можно было вклеить фотографию малыша.</t>
  </si>
  <si>
    <t>4670159305408</t>
  </si>
  <si>
    <t>d8f59a44054e5b62cde0a0d0f19b7158</t>
  </si>
  <si>
    <t>200х200х7</t>
  </si>
  <si>
    <t>270067</t>
  </si>
  <si>
    <t>АЛЬБОМ ДЛЯ ФОТО с вырубкой 200х200. НАША ЛЮБИМАЯ МАЛЫШКА</t>
  </si>
  <si>
    <t>467-0-159-30539-2</t>
  </si>
  <si>
    <t>4670159305392</t>
  </si>
  <si>
    <t>СЕРИЯ: ПЕРВЫЙ АЛЬБОМ МАЛЫША мат.ламин, тиснение 200х200</t>
  </si>
  <si>
    <t>268563</t>
  </si>
  <si>
    <t>ПЕРВЫЙ АЛЬБОМ МАЛЫША</t>
  </si>
  <si>
    <t>467-0-159-30256-8</t>
  </si>
  <si>
    <t>Серия "Первый альбом малыша" создана для родителей, которые хотят запечатлеть самые важные моменты первых лет жизни малыша. Первая улыбка, прогулки, встреча нового года и дня рождения - все эти рубрики можно заполнить фотографиями и записать свои ощущения важных моментов родительства.</t>
  </si>
  <si>
    <t>4670159302568</t>
  </si>
  <si>
    <t>7dcaab65de74e41c22e7563070c47dfc</t>
  </si>
  <si>
    <t>СЕРИЯ: ФОТОАЛЬБОМ пухл.обл. выбор.лак. меловка, 32 стр 250х145</t>
  </si>
  <si>
    <t>126719</t>
  </si>
  <si>
    <t>МОЙ ПЕРВЫЙ ФОТОАЛЬБОМ (голубой)</t>
  </si>
  <si>
    <t>978-5-378-30026-6</t>
  </si>
  <si>
    <t>Сохранить в памяти драгоценные моменты вам помогут эти замечательные альбомы. Яркие страницы с оригинальным оформлением сберегут самые трогательные воспоминания, пожелания, забавные истории, и, конечно, фотографии.</t>
  </si>
  <si>
    <t>9785378300266</t>
  </si>
  <si>
    <t>250х145х6</t>
  </si>
  <si>
    <t>126720</t>
  </si>
  <si>
    <t>МОЙ ФОТОАЛЬБОМ. ДЛЯ ЛЮБИМОЙ БАБУШКИ</t>
  </si>
  <si>
    <t>978-5-378-30019-8</t>
  </si>
  <si>
    <t>9785378300198</t>
  </si>
  <si>
    <t>СЕРИЯ: ФОТОАЛЬБОМ пухлая обл. 48 стр 280х220</t>
  </si>
  <si>
    <t>139108</t>
  </si>
  <si>
    <t>ФОТОАЛЬБОМ 280х220. МОЙ БОЛЬШОЙ ФОТОАЛЬБОМ  мат.ламин</t>
  </si>
  <si>
    <t>978-5-378-30659-6</t>
  </si>
  <si>
    <t>Собери все самые важные и любимые фотографии в большой детский фотоальбом. Этот альбом сохранит на своих страницах светлые воспоминания и памятные даты, любимые имена и удивительные истории из жизни вашего ребёнка!</t>
  </si>
  <si>
    <t>9785378306596</t>
  </si>
  <si>
    <t>280х220х14</t>
  </si>
  <si>
    <t>139110</t>
  </si>
  <si>
    <t xml:space="preserve">ФОТОАЛЬБОМ 280х220. НАШ СЕМЕЙНЫЙ ФОТОАЛЬБОМ с вырубкой, мат.ламин, выб.лак, </t>
  </si>
  <si>
    <t>978-5-378-30658-9</t>
  </si>
  <si>
    <t>Соберите все самые важные и любимые фотографии большой семейный фотоальбом. Этот альбом сохранит на своих страницах светлые воспоминания и памятные даты, любимые имена и удивительные истории вашей семьи!</t>
  </si>
  <si>
    <t>9785378306589</t>
  </si>
  <si>
    <t>Блокноты</t>
  </si>
  <si>
    <t>СЕРИЯ: БЛОКНОТ 40л КБС мат.ламин, выб.лак 165х240 (офсет 100гр)</t>
  </si>
  <si>
    <t>204842</t>
  </si>
  <si>
    <t>БЛОКНОТ КБС. БЛОКНОТ-АНКЕТА</t>
  </si>
  <si>
    <t>467-0-159-04379-9</t>
  </si>
  <si>
    <t xml:space="preserve">Представляем новинку: блокнот-анкета для самых стильных и откровенных! Оригинальный дизайн не оставит равнодушным даже самого взыскательного тинейджера и непременно впишется в его неординарные будни. Рисуй, раскрашивай, составляй личные рейтинги и честно отвечай на вопросы – пусть блокнот станет твоей личной книгой, которая на годы сохранит частичку внутреннего мира и настроение в момент заполнения страничек. </t>
  </si>
  <si>
    <t>4670159043799</t>
  </si>
  <si>
    <t>165х240х6</t>
  </si>
  <si>
    <t>204843</t>
  </si>
  <si>
    <t>БЛОКНОТ КБС. ВЫХОД ИЗ ТУПИКА</t>
  </si>
  <si>
    <t>467-0-159-04384-3</t>
  </si>
  <si>
    <t>Знаете, какой навык оплачивается лучше всего? Креативность! Человек, мыслящий шаблонами, не может придумать ничего нового. Потому что для этого нужно выйти за рамки привычной трактовки, сломать шаблон, освоить новые горизонты данных. Этот КРЕАТИВНЫЙ БЛОКНОТ создан для развития творческого мышления. Многие задания здесь могут показаться глупыми, детскими, бессмысленными - и вы не ошиблись. Именно такие они и есть. Лучше всего мозг развивается в игре, и чтобы проведённое время стало для него полезным, стоит как следует подурачиться. Попросите своего внутреннего критика выйти попить кофе и отдохнуть, а мы начинаем...</t>
  </si>
  <si>
    <t>4670159043843</t>
  </si>
  <si>
    <t>12+</t>
  </si>
  <si>
    <t>204844</t>
  </si>
  <si>
    <t>БЛОКНОТ КБС. ДУМАЙ, ДЕЙСТВУЙ, ДЕЛАЙ</t>
  </si>
  <si>
    <t>467-0-159-04385-0</t>
  </si>
  <si>
    <t>4670159043850</t>
  </si>
  <si>
    <t>СЕРИЯ: БЛОКНОТ ПАЦАНА 40л КБС глянц.ламин, кругл.углы 160х220 (офсет 80гр)</t>
  </si>
  <si>
    <t>237848</t>
  </si>
  <si>
    <t>БЛОКНОТ ПАЦАНА. Жёлтый</t>
  </si>
  <si>
    <t xml:space="preserve">467-0-159-20973-7 </t>
  </si>
  <si>
    <t>Девчонки, проходите мимо! Серия «Блокнот пацана» – для самых крутых и уверенных в себе ребят, которым нужно привести в порядок свои мысли, наметить цели, а также зафиксировать важную информацию о себе.</t>
  </si>
  <si>
    <t>4670159209737</t>
  </si>
  <si>
    <t>3e9570837113fcee3199ab9b7f387f34</t>
  </si>
  <si>
    <t>160х220х6</t>
  </si>
  <si>
    <t>237844</t>
  </si>
  <si>
    <t>БЛОКНОТ ПАЦАНА. Красный</t>
  </si>
  <si>
    <t>467-0-159-20970-6</t>
  </si>
  <si>
    <t>4670159209706</t>
  </si>
  <si>
    <t>a0eb39a333a12d5e857bc1953e6a9437</t>
  </si>
  <si>
    <t>237847</t>
  </si>
  <si>
    <t>БЛОКНОТ ПАЦАНА. Чёрный</t>
  </si>
  <si>
    <t>467-0-159-20972-0</t>
  </si>
  <si>
    <t>4670159209720</t>
  </si>
  <si>
    <t>1e645299c371d3a09089dc18d1f379f9</t>
  </si>
  <si>
    <t xml:space="preserve">СЕРИЯ: БЛОКНОТИК ДЛЯ СЕКРЕТИКОВ С ЗАМОЧКОМ на гребне 48л, глянц.ламин. 115х165 </t>
  </si>
  <si>
    <t>246432</t>
  </si>
  <si>
    <t>БЛОКНОТИК ДЛЯ СЕКРЕТИКОВ С ЗАМОЧКОМ. Бирюзовый</t>
  </si>
  <si>
    <t>467-0-159-24561-2</t>
  </si>
  <si>
    <t>Блокнотик для секретиков с замочком — это красивый и полезный подарок, который идеально подходит для записи девичьих мыслей, заметок и творчества. Он выполнен в ярком и привлекательном дизайне, компактен и удобен для ношения в рюкзачке или сумочке. Изготовленная из прочного материала обложка защищает страницы с розовой клеткой от повреждений. Надёжный замочек-сердечко позволяет девочке сохранять личные заметки и сердечные тайны в секрете от посторонних. Такой блокнотик станет отличным спутником и помощником юной леди!</t>
  </si>
  <si>
    <t>4670159245612</t>
  </si>
  <si>
    <t>24b63275c915f7513fe9c8b7b0f5f3bb</t>
  </si>
  <si>
    <t>150х175х15</t>
  </si>
  <si>
    <t>246433</t>
  </si>
  <si>
    <t>БЛОКНОТИК ДЛЯ СЕКРЕТИКОВ С ЗАМОЧКОМ. Голубой</t>
  </si>
  <si>
    <t>467-0-159-24564-3</t>
  </si>
  <si>
    <t>4670159245643</t>
  </si>
  <si>
    <t>de5ce3aa2915731dc3c6d45cf30eea68</t>
  </si>
  <si>
    <t>246434</t>
  </si>
  <si>
    <t>БЛОКНОТИК ДЛЯ СЕКРЕТИКОВ С ЗАМОЧКОМ. Жёлтый</t>
  </si>
  <si>
    <t>467-0-159-24562-9</t>
  </si>
  <si>
    <t>4670159245629</t>
  </si>
  <si>
    <t>1a1d7a34e7ea93bbaa47e022265c693b</t>
  </si>
  <si>
    <t>СЕРИЯ: БЛОКНОТИК-АНКЕТА ДЛЯ ТЕБЯ И ДРУЗЕЙ с наклейками 32л, глянц.ламин. 155х200 (офсет 100гр)</t>
  </si>
  <si>
    <t>216541</t>
  </si>
  <si>
    <t>БЛОКНОТИК-АНКЕТА ДЛЯ ТЕБЯ И ДРУЗЕЙ с наклейками. ЗЕЛЁНАЯ</t>
  </si>
  <si>
    <t>467-0-159-10790-3</t>
  </si>
  <si>
    <t>В блокнотике-анкете можно записывать свои сокровенные мысли и тайны. Странички можно заполнять, как хочется: писать разными ручками, рисовать, украшать наклейками, которые идут в комплекте. Особенностью анкеты для друзей являются цитаты классиков о дружбе.</t>
  </si>
  <si>
    <t>4670159107903</t>
  </si>
  <si>
    <t>002a730e494e51bb1b8068b8ca2a2b6d</t>
  </si>
  <si>
    <t>216537</t>
  </si>
  <si>
    <t>БЛОКНОТИК-АНКЕТА ДЛЯ ТЕБЯ И ДРУЗЕЙ с наклейками. РОЗОВАЯ</t>
  </si>
  <si>
    <t>467-0-159-10789-7</t>
  </si>
  <si>
    <t>4670159107897</t>
  </si>
  <si>
    <t>90e593961f12fcd57e0843adc142261f</t>
  </si>
  <si>
    <t>216543</t>
  </si>
  <si>
    <t>БЛОКНОТИК-АНКЕТА ДЛЯ ТЕБЯ И ДРУЗЕЙ с наклейками. СИНЯЯ</t>
  </si>
  <si>
    <t>467-0-159-10791-0</t>
  </si>
  <si>
    <t>4670159107910</t>
  </si>
  <si>
    <t>6e815d795b7e58f1a390ec061ac0d9bf</t>
  </si>
  <si>
    <t>216546</t>
  </si>
  <si>
    <t>БЛОКНОТИК-АНКЕТА ДЛЯ ТЕБЯ И ДРУЗЕЙ с наклейками. ФИОЛЕТОВАЯ</t>
  </si>
  <si>
    <t>467-0-159-10792-7</t>
  </si>
  <si>
    <t>4670159107927</t>
  </si>
  <si>
    <t>a2cb4af35094cda5b3909e712181717a</t>
  </si>
  <si>
    <t>СЕРИЯ: МОДНЫЙ АЛЬБОМ 48л на гребне, выб.лак, кругл.углы 138х213 (офсет 120гр)</t>
  </si>
  <si>
    <t>217165</t>
  </si>
  <si>
    <t>МОДНЫЙ АЛЬБОМ на гребне</t>
  </si>
  <si>
    <t>467-0-159-10994-5</t>
  </si>
  <si>
    <t xml:space="preserve">Серия "Модный альбом" - это находка для девочек, девушек, женщин и всех, кто любит рисовать, создавать интересные образы и просто влюблен в моду. Для большего удобства брошюра на гребне, обложка из плотного картона, а листы в блоке из плотной бумаги. Комфортный формат позволит брать альбом с собой куда угодно. В блоке вы найдете 96 силуэтов фигур в точку, благодаря чему создавать дизайн одежды станет очень просто. Модный альбом станет прекрасным подарком на любой праздник. Помогите близким сделать первые шаги в дизайне прямо сейчас! </t>
  </si>
  <si>
    <t>4670159109945</t>
  </si>
  <si>
    <t>4043139c351cc06bcdab305e78781f6c</t>
  </si>
  <si>
    <t>145х213х10</t>
  </si>
  <si>
    <t>СЕРИЯ: ПАРНЫЕ БЛОКНОТЫ 2*48л в инд.упак. выб.лак, кругл.углы, КБС 140х200 (бумага 100гр)</t>
  </si>
  <si>
    <t>217160</t>
  </si>
  <si>
    <t>ПАРНЫЕ БЛОКНОТЫ. АНГЕЛ И ДЕМОН</t>
  </si>
  <si>
    <t>467-0-159-11086-6</t>
  </si>
  <si>
    <t>Эта серия точно привлечет ваше внимание. Блокноты продаются парой, поэтому при желании можно подарить один из них подруге, другу или любимому человеку. Для большего удобства мы сделали блок с прошитыми страницами, благодаря этому блокнот открывается на 180 градусов без какого-либо усилия. Каждый найдет в этой серии пару по вкусу. 
Комплект «Ангел и демон» сделан в лучших традициях аниме. Сверхъестественные герои в современных образах. Ангел не такой уж ангельский, а демон не такой страшный. Раздели восторг от новых точкабуков с другом, ведь они отличный подарок для любителей азиатской темы и всего необычного. Если поставить блокноты рядом, можно увидеть единый фон за героями.</t>
  </si>
  <si>
    <t>4670159110866</t>
  </si>
  <si>
    <t>26.10.2023 0:00:00</t>
  </si>
  <si>
    <t>140х200х15</t>
  </si>
  <si>
    <t>217161</t>
  </si>
  <si>
    <t>ПАРНЫЕ БЛОКНОТЫ. ВЛЮБЛЁННАЯ ПАРОЧКА</t>
  </si>
  <si>
    <t>467-0-159-11087-3</t>
  </si>
  <si>
    <t>Эта серия точно привлечет ваше внимание. Блокноты продаются парой, поэтому при желании можно подарить один из них подруге, другу или любимому человеку. Для большего удобства мы сделали блок с прошитыми страницами, благодаря этому блокнот открывается на 180 градусов без какого-либо усилия. Каждый найдет в этой серии пару по вкусу. 
Комплект «Влюбленная парочка» сразу привлечет взгляд истинного дорамщика, анимешника и всех ценителей прекрасного. Любовь ко всему анишному только крепнет, а герои, как будто сошедшие со страниц манги или манхвы будут прекрасным подарков для вашего друга, который в восторге от всей азиатской темы также, как и мы. Если поставить два блокнота рядом — девочка и мальчик показывают руками сердечко.</t>
  </si>
  <si>
    <t>4670159110873</t>
  </si>
  <si>
    <t>de522653718c7b1c2016d9790cc4ead0</t>
  </si>
  <si>
    <t>217162</t>
  </si>
  <si>
    <t>ПАРНЫЕ БЛОКНОТЫ. КРАСНАЯ НИТЬ СУДЬБЫ</t>
  </si>
  <si>
    <t>467-0-159-11088-0</t>
  </si>
  <si>
    <t>Эта серия точно привлечет ваше внимание. Блокноты продаются парой, поэтому при желании можно подарить один из них подруге, другу или любимому человеку. Для большего удобства мы сделали блок с прошитыми страницами, благодаря этому блокнот открывается на 180 градусов без какого-либо усилия. Каждый найдет в этой серии пару по вкусу. 
Создавая комплект «Красная нить судьбы», мы вдохновлялись прекрасной легендой, которая родилась в Азии — в нашем мире двух людей, которые созданы друг для друга, связывает красная нить судьбы. В конце-концов этим людям предначертано быть вместе, сколько бы километров их не разделяло. Красивая легенда и прекрасный подарок для вашей второй половины! Если поставить два блокнота рядом — на фоне за героями складывается сердечко: и красная нить судьбы переходит с обложки на обложку.</t>
  </si>
  <si>
    <t>4670159110880</t>
  </si>
  <si>
    <t>236470</t>
  </si>
  <si>
    <t>ПАРНЫЕ БЛОКНОТЫ. ПАРОЧКА ИЗ АНИМЕ</t>
  </si>
  <si>
    <t>467-0-159-20649-1</t>
  </si>
  <si>
    <t xml:space="preserve">Эта серия точно привлечет ваше внимание. Блокноты продаются парой, поэтому при желании можно подарить один из них подруге, другу или любимому человеку. Для большего удобства мы сделали блок с прошитыми страницами, благодаря этому блокнот открывается на 180 градусов без какого-либо усилия. Каждый найдет в этой серии пару по вкусу.
Создавая комплект «Парочка из аниме», мы вдохновлялись романтичными пейзажами из аниме Хаяо Миядзаки. Если поставить два блокнота рядом — они образуют единую композицию, где двое возлюбленных идут навстречу друг другу. </t>
  </si>
  <si>
    <t>4670159206491</t>
  </si>
  <si>
    <t>Дневники</t>
  </si>
  <si>
    <t>СЕРИЯ: ДНЕВНИК БЕРЕМЕННОСТИ 56л выб.лак, кругл.углы 145х203</t>
  </si>
  <si>
    <t>209677</t>
  </si>
  <si>
    <t>ДНЕВНИК БЕРЕМЕННОСТИ. В ОЖИДАНИИ ЧУДА</t>
  </si>
  <si>
    <t>978-5-378-34371-3</t>
  </si>
  <si>
    <t>Этот чудесный блокнот поможет будущим родителям запомнить все важные моменты трепетного времени ожидания малыша. 
В блокноте есть раздел справочной информации, анкеты, место для расписания и заметок на каждый месяц до родов.
Также блокнот содержит раздел "Гендер-пати", в котором есть место для пожеланий близких малышу и место для фото.
Приятная на ощупь обложка с выборочным лаком и кругленными уголками дополняется блоком с нейтральным лаконичным оформлением. Эти характеристики делают блокнот приятным подарком для себя или для будущей мамы.</t>
  </si>
  <si>
    <t>9785378343713</t>
  </si>
  <si>
    <t>209679</t>
  </si>
  <si>
    <t>ДНЕВНИК БЕРЕМЕННОСТИ. СТИЛЬНАЯ МАМА</t>
  </si>
  <si>
    <t>978-5-378-34370-6</t>
  </si>
  <si>
    <t>Этот чудесный блокнот поможет будущим родителям запомнить все важные моменты трепетного времени ожидания малыша. В блокноте есть раздел справочной информации, анкеты, место для расписания и заметок на каждый месяц до родов.
Также блокнот содержит раздел "Гендер-пати", в котором есть место для пожеланий близких малышу и место для фото.
Приятная на ощупь обложка с выборочным лаком и кругленными уголками дополняется блоком с нейтральным лаконичным оформлением. Эти характеристики делают блокнот приятным подарком для себя или для будущей мамы.</t>
  </si>
  <si>
    <t>9785378343706</t>
  </si>
  <si>
    <t>СЕРИЯ: ДНЕВНИК ПЕРВОГО ГОДА ЖИЗНИ  тв.обл, выб.лак, офсет, кругл.углы 145х203</t>
  </si>
  <si>
    <t>221917</t>
  </si>
  <si>
    <t>ДНЕВНИК ПЕРВОГО ГОДА ЖИЗНИ. Лучший для мамы</t>
  </si>
  <si>
    <t>978-5-378-34613-4</t>
  </si>
  <si>
    <t>Кажется, ваш любимый малыш только начинал агукать, а вот он уже во всю щебечет да ещё и уверенно шагает навстречу приключениям. Время летит очень стремительно! Дневник первого года жизни поможет сохранить в памяти важные моменты из жизни любимого карапуза.
В дневнике приведены справочные данные, которые пригодятся молодой мамочке: календарь профилактических прививок, нормы сна и бодрствования. Так же в этой записной книжке можно вести планинг на каждый месяц малыша, отмечать важные моменты, вносить в словарик первые слова сыночка.
Каждый ребёнок — лучший для мамы!</t>
  </si>
  <si>
    <t>9785378346134</t>
  </si>
  <si>
    <t>aa5a1d8d70bb914313d7fc32751afe48</t>
  </si>
  <si>
    <t>СЕРИЯ: ДНЕВНИК ПЕРВЫХ ЛЕТ ЖИЗНИ МАЛЫША  тв.обл, выб.лак, офсет, кругл.углы 145х205</t>
  </si>
  <si>
    <t>262203</t>
  </si>
  <si>
    <t>БЛОКНОТ РАЗВИТИЯ МАЛЫША. НАШЕ СЧАСТЬЕ</t>
  </si>
  <si>
    <t>978-5-378-35785-7</t>
  </si>
  <si>
    <t>Блокнот развития малыша «Наше счастье» от издательства «Проф-Пресс» поможет сохранит самые важные моменты первых дней жизни новорождённого.
Этот альбом для записей и фото рассчитан на 2 года. Каждый месяц родители могут отмечать рост и вес малыша, а также записывать возрастные достижения малыша. Книжка новорождённого содержит полезные рекомендации по уходу: сну, гигиене, прикорму и много страниц для самостоятельного заполнения.</t>
  </si>
  <si>
    <t>9785378357857</t>
  </si>
  <si>
    <t>90a5b0a124adb1a1f8e5cc4697471371</t>
  </si>
  <si>
    <t>145х205х11</t>
  </si>
  <si>
    <t>192468</t>
  </si>
  <si>
    <t>ДНЕВНИК ПЕРВЫХ ЛЕТ ЖИЗНИ МАЛЫША. НАШ СЫНОЧЕК</t>
  </si>
  <si>
    <t>462-0-129-77635-6</t>
  </si>
  <si>
    <t>Первые полтора года жизни малыша — самый трепетный и нежный возраст, который хочется запомнить на всю жизнь. Именно поэтому в дневнике первых лет жизни малыша  предусмотрена справочная информация и страницы для записи важных событий роста и развития ребёнка.  Этот блокнот — прекрасная возможность сохранить тёплые воспоминания о первых успехах крохи.</t>
  </si>
  <si>
    <t>4620129776356</t>
  </si>
  <si>
    <t>42face4d3e3ca0e899068c16768ebefa</t>
  </si>
  <si>
    <t>192473</t>
  </si>
  <si>
    <t>ДНЕВНИК ПЕРВЫХ ЛЕТ ЖИЗНИ МАЛЫША. НАША ДОЧЕНЬКА</t>
  </si>
  <si>
    <t>462-0-129-77634-9</t>
  </si>
  <si>
    <t>4620129776349</t>
  </si>
  <si>
    <t>СЕРИЯ: ДНЕВНИК ПИТАНИЯ 40л глянц.ламин, КБС 145х203</t>
  </si>
  <si>
    <t>221923</t>
  </si>
  <si>
    <t>ДНЕВНИК ПИТАНИЯ. Любовь к себе и своему телу</t>
  </si>
  <si>
    <t>467-0-159-13059-8</t>
  </si>
  <si>
    <t>Начните 30-ти дневный марафон правильного питания с «Проф-Пресс»! Записывайте параметры на старте, результат через месяц и дальнейшие цели. Отмечайте в трекере своё настроение, количество выпитой жидкости и часов сна.
Главной особенностью Дневника является наличие шкалы голода и насыщения, которую рекомендуют принимать во внимание гастроэнтерологи и диетологи. Полезные рецепты в виде раскрасок-антистресс — ещё одна приятная изюминка Дневника.</t>
  </si>
  <si>
    <t>4670159130598</t>
  </si>
  <si>
    <t>765d876d2f024662243e33b7c1a1b184</t>
  </si>
  <si>
    <t>СЕРИЯ: МОЙ ЛИЧНЫЙ ДНЕВНИЧОК выб.лак, офсет, интегр.обл.120х165</t>
  </si>
  <si>
    <t>208646</t>
  </si>
  <si>
    <t>МОЙ ЛИЧНЫЙ ДНЕВНИЧОК. Сиреневый</t>
  </si>
  <si>
    <t>467-0-159-06346-9</t>
  </si>
  <si>
    <t xml:space="preserve">Модным девчонкам — модные аксессуары! Записывай свои сокровенные тайны и важную информацию в новые мини-дневнички с обложками в стиле аниме! </t>
  </si>
  <si>
    <t>4670159063469</t>
  </si>
  <si>
    <t>f21eb945f916db254f9b599820b5684b</t>
  </si>
  <si>
    <t>Интегр</t>
  </si>
  <si>
    <t>120х165х6</t>
  </si>
  <si>
    <t>Дневники Читательские</t>
  </si>
  <si>
    <t>СЕРИЯ: MyArt. ЧИТАТЕЛЬСКИЙ ДНЕВНИК  А5 выбор.лак 80л</t>
  </si>
  <si>
    <t>131580</t>
  </si>
  <si>
    <t>MyArt. ЛИТЕРАТУРНЫЙ ДНЕВНИК ДЛЯ ВЗРОСЛЫХ, которые любят читать</t>
  </si>
  <si>
    <t>463-0-097-51523-9</t>
  </si>
  <si>
    <t>Если вы любите читать...если вы не представляете себе жизнь без книг, то читательский дневник это musthave для вас! В нём вы можете записать свои впечатления от прочитанной книги, поделиться эмоциями и мыслями о ней, а также сделать другие нужные заметки.</t>
  </si>
  <si>
    <t>4630097515239</t>
  </si>
  <si>
    <t>131584</t>
  </si>
  <si>
    <t>MyArt. ЛИТЕРАТУРНЫЙ ДНЕВНИК для тех, кто любит читать и слушать книги А5 7БЦ</t>
  </si>
  <si>
    <t>463-0-097-51525-3</t>
  </si>
  <si>
    <t>Если вы любите читать...если вы не представляете себе жизнь без книг, то читательский дневник это для вас! В нём вы можете записать свои впечатления от прочитанной книги, поделиться эмоциями и мыслями о ней, а также сделать другие нужные заметки.</t>
  </si>
  <si>
    <t>4630097515253</t>
  </si>
  <si>
    <t>131579</t>
  </si>
  <si>
    <t>MyArt. ЧИТАТЕЛЬСКИЙ ДНЕВНИК ДЛЯ ВЗРОСЛЫХ, которые любят книги</t>
  </si>
  <si>
    <t>463-0-097-51522-2</t>
  </si>
  <si>
    <t>4630097515222</t>
  </si>
  <si>
    <t>СЕРИЯ: ЧИТАТЕЛЬСКИЙ ДНЕВНИК 24л. мелов.бум, глянц.ламин.обл, офсет 100гр. 166х240</t>
  </si>
  <si>
    <t>223822</t>
  </si>
  <si>
    <t>ЧИТАТЕЛЬСКИЙ ДНЕВНИК 166x240. СКАЗКА О МЁРТВОЙ ЦАРЕВНЕ И О СЕМИ БОГАТЫРЯХ</t>
  </si>
  <si>
    <t>467-0-159-14030-6</t>
  </si>
  <si>
    <t>Ваш ребенок много читает, но быстро забывает содержание и персонажей? Выход есть! В наших новых читательских дневниках с героями сказок А.С. Пушкина, отрисованных в стиле легендарного аниматора Хаяо Миядзаки, можно отмечать дату прочтения книги, записывать авторов, краткий сюжет, а также свои впечатления. А ещё в них есть страницы, чтобы выделить яркие цитаты, вписать строки самых проникновенных стихотворений, составить личные литературные рейтинги. Вести читательский дневник может быть не только полезно, но и интересно!</t>
  </si>
  <si>
    <t>4670159140306</t>
  </si>
  <si>
    <t>223821</t>
  </si>
  <si>
    <t>ЧИТАТЕЛЬСКИЙ ДНЕВНИК 166x240. СКАЗКА О РЫБАКЕ И РЫБКЕ</t>
  </si>
  <si>
    <t>467-0-159-14029-0</t>
  </si>
  <si>
    <t>4670159140290</t>
  </si>
  <si>
    <t>223820</t>
  </si>
  <si>
    <t>ЧИТАТЕЛЬСКИЙ ДНЕВНИК 166x240. СКАЗКА О ЦАРЕ САЛТАНЕ</t>
  </si>
  <si>
    <t>467-0-159-14028-3</t>
  </si>
  <si>
    <t>4670159140283</t>
  </si>
  <si>
    <t>223823</t>
  </si>
  <si>
    <t>ЧИТАТЕЛЬСКИЙ ДНЕВНИК 166x240. У ЛУКОМОРЬЯ ДУБ ЗЕЛЁНЫЙ</t>
  </si>
  <si>
    <t>467-0-159-14031-3</t>
  </si>
  <si>
    <t>4670159140313</t>
  </si>
  <si>
    <t>СЕРИЯ: ЧИТАТЕЛЬСКИЙ ДНЕВНИК 48л глянц.ламин КБС 160х195</t>
  </si>
  <si>
    <t>150067</t>
  </si>
  <si>
    <t>ЧИТАТЕЛЬСКИЙ ДНЕВНИК. ГОГОЛЬ</t>
  </si>
  <si>
    <t>468-0-088-44247-1</t>
  </si>
  <si>
    <t>Благодаря читательским дневникам каждая прочитанная книга запомнится надолго! Записывать свои мысли и эмоции, основные идеи книг, сюжеты, особенности героев - отличный способ сохранить воспоминания. А любимые писатели помогут вам в заполнении дневника!</t>
  </si>
  <si>
    <t>4680088442471</t>
  </si>
  <si>
    <t>160х195х7</t>
  </si>
  <si>
    <t>181480</t>
  </si>
  <si>
    <t>ЧИТАТЕЛЬСКИЙ ДНЕВНИК. ДОСТОЕВСКИЙ</t>
  </si>
  <si>
    <t>462-0-129-72053-3</t>
  </si>
  <si>
    <t>4620129720533</t>
  </si>
  <si>
    <t>181479</t>
  </si>
  <si>
    <t>ЧИТАТЕЛЬСКИЙ ДНЕВНИК. ТОЛСТОЙ</t>
  </si>
  <si>
    <t>462-0-129-72052-6</t>
  </si>
  <si>
    <t>4620129720526</t>
  </si>
  <si>
    <t>150068</t>
  </si>
  <si>
    <t>ЧИТАТЕЛЬСКИЙ ДНЕВНИК. ЧЕХОВ</t>
  </si>
  <si>
    <t>468-0-088-44249-5</t>
  </si>
  <si>
    <t>4680088442495</t>
  </si>
  <si>
    <t>150069</t>
  </si>
  <si>
    <t>ЧИТАТЕЛЬСКИЙ ДНЕВНИК. ШЕКСПИР</t>
  </si>
  <si>
    <t>468-0-088-44250-1</t>
  </si>
  <si>
    <t>4680088442501</t>
  </si>
  <si>
    <t>СЕРИЯ: ЧИТАТЕЛЬСКИЙ ДНЕВНИК ШКОЛЬНИКА глянц.ламин.обл.165х240</t>
  </si>
  <si>
    <t>156743</t>
  </si>
  <si>
    <t xml:space="preserve">ЧИТАТЕЛЬСКИЙ ДНЕВНИК 1-11 КЛАСС </t>
  </si>
  <si>
    <t>461-0-144-80060-0</t>
  </si>
  <si>
    <t>Это пособия, которые станут незаменимым помощником вашего ребёнка. Дневник поможет читателю анализировать художественные произведения, запомнить содержание, главных героев. Также на разворотах есть небольшие загадки про писателей и авторов.</t>
  </si>
  <si>
    <t>4610144800600</t>
  </si>
  <si>
    <t>166х240х4</t>
  </si>
  <si>
    <t>156742</t>
  </si>
  <si>
    <t xml:space="preserve">ЧИТАТЕЛЬСКИЙ ДНЕВНИК ШКОЛЬНИКА </t>
  </si>
  <si>
    <t>461-0-144-80059-4</t>
  </si>
  <si>
    <t>4610144800594</t>
  </si>
  <si>
    <t>СЕРИЯ: ЧИТАТЕЛЬСКИЙ ДНЕВНИК эконом, мелов.обл. 140х200</t>
  </si>
  <si>
    <t>194589</t>
  </si>
  <si>
    <t>ЧИТАТЕЛЬСКИЙ ДНЕВНИК эконом. ДЛЯ МАЛЬЧИКОВ. МАЛЬЧИК В ПАЛАТКЕ</t>
  </si>
  <si>
    <t>462-0-129-78261-6</t>
  </si>
  <si>
    <t>Наши читательские дневники — это палочки-выручалочки для учащихся младших классов. Анализируя сюжеты художественных произведений, юные читатели научатся не просто делать выводы,  но и излагать их на бумаге. А яркие, красочные обложки обязательно придутся по вкусу, как девчонкам, так и мальчишкам!</t>
  </si>
  <si>
    <t>4620129782616</t>
  </si>
  <si>
    <t>140х200х4</t>
  </si>
  <si>
    <t>274660</t>
  </si>
  <si>
    <t>ЧИТАТЕЛЬСКИЙ ДНЕВНИК эконом. КОТЁНОК</t>
  </si>
  <si>
    <t>467-0-159-31916-0</t>
  </si>
  <si>
    <t>Читательский дневник — просто необходимый атрибут летнего чтения учеников начальной школы! В нём можно записать основную мысль произведения, главных героев и краткий сюжет, а ещё и сделать рисунок к прочитанному. Дневник рассчитан на 30 произведений, выполнен на скрепке с яркой обложкой и приятным лаконичным дизайном внутреннего блока. С таким читательским дневником любовь к чтению гарантирована!</t>
  </si>
  <si>
    <t>4670159319160</t>
  </si>
  <si>
    <t>274659</t>
  </si>
  <si>
    <t>ЧИТАТЕЛЬСКИЙ ДНЕВНИК эконом. ТРЕНДХАУС. КАПИБАРА И ГУСЬ</t>
  </si>
  <si>
    <t>467-0-159-31915-3</t>
  </si>
  <si>
    <t>4670159319153</t>
  </si>
  <si>
    <t>Дневнички для Девочек</t>
  </si>
  <si>
    <t>СЕРИЯ: АНКЕТА ДЛЯ ДЕВОЧЕК  с замочком 32л глянц.ламин, кругл.углы 150х208 (офсет 100гр)</t>
  </si>
  <si>
    <t>220122</t>
  </si>
  <si>
    <t>АНКЕТА ДЛЯ ДЕВОЧЕК  с замочком. В БЕЛОЙ РУБАШКЕ</t>
  </si>
  <si>
    <t>467-0-159-12542-6</t>
  </si>
  <si>
    <t>Анкета для девочек поможет надежно сохранить память о себе в детстве, своих предпочтениях и увлечениях. А еще это самый простой инструмент, чтобы узнать больше о подружках и одноклассницах. В небольшой книжке, которая не займет много места в школьном рюкзаке или сумочке, представлены плашки для паролей, рамки для фото, разделы для личных рейтингов, страницы с раскрасками и панелями для историй в комиксах и, конечно, опросники для 10 друзей. Благодаря маленькому замочку ни один секретик не просочится к завистникам и недоброжелателям!</t>
  </si>
  <si>
    <t>4670159125426</t>
  </si>
  <si>
    <t>5b085297da98b4f8c183b3ad6c4cf81d</t>
  </si>
  <si>
    <t>165х210х10</t>
  </si>
  <si>
    <t>220123</t>
  </si>
  <si>
    <t>АНКЕТА ДЛЯ ДЕВОЧЕК  с замочком. В ГОЛУБОМ ПЛАТЬЕ</t>
  </si>
  <si>
    <t>467-0-159-12543-3</t>
  </si>
  <si>
    <t>4670159125433</t>
  </si>
  <si>
    <t>6381b25d3592e7ca6500f34e591a966d</t>
  </si>
  <si>
    <t>220118</t>
  </si>
  <si>
    <t>АНКЕТА ДЛЯ ДЕВОЧЕК  с замочком. В ЖЁЛТОМ СВИТЕРЕ</t>
  </si>
  <si>
    <t>467-0-159-12540-2</t>
  </si>
  <si>
    <t>4670159125402</t>
  </si>
  <si>
    <t>378ec8b266829e6ba86cf81848215a7d</t>
  </si>
  <si>
    <t>220121</t>
  </si>
  <si>
    <t>АНКЕТА ДЛЯ ДЕВОЧЕК  с замочком. В СИНЕЙ ВОДОЛАЗКЕ</t>
  </si>
  <si>
    <t>467-0-159-12541-9</t>
  </si>
  <si>
    <t>4670159125419</t>
  </si>
  <si>
    <t>a7c026c2d26a0b9e6b62b318f3da2b29</t>
  </si>
  <si>
    <t>СЕРИЯ: ДНЕВНИЧОК ДЛЯ ДЕВОЧЕК КБС глянц.ламин, офсет, 140х195</t>
  </si>
  <si>
    <t>202898</t>
  </si>
  <si>
    <t>ДНЕВНИЧОК ДЛЯ ДЕВОЧЕК 140х195. МОЙ КРУТОЙ ДНЕВНИЧОК</t>
  </si>
  <si>
    <t>467-0-159-03459-9</t>
  </si>
  <si>
    <t>Новые дневнички для самых прикольных, милых, крутых и суперских девчонок! Яркие стильные обложки и красочное оформление привлекают внимание и заряжают позитивом. Блокнотики отличаются друг от друга не только снаружи, но и внутри, так что каждая девочка сможет найти именно свой дневничок.</t>
  </si>
  <si>
    <t>4670159034599</t>
  </si>
  <si>
    <t>c7f33e6ace1be5995f9f84f93149ea38</t>
  </si>
  <si>
    <t>140х195х6</t>
  </si>
  <si>
    <t>202899</t>
  </si>
  <si>
    <t>ДНЕВНИЧОК ДЛЯ ДЕВОЧЕК 140х195. МОЙ ПРИКОЛЬНЫЙ ДНЕВНИЧОК</t>
  </si>
  <si>
    <t>467-0-159-03460-5</t>
  </si>
  <si>
    <t xml:space="preserve">4670159034605 </t>
  </si>
  <si>
    <t>20ea46ae26c56b8d015ace3da8b2e23c</t>
  </si>
  <si>
    <t>202900</t>
  </si>
  <si>
    <t>ДНЕВНИЧОК ДЛЯ ДЕВОЧЕК 140х195. МОЙ СУПЕРСКИЙ ДНЕВНИЧОК</t>
  </si>
  <si>
    <t>467-0-159-03461-2</t>
  </si>
  <si>
    <t>4670159034612</t>
  </si>
  <si>
    <t>a3e59c6e1f35bb156b5726dfc63c6b67</t>
  </si>
  <si>
    <t>СЕРИЯ: ДНЕВНИЧОК ДЛЯ ДЕВОЧКИ тв.обл. глянц.ламин, офсет, 220х220</t>
  </si>
  <si>
    <t>040836</t>
  </si>
  <si>
    <t>ДНЕВНИЧОК. НЕШКОЛЬНЫЙ ДНЕВНИЧОК ОБО МНЕ И МОИХ ДРУЗЬЯХ</t>
  </si>
  <si>
    <t>978-5-378-25779-9</t>
  </si>
  <si>
    <t>Красочные дневнички в твёрдой обложке не только надолго сохранят яркие события,но и помогут развить творческие навыки! Маленькие красавицы вклеят фотографии незабываемых моментов, запишут волшебные сны,сокровенные мечты и даже придумают собственный макияж и маникюр! На страницах с коллажами можно рисовать и клеить наклейки! Друзья обязательно захотят запомнить интересную анкету! Дневнички созданы специально для стильных и продвинутых девчонок!</t>
  </si>
  <si>
    <t>9785378257799</t>
  </si>
  <si>
    <t>03.03.2017 0:00:00</t>
  </si>
  <si>
    <t>Дневничок для девочки</t>
  </si>
  <si>
    <t>220х220х8</t>
  </si>
  <si>
    <t>040834</t>
  </si>
  <si>
    <t>ДНЕВНИЧОК. СЕКРЕТНЫЙ ДНЕВНИЧОК. ВСЁ ОБО МНЕ И МОИХ ДРУЗЬЯХ</t>
  </si>
  <si>
    <t>978-5-378-25780-5</t>
  </si>
  <si>
    <t>9785378257805</t>
  </si>
  <si>
    <t>105f666530c97d7fc67e1e1070e3cdf1</t>
  </si>
  <si>
    <t>054831</t>
  </si>
  <si>
    <t>ДНЕВНИЧОК. ТАЙНЫЙ ДНЕВНИЧОК</t>
  </si>
  <si>
    <t>978-5-378-26981-5</t>
  </si>
  <si>
    <t>9785378269815</t>
  </si>
  <si>
    <t>0422d124e6242b616fd18948b7fc20a6</t>
  </si>
  <si>
    <t>19.10.2016 0:00:00</t>
  </si>
  <si>
    <t>054832</t>
  </si>
  <si>
    <t>МОЙ ЧУДЕСНЫЙ ДНЕВНИЧОК ДЛЯ ДРУЗЕЙ</t>
  </si>
  <si>
    <t>978-5-378-26979-2</t>
  </si>
  <si>
    <t>9785378269792</t>
  </si>
  <si>
    <t>45ff87bd503d71d457a732539d6a6d03</t>
  </si>
  <si>
    <t>СЕРИЯ: ДНЕВНИЧОК с резинкой 7БЦ глянц.ламин. офсет 145х203</t>
  </si>
  <si>
    <t>201362</t>
  </si>
  <si>
    <t>ДНЕВНИЧОК МОИХ СЕКРЕТОВ</t>
  </si>
  <si>
    <t>467-0-159-02472-9</t>
  </si>
  <si>
    <t>Дневнички для девочек помогут интересно провести время: можно рассказать о себе, своих друзьях и увлечениях, пофантазировать, доверить дневничку свои сокровенные мысли, планы, тайны и мечты. Каждая девочка найдёт в серии дневничок на свой вкус. Выбери тот, который подойдёт именно тебе!</t>
  </si>
  <si>
    <t>4670159024729</t>
  </si>
  <si>
    <t>cb47b653360d354a2a52409092d1bd98</t>
  </si>
  <si>
    <t>201363</t>
  </si>
  <si>
    <t>МОЙ ЛИЧНЫЙ ДНЕВНИК</t>
  </si>
  <si>
    <t>467-0-159-02473-6</t>
  </si>
  <si>
    <t>4670159024736</t>
  </si>
  <si>
    <t>5015c350dd7118a53b2740b93545253b</t>
  </si>
  <si>
    <t>СЕРИЯ: ДНЕВНИЧОК СЕКРЕТОВ глянц.ламин, офсет, 145х203</t>
  </si>
  <si>
    <t>249504</t>
  </si>
  <si>
    <t>ДНЕВНИЧОК СЕКРЕТОВ. ДЕВОЧКА ПОДМИГИВАЕТ</t>
  </si>
  <si>
    <t>467-0-159-25646-5</t>
  </si>
  <si>
    <t>Дневничок секретов поможет надежно сохранить память о себе в подростковом возрасте, своих предпочтениях и увлечениях. В небольшой книжке, которая не займет много места в школьном рюкзаке или сумочке, представлены плашки для паролей, рамки для фото, разделы для личных рейтингов, страницы с раскрасками и панелями для историй в комиксах.</t>
  </si>
  <si>
    <t>4670159256465</t>
  </si>
  <si>
    <t>6947b6e89e5b8c5df7816ff87b3bb7b0</t>
  </si>
  <si>
    <t>145x203x7</t>
  </si>
  <si>
    <t>249503</t>
  </si>
  <si>
    <t>ДНЕВНИЧОК СЕКРЕТОВ. ДЕВОЧКА С ГОЛУБЫМИ ХВОСТИКАМИ</t>
  </si>
  <si>
    <t>467-0-159-25645-8</t>
  </si>
  <si>
    <t>4670159256458</t>
  </si>
  <si>
    <t>b38c9dc973e7667b83d24389364d7e1e</t>
  </si>
  <si>
    <t>СЕРИЯ: ЗАПИСНАЯ КНИЖКА ДЛЯ ДЕВОЧЕК мат.ламин, выб.лак, кругл.углы 130х200 (бум 80)</t>
  </si>
  <si>
    <t>222965</t>
  </si>
  <si>
    <t>ЗАПИСНАЯ КНИЖКА ДЛЯ ДЕВОЧЕК. Голубая</t>
  </si>
  <si>
    <t>467-0-159-13064-2</t>
  </si>
  <si>
    <t>В небольшой книжке, которая не займет много места в школьном рюкзаке или сумочке, представлены плашки для паролей, разделы для личных рейтингов, раскраски и, конечно, страницы для записи текущих мыслей и планов современной девчонки.</t>
  </si>
  <si>
    <t>4670159130642</t>
  </si>
  <si>
    <t>4343413e311ba7dd951df05a31fe84ab</t>
  </si>
  <si>
    <t>130x200x6</t>
  </si>
  <si>
    <t>222967</t>
  </si>
  <si>
    <t>ЗАПИСНАЯ КНИЖКА ДЛЯ ДЕВОЧЕК. Жёлтая</t>
  </si>
  <si>
    <t>467-0-159-13066-6</t>
  </si>
  <si>
    <t>4670159130666</t>
  </si>
  <si>
    <t>4bfd642aa64858b19299433b567cfcee</t>
  </si>
  <si>
    <t>222966</t>
  </si>
  <si>
    <t>ЗАПИСНАЯ КНИЖКА ДЛЯ ДЕВОЧЕК. Розовая</t>
  </si>
  <si>
    <t>467-0-159-13065-9</t>
  </si>
  <si>
    <t>4670159130659</t>
  </si>
  <si>
    <t>8b588bda440d14a1d7f1d5061c44e4a1</t>
  </si>
  <si>
    <t>222968</t>
  </si>
  <si>
    <t>ЗАПИСНАЯ КНИЖКА ДЛЯ ДЕВОЧЕК. Сиреневая</t>
  </si>
  <si>
    <t>467-0-159-13067-3</t>
  </si>
  <si>
    <t>4670159130673</t>
  </si>
  <si>
    <t>fad6cf09483754b7a580a6d72a1e9ef9</t>
  </si>
  <si>
    <t>СЕРИЯ: КНИГА МОИХ СЕКРЕТОВ глянц.ламин,пухл. кругл.углы 130х190</t>
  </si>
  <si>
    <t>248071</t>
  </si>
  <si>
    <t>КНИГА МОИХ СЕКРЕТОВ (Голубая)</t>
  </si>
  <si>
    <t>467-0-159-24923-8</t>
  </si>
  <si>
    <t>«Книга моих секретов» - это серия дневничков для девочек с четырьмя яркими обложками и единым блоком. Обложки со скруглёнными углами выполнены с добавление поролона, что придаёт им толщину и мягкость. В блоке 96 страниц с яркими принтами и различными тематическими разделами, чтобы помочь девочкам систематизировать свои мысли, а так же разлинованные страницы для самостоятельного заполнения. Новая серия дневников для девочек – это не просто записная книжка, это волшебное место, нечто очень личное, где девочки могут выразить свои мысли, чувства и рассказать о важных событиях в своей жизни, мечтах.</t>
  </si>
  <si>
    <t>4670159249238</t>
  </si>
  <si>
    <t>02aa907f3138e9bf4f7cc0cb3adcbe32</t>
  </si>
  <si>
    <t>248067</t>
  </si>
  <si>
    <t>КНИГА МОИХ СЕКРЕТОВ (Жёлтая)</t>
  </si>
  <si>
    <t>467-0-159-24920-7</t>
  </si>
  <si>
    <t>4670159249207</t>
  </si>
  <si>
    <t>fe751c51aa37ac2364935d7a6a79c16b</t>
  </si>
  <si>
    <t>248070</t>
  </si>
  <si>
    <t>КНИГА МОИХ СЕКРЕТОВ (Розовая)</t>
  </si>
  <si>
    <t>467-0-159-24922-1</t>
  </si>
  <si>
    <t>4670159249221</t>
  </si>
  <si>
    <t>4955b7ac0c14518189eb0f70170c0afe</t>
  </si>
  <si>
    <t>248068</t>
  </si>
  <si>
    <t>КНИГА МОИХ СЕКРЕТОВ (Сиреневая)</t>
  </si>
  <si>
    <t>467-0-159-24921-4</t>
  </si>
  <si>
    <t>4670159249214</t>
  </si>
  <si>
    <t>e3abae2ad5af6a06a12c4e2465f5f8f3</t>
  </si>
  <si>
    <t>СЕРИЯ: ЛИЧНЫЙ ДНЕВНИК ДЛЯ ДЕВОЧЕК - Точкабук 32л глянц.ламин, тиснение, 7БЦ 145х204 (офсет 80гр)</t>
  </si>
  <si>
    <t>236544</t>
  </si>
  <si>
    <t>ЛИЧНЫЙ ДНЕВНИК ДЛЯ ДЕВОЧЕК. ДНЕВНИК МОИХ ТАЙН</t>
  </si>
  <si>
    <t>467-0-159-18936-7</t>
  </si>
  <si>
    <t>Личный дневник – это идеальный подарок для каждой девочки, которая хочет сохранить воспоминания о самых ярких моментах своего детства! В этом красочном издании каждая девочка найдёт пространство для своих мыслей, желаний и маленьких секретов. Дневничок поможет развить воображение и раскрыть творческий потенциал, а также больше узнать о себе благодаря интересным тестам. С помощью анкетного формата и забавных заданий, каждая девочка сможет создать уникальный альбом воспоминаний о своём детстве, а также написать письмо в будущее самой себе. А необычное голографическое тиснение, украшающее каждую из обложек, не оставит равнодушным никого.</t>
  </si>
  <si>
    <t>4670159189367</t>
  </si>
  <si>
    <t>33a365fbd7e7fb400359ab8f0c07239b</t>
  </si>
  <si>
    <t>145х204х6</t>
  </si>
  <si>
    <t>236547</t>
  </si>
  <si>
    <t>ЛИЧНЫЙ ДНЕВНИК ДЛЯ ДЕВОЧЕК. МОЙ ЛЮБИМЫЙ ДНЕВНИЧОК</t>
  </si>
  <si>
    <t>467-0-159-18938-1</t>
  </si>
  <si>
    <t>4670159189381</t>
  </si>
  <si>
    <t>d457839faa12f6be243f4b2a902209b7</t>
  </si>
  <si>
    <t>236543</t>
  </si>
  <si>
    <t>ЛИЧНЫЙ ДНЕВНИК ДЛЯ ДЕВОЧЕК. СЕКРЕТНЫЙ ДНЕВНИЧОК</t>
  </si>
  <si>
    <t>467-0-159-18935-0</t>
  </si>
  <si>
    <t>4670159189350</t>
  </si>
  <si>
    <t>302fe04920485da542aca559d4c0d210</t>
  </si>
  <si>
    <t>СЕРИЯ: МОЙ ЛИЧНЫЙ ДНЕВНИЧОК с замочком, глянц.ламин, кругл.углы, офсет, 130х190</t>
  </si>
  <si>
    <t>218641</t>
  </si>
  <si>
    <t>МОЙ ЛИЧНЫЙ ДНЕВНИЧОК с замочком. ГОЛУБОЙ</t>
  </si>
  <si>
    <t>467-0-159-11849-7</t>
  </si>
  <si>
    <t>Новая серия дневников для девочек с замочком – это не просто записная книжка, это волшебное место, нечто очень личное, где девочки могут выразить свои мысли, чувства и рассказать о важных событиях в своей жизни, мечтах. Это друг, который сохранит всё в тайне, ведь на каждом дневнике есть замочек, а так же 2 ключика.
В дневниках есть и тематические разделы, чтобы помочь девочкам систематизировать свои мысли, а так же разлинованные страницы для самостоятельного планирования, что поможет  проявить свою творческую сторону.
Новая серия дневников доступна в четырёх вариантах с яркими плотными обложками со скруглёнными углами и блоками из 48 страниц с лаконичным и стильным дизайном, выполненном в одном нежном оттенке: жёлтом, голубом, сиреневом и зелёном. Это позволяет каждой девочке выбрать дневник, который соответствует её индивидуальности и предпочтениям. Формат 130х190 мм делает дневник удобным в использовании и лёгким для ношения с собой, а индивидуальная упаковка сбережёт дневник при доставке и хранении.</t>
  </si>
  <si>
    <t>4670159118497</t>
  </si>
  <si>
    <t>6b4d053f3932bf805dfed2943d029720</t>
  </si>
  <si>
    <t>218640</t>
  </si>
  <si>
    <t>МОЙ ЛИЧНЫЙ ДНЕВНИЧОК с замочком. ЖЁЛТЫЙ</t>
  </si>
  <si>
    <t>467-0-159-11848-0</t>
  </si>
  <si>
    <t>4670159118480</t>
  </si>
  <si>
    <t>a603b231594891f9c5b6c91644ba0e43</t>
  </si>
  <si>
    <t>218643</t>
  </si>
  <si>
    <t>МОЙ ЛИЧНЫЙ ДНЕВНИЧОК с замочком. ЗЕЛЁНЫЙ</t>
  </si>
  <si>
    <t>467-0-159-11851-0</t>
  </si>
  <si>
    <t>4670159118510</t>
  </si>
  <si>
    <t>62714ce29916ec1d4bfdb0e439bd20cc</t>
  </si>
  <si>
    <t>СЕРИЯ: МОЙ ЛУЧШИЙ ДНЕВНИЧОК на спирали с пластик.обл. 36л, офсет 100, 128х215</t>
  </si>
  <si>
    <t>211312</t>
  </si>
  <si>
    <t>ДНЕВНИЧОК на спирали. ДНЕВНИЧОК САМОЙ КЛАССНОЙ ДЕВОЧКИ</t>
  </si>
  <si>
    <t xml:space="preserve">467-0-159-05212-8 </t>
  </si>
  <si>
    <t>Привет! Я - твой личный карманный дневничок! Ты можешь поделиться со мной своими мыслями, мечтами, воспоминаниями и планами, а я сохраню их в секрете!</t>
  </si>
  <si>
    <t>4670159052128</t>
  </si>
  <si>
    <t>9bfc0493529ed776ed9d012827a5d899</t>
  </si>
  <si>
    <t>135х215х10</t>
  </si>
  <si>
    <t>211313</t>
  </si>
  <si>
    <t>ДНЕВНИЧОК на спирали. ДНЕВНИЧОК САМОЙ ЛУЧШЕЙ ДЕВОЧКИ</t>
  </si>
  <si>
    <t xml:space="preserve">467-0-159-05213-5 </t>
  </si>
  <si>
    <t>4670159052135</t>
  </si>
  <si>
    <t>211311</t>
  </si>
  <si>
    <t>ДНЕВНИЧОК на спирали. ДНЕВНИЧОК САМОЙ ЛЮБИМОЙ ДЕВОЧКИ</t>
  </si>
  <si>
    <t xml:space="preserve">467-0-159-05211-1 </t>
  </si>
  <si>
    <t>4670159052111</t>
  </si>
  <si>
    <t>211314</t>
  </si>
  <si>
    <t>ДНЕВНИЧОК на спирали. ДНЕВНИЧОК САМОЙ МИЛОЙ ДЕВОЧКИ</t>
  </si>
  <si>
    <t xml:space="preserve">467-0-159-05214-2 </t>
  </si>
  <si>
    <t>4670159052142</t>
  </si>
  <si>
    <t>211310</t>
  </si>
  <si>
    <t>ДНЕВНИЧОК на спирали. ДНЕВНИЧОК САМОЙ ТАЛАНТЛИВОЙ ДЕВОЧКИ</t>
  </si>
  <si>
    <t xml:space="preserve">467-0-159-05210-4 </t>
  </si>
  <si>
    <t>4670159052104</t>
  </si>
  <si>
    <t>Книги для записи кулинарных рецептов</t>
  </si>
  <si>
    <t>СЕРИЯ: MyArt. КНИГА ДЛЯ ЗАПИСИ КУЛИНАРНЫХ РЕЦЕПТОВ 7БЦ 80л выбор.лак, кругл.углы 145х202</t>
  </si>
  <si>
    <t>201345</t>
  </si>
  <si>
    <t>MyArt. КНИГА ДЛЯ ЗАПИСИ РЕЦЕПТОВ ТОРТИКОВ</t>
  </si>
  <si>
    <t>467-0-159-02384-5</t>
  </si>
  <si>
    <t xml:space="preserve">Любишь печь тортики, пирожные и печенья? Тогда специально для тебя наша новая книга для записи рецептов десертов. Не надейся на память – фиксируй кулинарные фишки! Тебе в помощь таблица мер и весов, а еще несколько «сладких» фактов для кругозора и настроения! </t>
  </si>
  <si>
    <t>4670159023845</t>
  </si>
  <si>
    <t>233222</t>
  </si>
  <si>
    <t>MyArt. КНИГА ДЛЯ ЗАПИСИ ТРЕНДОВЫХ РЕЦЕПТОВ</t>
  </si>
  <si>
    <t>467-0-159-18883-4</t>
  </si>
  <si>
    <t>Книга для записи трендовых рецептов — отличный помощник для тех, кто любит готовить и собирать любимые рецепты. Стильное лаконичное оформление с любимыми персонажами, удобный формат, функциональная сетка для записи рецептов, таблица мер и весов – всё это сделает покупку очень приятной!</t>
  </si>
  <si>
    <t>4670159188834</t>
  </si>
  <si>
    <t>1398db0b5d067a943c0f4a8af73a2acb</t>
  </si>
  <si>
    <t>07.08.2024 0:00:00</t>
  </si>
  <si>
    <t>145x202x9</t>
  </si>
  <si>
    <t>167050</t>
  </si>
  <si>
    <t>MyArt. КУЛИНАРНАЯ КНИГА (красная)</t>
  </si>
  <si>
    <t>461-0-144-84786-5</t>
  </si>
  <si>
    <t>Книга для записи кулинарных рецептов будет отличным помощником для тех, кто любит готовить и собирать любимые рецепты. Стильное лаконичное оформление, удобный формат, функциональная сетка для записи рецептов, таблица мер и весов – всё это сделает покупку очень приятной!</t>
  </si>
  <si>
    <t>4610144847865</t>
  </si>
  <si>
    <t>167051</t>
  </si>
  <si>
    <t>MyArt. КУЛИНАРНАЯ КНИГА (овощи)</t>
  </si>
  <si>
    <t>461-0-144-84787-2</t>
  </si>
  <si>
    <t>4610144847872</t>
  </si>
  <si>
    <t>СЕРИЯ: MyArt. КНИГА ДЛЯ ЗАПИСИ КУЛИНАРНЫХ РЕЦЕПТОВ на гребне 64л, выбор. лак, круг.углы 175х223</t>
  </si>
  <si>
    <t>167027</t>
  </si>
  <si>
    <t>MyArt. КНИГА ДЛЯ ЗАПИСИ КУЛИНАРНЫХ РЕЦЕПТОВ-1 (элемент)</t>
  </si>
  <si>
    <t>461-0-144-84785-8</t>
  </si>
  <si>
    <t>Книга для записи кулинарных рецептов будет отличным помощником для тех, кто любит готовить и собирать любимые рецепты. Красочное оформление обложек, удобный формат на гребне, функциональная сетка для записей, таблица мер и весов - всё это сделает покупку очень приятной!</t>
  </si>
  <si>
    <t>4610144847858</t>
  </si>
  <si>
    <t>175х232х17</t>
  </si>
  <si>
    <t>СЕРИЯ: КНИГА ДЛЯ ЗАПИСИ КУЛИНАРНЫХ РЕЦЕПТОВ 80л глянц.ламин, кругл.углы 7БЦ 145х203</t>
  </si>
  <si>
    <t>230552</t>
  </si>
  <si>
    <t>КНИГА ДЛЯ ЗАПИСИ КУЛИНАРНЫХ РЕЦЕПТОВ (Светлая)</t>
  </si>
  <si>
    <t>467-0-159-17417-2</t>
  </si>
  <si>
    <t>4670159174172</t>
  </si>
  <si>
    <t>47fae198b53642e362007ffaad2ab622</t>
  </si>
  <si>
    <t>08.10.2024 0:00:00</t>
  </si>
  <si>
    <t>144х203х10</t>
  </si>
  <si>
    <t>230554</t>
  </si>
  <si>
    <t>КНИГА ДЛЯ ЗАПИСИ КУЛИНАРНЫХ РЕЦЕПТОВ (Тёмная)</t>
  </si>
  <si>
    <t>467-0-159-17418-9</t>
  </si>
  <si>
    <t>4670159174189</t>
  </si>
  <si>
    <t>94600f90f99a9ba1d4a238359ef680c0</t>
  </si>
  <si>
    <t>Медицинские карты. История развития ребёнка форма 112/у</t>
  </si>
  <si>
    <t>СЕРИЯ: АМБУЛАТОРНАЯ КАРТА взрослого 7БЦ 144л, мат.ламин, кругл.углы, офсет 218х153</t>
  </si>
  <si>
    <t>221351</t>
  </si>
  <si>
    <t>АМБУЛАТОРНАЯ КАРТА взрослого. БИРЮЗОВАЯ</t>
  </si>
  <si>
    <t>467-0-159-13069-7</t>
  </si>
  <si>
    <t>Медицинская карта пациента, получающего медицинскую помощь в амбулаторных условиях, необходима каждому человеку и используется в поликлиниках в обязательном порядке. Наша карта составлена по форме № 025/у, утверждённой Минздравом России и содержит разделы для сведений о диагнозах, назначениях и многом другом, а также большое количество дополнительных страниц для записи всех данных о вашем здоровье.  Благодаря твёрдой обложке карта прослужит долгие годы.</t>
  </si>
  <si>
    <t>4670159130697</t>
  </si>
  <si>
    <t>213х153х16</t>
  </si>
  <si>
    <t>238483</t>
  </si>
  <si>
    <t>АМБУЛАТОРНАЯ КАРТА взрослого. Красный корешок</t>
  </si>
  <si>
    <t>467-0-159-21671-1</t>
  </si>
  <si>
    <t>4670159216711</t>
  </si>
  <si>
    <t>d426c0e1825ab53b3e5fb9b52b4da0cf</t>
  </si>
  <si>
    <t>221353</t>
  </si>
  <si>
    <t>АМБУЛАТОРНАЯ КАРТА взрослого. СИНЯЯ</t>
  </si>
  <si>
    <t>467-0-159-13070-3</t>
  </si>
  <si>
    <t>4670159130703</t>
  </si>
  <si>
    <t>238484</t>
  </si>
  <si>
    <t>АМБУЛАТОРНАЯ КАРТА взрослого. Сиреневый корешок</t>
  </si>
  <si>
    <t>467-0-159-21672-8</t>
  </si>
  <si>
    <t>4670159216728</t>
  </si>
  <si>
    <t>e4131c87155bea9f1b2796f3e0c8597d</t>
  </si>
  <si>
    <t>СЕРИЯ: ДНЕВНИК ЗДОРОВЬЯ на скрепке 32л, глянц.ламин, офсет 140х200</t>
  </si>
  <si>
    <t>261530</t>
  </si>
  <si>
    <t>ДНЕВНИК ЗДОРОВЬЯ. Дневник для контроля сахара и ХЕ</t>
  </si>
  <si>
    <t>467-0-159-27790-3</t>
  </si>
  <si>
    <t>Серия "Дневник здоровья" поможет сохранить здоровье и следить за самочувствием. Блокноты разработаны с учётом особенностей организма: в серии представлены дневник давления и дневник контроля уровня сахара. Компактный размер, мягкий переплёт и большое количество страниц - особенности издания, благодаря которым дневник можно носить с собой и заполнять в любое удобное время.</t>
  </si>
  <si>
    <t>4670159277903</t>
  </si>
  <si>
    <t>1e1262840f436e8b22d1115ced7a29ba</t>
  </si>
  <si>
    <t>261532</t>
  </si>
  <si>
    <t>ДНЕВНИК ЗДОРОВЬЯ. Дневник здоровья</t>
  </si>
  <si>
    <t>467-0-159-27791-0</t>
  </si>
  <si>
    <t>4670159277910</t>
  </si>
  <si>
    <t>a11f5ee5bb221bbe30bc8c6a7441a8af</t>
  </si>
  <si>
    <t>258352</t>
  </si>
  <si>
    <t>ДНЕВНИК ЗДОРОВЬЯ. Дневник самоконтроля давления</t>
  </si>
  <si>
    <t>467-0-159-27789-7</t>
  </si>
  <si>
    <t>4670159277897</t>
  </si>
  <si>
    <t>aef0ffa2a20f4ce75a79d72fd33893aa</t>
  </si>
  <si>
    <t>258354</t>
  </si>
  <si>
    <t>ДНЕВНИК ЗДОРОВЬЯ. Дневник самоконтроля давления, сахара и ХЕ</t>
  </si>
  <si>
    <t>467-0-159-27792-7</t>
  </si>
  <si>
    <t>4670159277927</t>
  </si>
  <si>
    <t>d24c9803ace7f8dce88c760d6354f148</t>
  </si>
  <si>
    <t>СЕРИЯ: МЕДИЦИНСКАЯ КАРТА на скрепке 16л, глянц.ламин, офсет 200х284</t>
  </si>
  <si>
    <t>220098</t>
  </si>
  <si>
    <t>МЕДИЦИНСКАЯ КАРТА на скрепке. МЯТНАЯ</t>
  </si>
  <si>
    <t>467-0-159-12171-8</t>
  </si>
  <si>
    <t>Медицинская карта ребёнка составлена в соответствии с утверждённой формой № 026/у-2000 и предназначена для использования в образовательных учреждениях: детских садах и школах. Обложка карты выполнена из плотного целлюлозного картона с глянцевой ламинацией, благодаря чему карта сохранит аккуратный вид в течение долгого времени.</t>
  </si>
  <si>
    <t>4670159121718</t>
  </si>
  <si>
    <t>200х285х2</t>
  </si>
  <si>
    <t>220097</t>
  </si>
  <si>
    <t>МЕДИЦИНСКАЯ КАРТА на скрепке. ОРАНЖЕВАЯ</t>
  </si>
  <si>
    <t>467-0-159-12170-1</t>
  </si>
  <si>
    <t>4670159121701</t>
  </si>
  <si>
    <t>220099</t>
  </si>
  <si>
    <t>МЕДИЦИНСКАЯ КАРТА на скрепке. РОЗОВАЯ</t>
  </si>
  <si>
    <t>467-0-159-12172-5</t>
  </si>
  <si>
    <t>4670159121725</t>
  </si>
  <si>
    <t>СЕРИЯ: МЕДИЦИНСКАЯ КАРТА. 7БЦ 144л, мат.ламин, кругл.углы, резинка, офсет 218х153</t>
  </si>
  <si>
    <t>230514</t>
  </si>
  <si>
    <t xml:space="preserve">МЕДИЦИНСКАЯ КАРТА с резинкой. ЛЕКАРСТВА </t>
  </si>
  <si>
    <t>467-0-159-17653-4</t>
  </si>
  <si>
    <t>Медицинская карта необходима с рождения каждому малышу. Наша карта составлена по стандартной форме  112/у История развития ребенка и содержит разделы для сведений о новорожденном, профилактических осмотрах, диагнозах, вакцинации и многом другом, а также большое количество дополнительных страниц. Благодаря твёрдой обложке и удобной резинке карта прослужит долгие годы, сохранив аккуратный вид.</t>
  </si>
  <si>
    <t>4670159176534</t>
  </si>
  <si>
    <t>218х153х15</t>
  </si>
  <si>
    <t>246439</t>
  </si>
  <si>
    <t xml:space="preserve">МЕДИЦИНСКАЯ КАРТА с резинкой. ОРАНЖЕВАЯ (гусь-доктор) </t>
  </si>
  <si>
    <t>467-0-159-24737-1</t>
  </si>
  <si>
    <t>Медицинская карта необходима с рождения каждому малышу. Наша карта составлена по стандартной форме № 112/у История развития ребенка и содержит разделы для сведений о новорожденном, профилактических осмотрах, диагнозах, вакцинации и многом другом, а также большое количество дополнительных страниц.  Благодаря твёрдой обложке карта прослужит долгие годы.</t>
  </si>
  <si>
    <t>4670159247371</t>
  </si>
  <si>
    <t>e2b9bb7f5e01911a99ee6a9b6ce3a7d6</t>
  </si>
  <si>
    <t>215997</t>
  </si>
  <si>
    <t xml:space="preserve">МЕДИЦИНСКАЯ КАРТА с резинкой. РОЗОВАЯ </t>
  </si>
  <si>
    <t>467-0-159-10786-6</t>
  </si>
  <si>
    <t>4670159107866</t>
  </si>
  <si>
    <t>8ab8573a475e7d12f944c3beb7192e02</t>
  </si>
  <si>
    <t>239105</t>
  </si>
  <si>
    <t xml:space="preserve">МЕДИЦИНСКАЯ КАРТА с резинкой. РОЗОВАЯ (капибара с апельсином) </t>
  </si>
  <si>
    <t>467-0-159-21786-2</t>
  </si>
  <si>
    <t>4670159217862</t>
  </si>
  <si>
    <t>88e47c519fce0eba851a71c012f0bb2f</t>
  </si>
  <si>
    <t>215993</t>
  </si>
  <si>
    <t xml:space="preserve">МЕДИЦИНСКАЯ КАРТА с резинкой. СИНЯЯ </t>
  </si>
  <si>
    <t>467-0-159-10785-9</t>
  </si>
  <si>
    <t>4670159107859</t>
  </si>
  <si>
    <t>69c9a6e36bb712b12963e957c0280368</t>
  </si>
  <si>
    <t>226785</t>
  </si>
  <si>
    <t xml:space="preserve">МЕДИЦИНСКАЯ КАРТА с резинкой. ФИОЛЕТОВАЯ </t>
  </si>
  <si>
    <t>467-0-159-16184-4</t>
  </si>
  <si>
    <t>4670159161844</t>
  </si>
  <si>
    <t>246442</t>
  </si>
  <si>
    <t xml:space="preserve">МЕДИЦИНСКАЯ КАРТА с резинкой. ФИОЛЕТОВАЯ (гусь с сердечком) </t>
  </si>
  <si>
    <t>467-0-159-24738-8</t>
  </si>
  <si>
    <t>4670159247388</t>
  </si>
  <si>
    <t>4796c52cf1f4a57d9f8ec700e441c855</t>
  </si>
  <si>
    <t>СЕРИЯ: МЕДИЦИНСКАЯ КАРТА. 7БЦ 144л, мат.ламин, офсет 220х153</t>
  </si>
  <si>
    <t>203394</t>
  </si>
  <si>
    <t>МЕДИЦИНСКАЯ КАРТА. 7БЦ. ГОЛУБАЯ</t>
  </si>
  <si>
    <t>467-0-159-03428-5</t>
  </si>
  <si>
    <t>4670159034285</t>
  </si>
  <si>
    <t>220х153х15</t>
  </si>
  <si>
    <t>241751</t>
  </si>
  <si>
    <t>МЕДИЦИНСКАЯ КАРТА. 7БЦ. ЗАЙКА</t>
  </si>
  <si>
    <t>467-0-159-22166-1</t>
  </si>
  <si>
    <t>4670159221661</t>
  </si>
  <si>
    <t>230516</t>
  </si>
  <si>
    <t>МЕДИЦИНСКАЯ КАРТА. 7БЦ. ЛУПА</t>
  </si>
  <si>
    <t>467-0-159-17654-1</t>
  </si>
  <si>
    <t>4670159176541</t>
  </si>
  <si>
    <t>214934</t>
  </si>
  <si>
    <t>МЕДИЦИНСКАЯ КАРТА. 7БЦ. ОБЛАКА</t>
  </si>
  <si>
    <t>467-0-159-10073-7</t>
  </si>
  <si>
    <t>4670159100737</t>
  </si>
  <si>
    <t>203391</t>
  </si>
  <si>
    <t>МЕДИЦИНСКАЯ КАРТА. 7БЦ. РОЗОВАЯ</t>
  </si>
  <si>
    <t>467-0-159-03427-8</t>
  </si>
  <si>
    <t>4670159034278</t>
  </si>
  <si>
    <t>СЕРИЯ: СЕРТИФИКАТ о профилактических прививках 12л, офсет 98х140</t>
  </si>
  <si>
    <t>220103</t>
  </si>
  <si>
    <t>СЕРТИФИКАТ о профилактических прививках. ОРАНЖЕВЫЙ</t>
  </si>
  <si>
    <t>467-0-159-12487-0</t>
  </si>
  <si>
    <t>Сертификат о профилактических прививках составлен в соответствие с утверждённой формой 156/у-93 и содержит как прививки, входящие в Национальный календарь, так и ряд дополнительных прививок. Этот документ необходимым для новорождённых детей, детей старшего возраста и взрослых при проведении вакцинации. Сертификат о профилактических прививках обеспечивает быстрый доступ к данным о вакцинации, что может потребоваться при поступлении в учебное заведение, устройстве на работу и в различных других ситуациях.</t>
  </si>
  <si>
    <t>4670159124870</t>
  </si>
  <si>
    <t>5ba712fec66beba6fb91088735d12172</t>
  </si>
  <si>
    <t>98х140х2</t>
  </si>
  <si>
    <t>253369</t>
  </si>
  <si>
    <t>СЕРТИФИКАТ о профилактических прививках. ШПИЦ</t>
  </si>
  <si>
    <t>467-0-159-26534-4</t>
  </si>
  <si>
    <t>4670159265344</t>
  </si>
  <si>
    <t>СЕРИЯ: СЕРТИФИКАТ о профилактических прививках 12л, офсет, 7БЦ 115х153</t>
  </si>
  <si>
    <t>243425</t>
  </si>
  <si>
    <t>СЕРТИФИКАТ о профилактических прививках 7БЦ. ЗАЯЦ</t>
  </si>
  <si>
    <t>467-0-159-23180-6</t>
  </si>
  <si>
    <t>4670159231806</t>
  </si>
  <si>
    <t>115х153х5</t>
  </si>
  <si>
    <t>243426</t>
  </si>
  <si>
    <t>СЕРТИФИКАТ о профилактических прививках 7БЦ. КОТ</t>
  </si>
  <si>
    <t>467-0-159-23181-3</t>
  </si>
  <si>
    <t>4670159231813</t>
  </si>
  <si>
    <t>243424</t>
  </si>
  <si>
    <t>СЕРТИФИКАТ о профилактических прививках 7БЦ. ЛИСТЬЯ</t>
  </si>
  <si>
    <t>467-0-159-23179-0</t>
  </si>
  <si>
    <t>4670159231790</t>
  </si>
  <si>
    <t>243427</t>
  </si>
  <si>
    <t>СЕРТИФИКАТ о профилактических прививках 7БЦ. ПЁС</t>
  </si>
  <si>
    <t>467-0-159-23182-0</t>
  </si>
  <si>
    <t>4670159231820</t>
  </si>
  <si>
    <t>Наклейки и стикербуки</t>
  </si>
  <si>
    <t>СЕРИЯ: 100 крутых стикеров 195х276</t>
  </si>
  <si>
    <t>221310</t>
  </si>
  <si>
    <t>100 крутых стикеров. Аниме</t>
  </si>
  <si>
    <t>467-0-159-13046-8</t>
  </si>
  <si>
    <t>В брошюре вы найдете целых 100 ярких стикеров с крутыми дизайнами! Благодаря качественной самоклеющейся бумаге наклейки легко отрываются от основы. Их можно наклеить куда угодно: на мобильный телефон, ноутбук, в тетрадку — куда подскажет фантазия!</t>
  </si>
  <si>
    <t>4670159130468</t>
  </si>
  <si>
    <t>221311</t>
  </si>
  <si>
    <t>100 крутых стикеров. На каждый день</t>
  </si>
  <si>
    <t>467-0-159-13047-5</t>
  </si>
  <si>
    <t>4670159130475</t>
  </si>
  <si>
    <t xml:space="preserve">СЕРИЯ: 100 НАКЛЕЕК 196х276 </t>
  </si>
  <si>
    <t>245182</t>
  </si>
  <si>
    <t>100 НАКЛЕЕК А4. Домашние животные</t>
  </si>
  <si>
    <t>467-0-159-24244-4</t>
  </si>
  <si>
    <t>В серии 100 наклеек собраны стикеры на разные темы: Котики, Песики, Капибары, Транспорт, Домашние животные и Россия. Все наклейки хорошо отклеиваются от основы, и вы можете украсить ими любимый блокнот, обложку тетради, чехол гаджета и не только. 100 наклеек точно на все хватит!</t>
  </si>
  <si>
    <t>4670159242444</t>
  </si>
  <si>
    <t>d22b6daa03026d6edbf5d821b2d4c6cf</t>
  </si>
  <si>
    <t>09.01.2025 0:00:00</t>
  </si>
  <si>
    <t>245211</t>
  </si>
  <si>
    <t>100 НАКЛЕЕК А4. Я люблю Россию</t>
  </si>
  <si>
    <t>467-0-159-24246-8</t>
  </si>
  <si>
    <t>4670159242468</t>
  </si>
  <si>
    <t xml:space="preserve">СЕРИЯ: 150 СТИКЕРОВ 195х276 </t>
  </si>
  <si>
    <t>263058</t>
  </si>
  <si>
    <t>150 СТИКЕРОВ. Динозавры</t>
  </si>
  <si>
    <t>467-0-159-29103-9</t>
  </si>
  <si>
    <t>4670159291039</t>
  </si>
  <si>
    <t>5e1d481afcfa8ea2a76a0933adf9edf7</t>
  </si>
  <si>
    <t>263061</t>
  </si>
  <si>
    <t>150 СТИКЕРОВ. Домашние животные</t>
  </si>
  <si>
    <t>467-0-159-29105-3</t>
  </si>
  <si>
    <t>4670159291053</t>
  </si>
  <si>
    <t>98e9da51e3d876b6f031874802c087dc</t>
  </si>
  <si>
    <t>263059</t>
  </si>
  <si>
    <t>150 СТИКЕРОВ. Котики</t>
  </si>
  <si>
    <t>467-0-159-29104-6</t>
  </si>
  <si>
    <t>4670159291046</t>
  </si>
  <si>
    <t>d313b8e1b10debe2869ffa9d2ad6cbb5</t>
  </si>
  <si>
    <t>263060</t>
  </si>
  <si>
    <t>150 СТИКЕРОВ. Транспорт</t>
  </si>
  <si>
    <t>467-0-159-29106-0</t>
  </si>
  <si>
    <t>4670159291060</t>
  </si>
  <si>
    <t>528678be05deaf81c59b7aa0d3acdcfe</t>
  </si>
  <si>
    <t xml:space="preserve">СЕРИЯ: НАБОР НАКЛЕЕК "ЗАБАВНЫЕ ЛИПУЧКИ" 4 листа с наклейками, европодвес 90х140 </t>
  </si>
  <si>
    <t>198364</t>
  </si>
  <si>
    <t>НАБОР НАКЛЕЕК "ЗАБАВНЫЕ ЛИПУЧКИ" ВЕСЁЛЫЙ ТРАНСПОРТ</t>
  </si>
  <si>
    <t>462-0-129-78830-4</t>
  </si>
  <si>
    <t>Наборы наклеек «Забавные липучки» сделают любую вещь яркой и креативной. Добавь индивидуальности своим блокнотам, рюкзаку, телефону или шкафчику с помощью милых, необычных и современных картинок.</t>
  </si>
  <si>
    <t>4620129788304</t>
  </si>
  <si>
    <t>100x177x1</t>
  </si>
  <si>
    <t>198363</t>
  </si>
  <si>
    <t>НАБОР НАКЛЕЕК "ЗАБАВНЫЕ ЛИПУЧКИ" ДЛЯ ДЕВОЧЕК</t>
  </si>
  <si>
    <t>462-0-129-78829-8</t>
  </si>
  <si>
    <t>4620129788298</t>
  </si>
  <si>
    <t>198362</t>
  </si>
  <si>
    <t>НАБОР НАКЛЕЕК "ЗАБАВНЫЕ ЛИПУЧКИ" ДЛЯ МАЛЬЧИКОВ</t>
  </si>
  <si>
    <t>462-0-129-78828-1</t>
  </si>
  <si>
    <t>4620129788281</t>
  </si>
  <si>
    <t>100х177х1</t>
  </si>
  <si>
    <t xml:space="preserve">СЕРИЯ: НАБОР НАКЛЕЕК, 3 листа с наклейками, европодвес 100х270 </t>
  </si>
  <si>
    <t>195185</t>
  </si>
  <si>
    <t>НАБОР НАКЛЕЕК. COZY SEASONS</t>
  </si>
  <si>
    <t>462-0-129-78781-9</t>
  </si>
  <si>
    <t>Набор ярких и милых наклеек для творчества на качественной клеевой основе.  В серию входят наборы: «Милые животные» и «Первые наклейки» для детей младшего возраста с простыми и знакомыми предметами и животными, с которыми не только интересно играть, развивая мелкую моторику, воображение и внимание, но и изучать цвета, «Прованс» и «Cozy seasons» для детей школьно-дошкольного возраста для декора любых предметов, скрапбукинга, в подарок.</t>
  </si>
  <si>
    <t>4620129787819</t>
  </si>
  <si>
    <t>100х270х1</t>
  </si>
  <si>
    <t>195184</t>
  </si>
  <si>
    <t>НАБОР НАКЛЕЕК. МИЛЫЕ ЖИВОТНЫЕ</t>
  </si>
  <si>
    <t>462-0-129-78780-2</t>
  </si>
  <si>
    <t>4620129787802</t>
  </si>
  <si>
    <t>195186</t>
  </si>
  <si>
    <t>НАБОР НАКЛЕЕК. ПРОВАНС</t>
  </si>
  <si>
    <t>462-0-129-78782-6</t>
  </si>
  <si>
    <t>4620129787826</t>
  </si>
  <si>
    <t xml:space="preserve">СЕРИЯ: НАКЛЕЙКИ европодвес 125х145 </t>
  </si>
  <si>
    <t>194671</t>
  </si>
  <si>
    <t>НАКЛЕЙКИ. ДИНОЗАВРИК МАКС</t>
  </si>
  <si>
    <t>462-0-129-78440-5</t>
  </si>
  <si>
    <t xml:space="preserve">Милейшая серия наклеек с вашими любимыми героями - Котёнок Пух, Единорог Лучик, Трактор Вик и Динозаврик Максик дополнят рисунок и украсят блокнот, дневник или даже мебель в детской. </t>
  </si>
  <si>
    <t>4620129784405</t>
  </si>
  <si>
    <t>130x185x1</t>
  </si>
  <si>
    <t>192110</t>
  </si>
  <si>
    <t>НАКЛЕЙКИ. КРУТОЙ МИКС</t>
  </si>
  <si>
    <t>462-0-129-77610-3</t>
  </si>
  <si>
    <t>Просто и мило! Представляем вам набор тематических наклеек «Крутой микс» . С их помощью ребенок сможет воплотить любые фантазии: дополнит раскраску, украсит блокнот, тетрадку... и даже мебель в своей комнате. В каждом пакете с европодвесом по 15 наклеек – хватит, чтобы развлечься и поднять себе настроение!</t>
  </si>
  <si>
    <t>4620129776103</t>
  </si>
  <si>
    <t>194670</t>
  </si>
  <si>
    <t>НАКЛЕЙКИ. ТРАКТОР ВИК</t>
  </si>
  <si>
    <t>462-0-129-78439-9</t>
  </si>
  <si>
    <t>4620129784399</t>
  </si>
  <si>
    <t>СЕРИЯ: НАКЛЕЙКИ. ОБКЛЕЙ ВЕСЬ МИР! глянц.ламин.обл. 160х230</t>
  </si>
  <si>
    <t>192104</t>
  </si>
  <si>
    <t>НАКЛЕЙКИ. ОБКЛЕЙ ВЕСЬ МИР!  50 СТИКЕРОВ АНИМЕ</t>
  </si>
  <si>
    <t>978-5-378-33937-2</t>
  </si>
  <si>
    <t>В каждой из четырех книжек нашей новой серии - по 50 самых крутых наклеек в своей теме: котики, аниме, кавайи и только зеленые стикеры. Дай волю фантазии - обклей весь мир!</t>
  </si>
  <si>
    <t>9785378339372</t>
  </si>
  <si>
    <t>160х230х2</t>
  </si>
  <si>
    <t xml:space="preserve">СЕРИЯ: СТИКЕРБУК с наклейками А5 8л </t>
  </si>
  <si>
    <t>238458</t>
  </si>
  <si>
    <t>СТИКЕРБУК. АНИМЕ</t>
  </si>
  <si>
    <t>467-0-159-21439-7</t>
  </si>
  <si>
    <t>Стикербук станет отличным помощником в планировании! Наклейки позволят расставить акценты на странице именно так, как нужно тебе. Внутри есть наклейки с названиями месяцев, с пометками о срочности и важности дел, а также много симпатичных стикеров, которыми приятно украсить свой точкабук.</t>
  </si>
  <si>
    <t>4670159214397</t>
  </si>
  <si>
    <t>c96656337008b11aabe71b1685014e1f</t>
  </si>
  <si>
    <t>СЕРИЯ: СТИКЕРПАК в конверте 8л 110х175</t>
  </si>
  <si>
    <t>192376</t>
  </si>
  <si>
    <t>СТИКЕРПАК. СТИКЕРЫ В СТИЛЕ АКВАРЕЛЬ</t>
  </si>
  <si>
    <t>462-0-129-77649-3</t>
  </si>
  <si>
    <t>Картонный конверт - идеальная упаковка для хранения стикеров! В каждом стикерпаке вы найдёте 8 листов с наклейками. Наклейки в пределах каждого стикерпака выполнены в едином стиле, поэтому позволят сделать лаконичное и единообразное оформление в точкабуке, творческом блокноте, ежедневнике или личном дневнике.</t>
  </si>
  <si>
    <t>4620129776493</t>
  </si>
  <si>
    <t>110х175х1</t>
  </si>
  <si>
    <t>Сkетчбуки</t>
  </si>
  <si>
    <t>СЕРИЯ: СКЕТЧБУК А5 матовая ламин. выб.лак, кругл.углы, резинка, 80л. 145х203 (бумага 100 гр)</t>
  </si>
  <si>
    <t>249478</t>
  </si>
  <si>
    <t>СКЕТЧБУК А5. WILD PINK (выб.лак)</t>
  </si>
  <si>
    <t>467-0-159-25763-9</t>
  </si>
  <si>
    <t>Что может объединять художника-профессионала, новичка и просто любителя порисовать? Правильный ответ - наши новые скетчбуки! Они собрали в себе всё: удобный формат, яркий дизайн, плотные листы, эластичный фиксатор страниц - идеальное сочетание для творческих натур.</t>
  </si>
  <si>
    <t>4670159257639</t>
  </si>
  <si>
    <t>2b87bcfce9de8b31407a2fdf6a3bbd96</t>
  </si>
  <si>
    <t>Скетчбуки А5</t>
  </si>
  <si>
    <t>192113</t>
  </si>
  <si>
    <t>СКЕТЧБУК А5. АНИМЕ (выб.лак)</t>
  </si>
  <si>
    <t>462-0-129-77512-0</t>
  </si>
  <si>
    <t>4620129775120</t>
  </si>
  <si>
    <t>227145</t>
  </si>
  <si>
    <t>СКЕТЧБУК А5. АНИМЕ ДЕВОЧКА С ЗАЙКОЙ (выб.лак)</t>
  </si>
  <si>
    <t>467-0-159-16292-6</t>
  </si>
  <si>
    <t>4670159162926</t>
  </si>
  <si>
    <t>193267</t>
  </si>
  <si>
    <t>СКЕТЧБУК А5. АНИМЕ. В МАСКЕ ЛИСЫ</t>
  </si>
  <si>
    <t>462-0-129-77964-7</t>
  </si>
  <si>
    <t>4620129779647</t>
  </si>
  <si>
    <t>198345</t>
  </si>
  <si>
    <t>СКЕТЧБУК А5. АНИМЕ. ВОИН ВЕТРА (выб.лак)</t>
  </si>
  <si>
    <t>467-0-159-00597-1</t>
  </si>
  <si>
    <t>4670159005971</t>
  </si>
  <si>
    <t>193265</t>
  </si>
  <si>
    <t>СКЕТЧБУК А5. АНИМЕ. ВСЁ БУДЕТ ХОРОШО</t>
  </si>
  <si>
    <t>462-0-129-77962-3</t>
  </si>
  <si>
    <t>4620129779623</t>
  </si>
  <si>
    <t>214929</t>
  </si>
  <si>
    <t>СКЕТЧБУК А5. АНИМЕ. ДЕВОЧКА-КОШКА (выб.лак)</t>
  </si>
  <si>
    <t>467-0-159-10069-0</t>
  </si>
  <si>
    <t>4670159100690</t>
  </si>
  <si>
    <t>198349</t>
  </si>
  <si>
    <t>СКЕТЧБУК А5. АНИМЕ. КАРТОЧНЫЙ СВЕТОЧ (выб.лак)</t>
  </si>
  <si>
    <t>467-0-159-00599-5</t>
  </si>
  <si>
    <t>4670159005995</t>
  </si>
  <si>
    <t>214930</t>
  </si>
  <si>
    <t>СКЕТЧБУК А5. АНИМЕ. МЯУ (выб.лак)</t>
  </si>
  <si>
    <t>467-0-159-10070-6</t>
  </si>
  <si>
    <t>4670159100706</t>
  </si>
  <si>
    <t>193264</t>
  </si>
  <si>
    <t>СКЕТЧБУК А5. АНИМЕ. РОМАНТИКА ПОЛЯ</t>
  </si>
  <si>
    <t>462-0-129-77961-6</t>
  </si>
  <si>
    <t>4620129779616</t>
  </si>
  <si>
    <t>214928</t>
  </si>
  <si>
    <t>СКЕТЧБУК А5. АНИМЕ. СЛАДКИЙ ВКУС (выб.лак)</t>
  </si>
  <si>
    <t>467-0-159-10068-3</t>
  </si>
  <si>
    <t>4670159100683</t>
  </si>
  <si>
    <t>198347</t>
  </si>
  <si>
    <t>СКЕТЧБУК А5. АНИМЕ. ТОКИЙСКИЙ ВЕЧЕР (выб.лак)</t>
  </si>
  <si>
    <t>467-0-159-00598-8</t>
  </si>
  <si>
    <t>4670159005988</t>
  </si>
  <si>
    <t>102919</t>
  </si>
  <si>
    <t>СКЕТЧБУК А5. АПЕЛЬСИН (выб.лак)</t>
  </si>
  <si>
    <t>466-5-303-52449-1</t>
  </si>
  <si>
    <t>4665303524491</t>
  </si>
  <si>
    <t>194686</t>
  </si>
  <si>
    <t>СКЕТЧБУК А5. БОЛЬШАЯ ВОЛНА В КАНАГАВЕ (выб.лак)</t>
  </si>
  <si>
    <t>462-0-129-78738-3</t>
  </si>
  <si>
    <t>4620129787383</t>
  </si>
  <si>
    <t>152592</t>
  </si>
  <si>
    <t>СКЕТЧБУК А5. Ван Гог. ЗВЁЗДНАЯ НОЧЬ-2 (выб.лак)</t>
  </si>
  <si>
    <t>468-0-088-46132-8</t>
  </si>
  <si>
    <t>4680088461328</t>
  </si>
  <si>
    <t>136607</t>
  </si>
  <si>
    <t>СКЕТЧБУК А5. Ван Гог. ИРИСЫ (выб.лак)</t>
  </si>
  <si>
    <t>468-0-088-40250-5</t>
  </si>
  <si>
    <t>4680088402505</t>
  </si>
  <si>
    <t>227822</t>
  </si>
  <si>
    <t>СКЕТЧБУК А5. ВИТРАЖ ЕДИНОРОГ (выб.лак)</t>
  </si>
  <si>
    <t>467-0-159-16718-1</t>
  </si>
  <si>
    <t>4670159167181</t>
  </si>
  <si>
    <t>ad77ff601238bf9fc34e1bdc06f10e2d</t>
  </si>
  <si>
    <t>227818</t>
  </si>
  <si>
    <t>СКЕТЧБУК А5. ВИТРАЖ ОЛЕНЬ (выб.лак)</t>
  </si>
  <si>
    <t>467-0-159-16717-4</t>
  </si>
  <si>
    <t>4670159167174</t>
  </si>
  <si>
    <t>bacb6ccf26476ed1835fdfb6e750df78</t>
  </si>
  <si>
    <t>124070</t>
  </si>
  <si>
    <t>СКЕТЧБУК А5. ВОЛШЕБНЫЙ ЛЕС (выб.лак)</t>
  </si>
  <si>
    <t>463-0-079-15611-5</t>
  </si>
  <si>
    <t>4630079156115</t>
  </si>
  <si>
    <t>210755</t>
  </si>
  <si>
    <t>СКЕТЧБУК А5. ГУСИКИ (выб.лак)</t>
  </si>
  <si>
    <t>467-0-159-07782-4</t>
  </si>
  <si>
    <t>4670159077824</t>
  </si>
  <si>
    <t>136610</t>
  </si>
  <si>
    <t>СКЕТЧБУК А5. Густав Климт. ЗОЛОТАЯ АДЕЛЬ (выб.лак)</t>
  </si>
  <si>
    <t>468-0-088-40251-2</t>
  </si>
  <si>
    <t>Что может объединять художника-профессионала, новичка и просто любителя порисовать? Правильный ответ - наши новые скетчбуки! Они собрали в себе всё: удобный формат, яркий дизайн, плотные листы, эластичный фиксатор страниц - идеальное сочетание для творческих натур</t>
  </si>
  <si>
    <t>4680088402512</t>
  </si>
  <si>
    <t>136608</t>
  </si>
  <si>
    <t>СКЕТЧБУК А5. Густав Климт. ПОЦЕЛУЙ (выб.лак)</t>
  </si>
  <si>
    <t>468-0-088-40252-9</t>
  </si>
  <si>
    <t>4680088402529</t>
  </si>
  <si>
    <t>246436</t>
  </si>
  <si>
    <t>СКЕТЧБУК А5. ГУСЬ (выб.лак)</t>
  </si>
  <si>
    <t>467-0-159-24739-5</t>
  </si>
  <si>
    <t>4670159247395</t>
  </si>
  <si>
    <t>f33386cb412cecc1026b1ca89c7ecb5a</t>
  </si>
  <si>
    <t>05.02.2025 0:00:00</t>
  </si>
  <si>
    <t>227148</t>
  </si>
  <si>
    <t>СКЕТЧБУК А5. ДЕВОЧКА С ЦВЕТНЫМИ ВОЛОСАМИ (выб.лак)</t>
  </si>
  <si>
    <t>467-0-159-16293-3</t>
  </si>
  <si>
    <t>4670159162933</t>
  </si>
  <si>
    <t>f5333d6dfe2914bb0e64d5c95db7ba7f</t>
  </si>
  <si>
    <t>210756</t>
  </si>
  <si>
    <t>СКЕТЧБУК А5. ДЕВУШКА АНИМЕ (выб.лак)</t>
  </si>
  <si>
    <t>467-0-159-07783-1</t>
  </si>
  <si>
    <t>4670159077831</t>
  </si>
  <si>
    <t>227150</t>
  </si>
  <si>
    <t>СКЕТЧБУК А5. ДЕВУШКА-ПАНК (выб.лак)</t>
  </si>
  <si>
    <t>467-0-159-16295-7</t>
  </si>
  <si>
    <t>4670159162957</t>
  </si>
  <si>
    <t>226608</t>
  </si>
  <si>
    <t>СКЕТЧБУК А5. ДРАКОН (выб.лак)</t>
  </si>
  <si>
    <t>467-0-159-16180-6</t>
  </si>
  <si>
    <t>4670159161806</t>
  </si>
  <si>
    <t>249479</t>
  </si>
  <si>
    <t>СКЕТЧБУК А5. ЗВЁЗДНАЯ НОЧЬ В ПУСТЫНЕ (выб.лак)</t>
  </si>
  <si>
    <t>467-0-159-25743-1</t>
  </si>
  <si>
    <t>4670159257431</t>
  </si>
  <si>
    <t>51bb5bc6771b541cb7152d71f25b883f</t>
  </si>
  <si>
    <t>116861</t>
  </si>
  <si>
    <t>СКЕТЧБУК А5. ЗВЁЗДНАЯ НОЧЬ. Ван Гог (выб.лак)</t>
  </si>
  <si>
    <t>460-7-978-06882-5</t>
  </si>
  <si>
    <t>4607978068825</t>
  </si>
  <si>
    <t>124069</t>
  </si>
  <si>
    <t>СКЕТЧБУК А5. ЗВЁЗДНЫЙ ЕДИНОРОГ (выб.лак)</t>
  </si>
  <si>
    <t>463-0-079-15610-8</t>
  </si>
  <si>
    <t>4630079156108</t>
  </si>
  <si>
    <t>171679</t>
  </si>
  <si>
    <t>СКЕТЧБУК А5. КАКТУС С БАНТИКОМ (выб.лак)</t>
  </si>
  <si>
    <t>461-0-144-87376-5</t>
  </si>
  <si>
    <t>4610144873765</t>
  </si>
  <si>
    <t>214926</t>
  </si>
  <si>
    <t>СКЕТЧБУК А5. КАМУФЛЯЖ (выб.лак)</t>
  </si>
  <si>
    <t>467-0-159-10065-2</t>
  </si>
  <si>
    <t>4670159100652</t>
  </si>
  <si>
    <t>152598</t>
  </si>
  <si>
    <t>СКЕТЧБУК А5. Клод Моне. ВОДЯНЫЕ ЛИЛИИ (выб.лак)</t>
  </si>
  <si>
    <t>468-0-088-46332-2</t>
  </si>
  <si>
    <t>4680088463322</t>
  </si>
  <si>
    <t>231721</t>
  </si>
  <si>
    <t>СКЕТЧБУК А5. КОСМИЧЕСКИЙ КОТ (выб.лак)</t>
  </si>
  <si>
    <t>467-0-159-17928-3</t>
  </si>
  <si>
    <t>4670159179283</t>
  </si>
  <si>
    <t>a3d2b5b97ef772be221731c197426949</t>
  </si>
  <si>
    <t>23.10.2024 0:00:00</t>
  </si>
  <si>
    <t>214927</t>
  </si>
  <si>
    <t>СКЕТЧБУК А5. КОТ ИЗ БУДУЩЕГО (выб.лак)</t>
  </si>
  <si>
    <t>467-0-159-10074-4</t>
  </si>
  <si>
    <t>4670159100744</t>
  </si>
  <si>
    <t>231726</t>
  </si>
  <si>
    <t>СКЕТЧБУК А5. КОТ ЛЯ РУС (выб.лак)</t>
  </si>
  <si>
    <t>467-0-159-17929-0</t>
  </si>
  <si>
    <t>4670159179290</t>
  </si>
  <si>
    <t>217528</t>
  </si>
  <si>
    <t>СКЕТЧБУК А5. КОТИК С ЧАШКОЙ (выб.лак)</t>
  </si>
  <si>
    <t>467-0-159-11650-9</t>
  </si>
  <si>
    <t>4670159116509</t>
  </si>
  <si>
    <t>217532</t>
  </si>
  <si>
    <t>СКЕТЧБУК А5. КОШКА НА ТАБУРЕТКЕ (выб.лак)</t>
  </si>
  <si>
    <t>467-0-159-11651-6</t>
  </si>
  <si>
    <t>4670159116516</t>
  </si>
  <si>
    <t>227149</t>
  </si>
  <si>
    <t>СКЕТЧБУК А5. КРАСАВЧИК (выб.лак)</t>
  </si>
  <si>
    <t>467-0-159-16294-0</t>
  </si>
  <si>
    <t>4670159162940</t>
  </si>
  <si>
    <t>226610</t>
  </si>
  <si>
    <t>СКЕТЧБУК А5. ЛИС В ВОЛШЕБНОМ ЛЕСУ (выб.лак)</t>
  </si>
  <si>
    <t>467-0-159-16182-0</t>
  </si>
  <si>
    <t>4670159161820</t>
  </si>
  <si>
    <t>188736</t>
  </si>
  <si>
    <t>СКЕТЧБУК А5. МАГИЯ (выб.лак)</t>
  </si>
  <si>
    <t>462-0-129-75995-3</t>
  </si>
  <si>
    <t>4620129759953</t>
  </si>
  <si>
    <t>204749</t>
  </si>
  <si>
    <t>СКЕТЧБУК А5. МОРДАШКИ АНИМЕ (выб.лак)</t>
  </si>
  <si>
    <t>467-0-159-04679-0</t>
  </si>
  <si>
    <t>Представляем наш новый яркий скетчбук в твердом переплете. Стильная обложка с мордашками аниме поднимет настроение и вдохновит на невероятные творческие свершения!</t>
  </si>
  <si>
    <t>4670159046790</t>
  </si>
  <si>
    <t>249482</t>
  </si>
  <si>
    <t>СКЕТЧБУК А5. НАВСТРЕЧУ СУДЬБЕ (выб.лак)</t>
  </si>
  <si>
    <t>467-0-159-25654-0</t>
  </si>
  <si>
    <t>4670159256540</t>
  </si>
  <si>
    <t>dd7a9d992bbcdef0f415db2bc3ef0872</t>
  </si>
  <si>
    <t>210752</t>
  </si>
  <si>
    <t>СКЕТЧБУК А5. НЯШКИ СТРАШИЛКИ (выб.лак)</t>
  </si>
  <si>
    <t>467-0-159-07780-0</t>
  </si>
  <si>
    <t>4670159077800</t>
  </si>
  <si>
    <t>249480</t>
  </si>
  <si>
    <t>СКЕТЧБУК А5. ОАЗИС (выб.лак)</t>
  </si>
  <si>
    <t>467-0-159-25652-6</t>
  </si>
  <si>
    <t>4670159256526</t>
  </si>
  <si>
    <t>c7eb05c275109c570153a7ef5486d193</t>
  </si>
  <si>
    <t>226607</t>
  </si>
  <si>
    <t>СКЕТЧБУК А5. ОЛЕНЬ В ВОЛШЕБНОМ ЛЕСУ (выб.лак)</t>
  </si>
  <si>
    <t>467-0-159-16179-0</t>
  </si>
  <si>
    <t>4670159161790</t>
  </si>
  <si>
    <t>3cf6d59cd11331b444d98345d3d26a5a</t>
  </si>
  <si>
    <t>217534</t>
  </si>
  <si>
    <t>СКЕТЧБУК А5. ПАНК (выб.лак)</t>
  </si>
  <si>
    <t>467-0-159-11652-3</t>
  </si>
  <si>
    <t>4670159116523</t>
  </si>
  <si>
    <t>249481</t>
  </si>
  <si>
    <t>СКЕТЧБУК А5. ПЕСЧАНАЯ БУРЯ (выб.лак)</t>
  </si>
  <si>
    <t>467-0-159-25653-3</t>
  </si>
  <si>
    <t>4670159256533</t>
  </si>
  <si>
    <t>84ee5cacdce5db6c17cdccfb6af0935c</t>
  </si>
  <si>
    <t>227151</t>
  </si>
  <si>
    <t>СКЕТЧБУК А5. ПТИЧКИ-ПИКСЕЛИ (выб.лак)</t>
  </si>
  <si>
    <t>467-0-159-16296-4</t>
  </si>
  <si>
    <t>4670159162964</t>
  </si>
  <si>
    <t>c1fa1dbddc01e54dd3cdb590ee93652a</t>
  </si>
  <si>
    <t>152599</t>
  </si>
  <si>
    <t>СКЕТЧБУК А5. Пьер Огюст Ренуар. ПОРТРЕТ АКТРИСЫ ЖАННЫ САМАРИ (выб.лак)</t>
  </si>
  <si>
    <t>468-0-088-46333-9</t>
  </si>
  <si>
    <t>4680088463339</t>
  </si>
  <si>
    <t>217535</t>
  </si>
  <si>
    <t>СКЕТЧБУК А5. С ВЕЕРОМ (выб.лак)</t>
  </si>
  <si>
    <t>467-0-159-11653-0</t>
  </si>
  <si>
    <t>4670159116530</t>
  </si>
  <si>
    <t>13.12.2023 0:00:00</t>
  </si>
  <si>
    <t>217536</t>
  </si>
  <si>
    <t>СКЕТЧБУК А5. С ЛЕДЕНЦОМ (выб.лак)</t>
  </si>
  <si>
    <t>467-0-159-11654-7</t>
  </si>
  <si>
    <t>4670159116547</t>
  </si>
  <si>
    <t>210754</t>
  </si>
  <si>
    <t>СКЕТЧБУК А5. СОБАКА-ПИКСЕЛЬ (выб.лак)</t>
  </si>
  <si>
    <t>467-0-159-07781-7</t>
  </si>
  <si>
    <t>4670159077817</t>
  </si>
  <si>
    <t>120548</t>
  </si>
  <si>
    <t>СКЕТЧБУК А5. УЛИТКА (выб.лак)</t>
  </si>
  <si>
    <t>463-0-079-15200-1</t>
  </si>
  <si>
    <t>4630079152001</t>
  </si>
  <si>
    <t>214924</t>
  </si>
  <si>
    <t>СКЕТЧБУК А5. ХАКИ (выб.лак)</t>
  </si>
  <si>
    <t>467-0-159-10066-9</t>
  </si>
  <si>
    <t>4670159100669</t>
  </si>
  <si>
    <t>249483</t>
  </si>
  <si>
    <t>СКЕТЧБУК А5. ЦВЕТОК ПУСТЫНИ (выб.лак)</t>
  </si>
  <si>
    <t>467-0-159-25655-7</t>
  </si>
  <si>
    <t>4670159256557</t>
  </si>
  <si>
    <t>b6db7044a076650ddaf4150171b39d41</t>
  </si>
  <si>
    <t>227815</t>
  </si>
  <si>
    <t>СКЕТЧБУК А5. ЧИХУА (выб.лак)</t>
  </si>
  <si>
    <t>467-0-159-16481-4</t>
  </si>
  <si>
    <t>4670159164814</t>
  </si>
  <si>
    <t>5f52ef96281ae029191b47c96bc03458</t>
  </si>
  <si>
    <t>231715</t>
  </si>
  <si>
    <t>СКЕТЧБУК А5. ШЕДЕВРЫ ВИНСЕНТА ВАН ГОГА (выб.лак)</t>
  </si>
  <si>
    <t>467-0-159-17927-6</t>
  </si>
  <si>
    <t>4670159179276</t>
  </si>
  <si>
    <t>152597</t>
  </si>
  <si>
    <t>СКЕТЧБУК А5. Эдгар Дега. ГОЛУБЫЕ ТАНЦОВЩИЦЫ (выб.лак)</t>
  </si>
  <si>
    <t>468-0-088-46331-5</t>
  </si>
  <si>
    <t>4680088463315</t>
  </si>
  <si>
    <t>СЕРИЯ: СКЕТЧБУК АНИМЕ 40л выб.лак, кругл.углы, резинка, 130х210 (бумага 100 гр)</t>
  </si>
  <si>
    <t>185854</t>
  </si>
  <si>
    <t>СКЕТЧБУК АНИМЕ. ВОЛЕЙБОЛИСТ</t>
  </si>
  <si>
    <t>462-0-129-74734-9</t>
  </si>
  <si>
    <t>Яркие, запоминающиеся, удобные скетчбуки всегда под рукой в нужный момент! Это лучший помощник для активных, креативных и постоянно развивающихся людей. Благодаря компактному формату их можно носить с собой в сумке или рюкзаке. Фиксирующая резинка защищает страницы от повреждения.</t>
  </si>
  <si>
    <t>4620129747349</t>
  </si>
  <si>
    <t>130x210x10</t>
  </si>
  <si>
    <t>178590</t>
  </si>
  <si>
    <t>СКЕТЧБУК АНИМЕ. ДЕВОЧКА-ВОИН</t>
  </si>
  <si>
    <t>462-0-129-70618-6</t>
  </si>
  <si>
    <t>4620129706186</t>
  </si>
  <si>
    <t>178587</t>
  </si>
  <si>
    <t>СКЕТЧБУК АНИМЕ. ДЕВОЧКА-КОШКА</t>
  </si>
  <si>
    <t>462-0-129-70617-9</t>
  </si>
  <si>
    <t>4620129706179</t>
  </si>
  <si>
    <t>201328</t>
  </si>
  <si>
    <t>СКЕТЧБУК АНИМЕ. КРАСАВЧИК</t>
  </si>
  <si>
    <t>467-0-159-02134-6</t>
  </si>
  <si>
    <t>4670159021346</t>
  </si>
  <si>
    <t>201329</t>
  </si>
  <si>
    <t>СКЕТЧБУК АНИМЕ. МАГИЯ</t>
  </si>
  <si>
    <t>467-0-159-02133-9</t>
  </si>
  <si>
    <t>4670159021339</t>
  </si>
  <si>
    <t>Сkетчпады</t>
  </si>
  <si>
    <t>СЕРИЯ: АНИМЕ СКЕТЧПАД А5 40л холод.тиснение, КБС (бум 160гр)</t>
  </si>
  <si>
    <t>215057</t>
  </si>
  <si>
    <t>АНИМЕ СКЕТЧПАД. Блеск</t>
  </si>
  <si>
    <t>467-0-159-09435-7</t>
  </si>
  <si>
    <t>Новая серия скетчпадов с завораживающими обложками не оставит равнодушными тех, кто увлекается аниме, рисованием, скетчингом, графикой и граффити! Обложки выполнены с помощью технологии холодного тиснения, которая придаёт иллюстрациям эффект голограммы и добавляет ещё большей загадочности, нежности, эмоциональности главным героям в стиле аниме. Внутренний блок в скетчпадах, состоящий из 40 белоснежных листов (80 страниц) плотностью 160 г/м2, подойдёт для ваших записей, эскизов и зарисовок, а благодаря формату А5 и твёрдой подложке блокноты удобно брать с собой и воплощать свои идеи практически в любую минуту, когда посетит вдохновение!</t>
  </si>
  <si>
    <t>4670159094357</t>
  </si>
  <si>
    <t>148х205х9</t>
  </si>
  <si>
    <t>215055</t>
  </si>
  <si>
    <t>АНИМЕ СКЕТЧПАД. В лунном свете</t>
  </si>
  <si>
    <t>467-0-159-09433-3</t>
  </si>
  <si>
    <t>4670159094333</t>
  </si>
  <si>
    <t>215058</t>
  </si>
  <si>
    <t>АНИМЕ СКЕТЧПАД. Гипноз</t>
  </si>
  <si>
    <t>467-0-159-09436-4</t>
  </si>
  <si>
    <t>4670159094364</t>
  </si>
  <si>
    <t>228443</t>
  </si>
  <si>
    <t>АНИМЕ СКЕТЧПАД. Девочка с наушниками</t>
  </si>
  <si>
    <t>467-0-159-16400-5</t>
  </si>
  <si>
    <t>4670159164005</t>
  </si>
  <si>
    <t>13.08.2024 0:00:00</t>
  </si>
  <si>
    <t>Холодное тиснение</t>
  </si>
  <si>
    <t>228444</t>
  </si>
  <si>
    <t>АНИМЕ СКЕТЧПАД. Кибердевочка</t>
  </si>
  <si>
    <t>467-0-159-16401-2</t>
  </si>
  <si>
    <t>4670159164012</t>
  </si>
  <si>
    <t>228445</t>
  </si>
  <si>
    <t>АНИМЕ СКЕТЧПАД. Мальчик и кот</t>
  </si>
  <si>
    <t>467-0-159-16402-9</t>
  </si>
  <si>
    <t>4670159164029</t>
  </si>
  <si>
    <t>215056</t>
  </si>
  <si>
    <t>АНИМЕ СКЕТЧПАД. Нежная пара</t>
  </si>
  <si>
    <t>467-0-159-09434-0</t>
  </si>
  <si>
    <t>4670159094340</t>
  </si>
  <si>
    <t>228446</t>
  </si>
  <si>
    <t>АНИМЕ СКЕТЧПАД. Парочка</t>
  </si>
  <si>
    <t>467-0-159-16403-6</t>
  </si>
  <si>
    <t>4670159164036</t>
  </si>
  <si>
    <t>СЕРИЯ: СКЕТЧПАД 24л 162х230 (бумага акварельная 200гр)</t>
  </si>
  <si>
    <t>151866</t>
  </si>
  <si>
    <t>СКЕТЧПАД 24л. ГУСТАВ КЛИМТ</t>
  </si>
  <si>
    <t>468-0-088-45777-2</t>
  </si>
  <si>
    <t>Блокноты удобного формата с оригинальным художественным оформлением идеально подойдут как профессиональным художникам, так и новичкам! Плотная бумага, отрывные листы и жёсткая подложка - всё это очень удобно для рисования.</t>
  </si>
  <si>
    <t>4680088457772</t>
  </si>
  <si>
    <t>162х230х9</t>
  </si>
  <si>
    <t>150787</t>
  </si>
  <si>
    <t>СКЕТЧПАД 24л. ПАБЛО ПИКАССО</t>
  </si>
  <si>
    <t>468-0-088-44928-9</t>
  </si>
  <si>
    <t>4680088449289</t>
  </si>
  <si>
    <t>150789</t>
  </si>
  <si>
    <t>СКЕТЧПАД 24л. ЭНДИ УОРХОЛ</t>
  </si>
  <si>
    <t>468-0-088-44926-5</t>
  </si>
  <si>
    <t>4680088449265</t>
  </si>
  <si>
    <t>СЕРИЯ: СКЕТЧПАД 40л 147х205 КБС (офсет Архангельск 150гр)</t>
  </si>
  <si>
    <t>169873</t>
  </si>
  <si>
    <t>СКЕТЧПАД А5. А. МУХА. ЗОДИАК</t>
  </si>
  <si>
    <t>461-0-144-86648-4</t>
  </si>
  <si>
    <t>Блокноты для эскизов созданы специально для творческих людей. Удобный формат, бумага высокого качества твёрдая подложка точно понравится как начинающим художникам, так и профессионалам.</t>
  </si>
  <si>
    <t>4610144866484</t>
  </si>
  <si>
    <t>147х205х10</t>
  </si>
  <si>
    <t>127962</t>
  </si>
  <si>
    <t>СКЕТЧПАД А5. ЕДИНОРОГ</t>
  </si>
  <si>
    <t>463-0-097-51157-6</t>
  </si>
  <si>
    <t>4630097511576</t>
  </si>
  <si>
    <t>127965</t>
  </si>
  <si>
    <t>СКЕТЧПАД А5. ЗВЁЗДНОЕ НЕБО</t>
  </si>
  <si>
    <t>463-0-097-51131-6</t>
  </si>
  <si>
    <t>4630097511316</t>
  </si>
  <si>
    <t>158908</t>
  </si>
  <si>
    <t>СКЕТЧПАД А5. ПОПУГАЙ</t>
  </si>
  <si>
    <t>461-0-144-80957-3</t>
  </si>
  <si>
    <t>Блокноты удобного формата с авторским художественным оформлением обложек идеально подойдут как профессиональным художникам, так и новичкам! Плотная бумага, отрывные листы и жёсткая подложка - всё это очень удобно для рисования.</t>
  </si>
  <si>
    <t>4610144809573</t>
  </si>
  <si>
    <t>147072</t>
  </si>
  <si>
    <t>СКЕТЧПАД А5. ТУКАНЫ</t>
  </si>
  <si>
    <t>468-0-088-42261-9</t>
  </si>
  <si>
    <t>4680088422619</t>
  </si>
  <si>
    <t>СЕРИЯ: КАРТОЧКИ ДЛЯ ФОТОСЕССИИ мат.ламин.105х160</t>
  </si>
  <si>
    <t>221910</t>
  </si>
  <si>
    <t>КАРТОЧКИ ДЛЯ ФОТОСЕССИИ. Лучший для мамы</t>
  </si>
  <si>
    <t>467-0-159-13390-2</t>
  </si>
  <si>
    <t>Кажется, ваш малыш только появился на свет, а вот он уже уверенно шагает навстречу приключениям! Набор карточек для фотосессии поможет запечатлеть важные и трогательные моменты в жизни любимого карапуза. Авторские иллюстрации доставят эстетическое удовольствие как в процессе съёмки, так и через много лет, когда эти фото будут просматриваться всей семьёй. Каждый ребёнок — лучший для мамы!</t>
  </si>
  <si>
    <t>4670159133902</t>
  </si>
  <si>
    <t>6a910103c8729f1c4e61991026522417</t>
  </si>
  <si>
    <t>105х160х20</t>
  </si>
  <si>
    <t>209937</t>
  </si>
  <si>
    <t>КАРТОЧКИ ДЛЯ ФОТОСЕССИИ. Наша кроха</t>
  </si>
  <si>
    <t>467-0-159-05708-6</t>
  </si>
  <si>
    <t>Перед вами набор карточек для фотосессии с малышом. С их помощью вы сможете запечатлеть значимые события в жизни вашего крохи, например первую прогулку, появление зубика или любимую игрушку, зафиксировать его рост и развитие по месяцам. В наборе 30 двусторонних карточек — 12 карточек по месяцам и 18 карточек для разнообразных фотосессий.</t>
  </si>
  <si>
    <t>4670159057086</t>
  </si>
  <si>
    <t>105х160х22</t>
  </si>
  <si>
    <t>СЕРИЯ: КНИГА НА ПАМЯТЬ мат ламин, тиснение145х203</t>
  </si>
  <si>
    <t>267369</t>
  </si>
  <si>
    <t>КНИГА НА ПАМЯТЬ. ТВОЯ ИСТОРИЯ, БАБУШКА</t>
  </si>
  <si>
    <t>467-0-159-29230-2</t>
  </si>
  <si>
    <t>Эта книга поможет сблизиться с семей. В ней более ста вопросов для самых родных людей.
Заполнять книгу можно в одиночку или в тесном семейном кругу: вопросы из книги могут дать тему для разговора, который заполнится надолго. В конце книги есть страницы для свободного рассказа о себе и своей семьей, а также для дополнительных вопросов.
Твердый переплёт, тиснение на обложке и насыщенные цвета создают нарядный облик книги, которую хочется долго хранить и перечитывать!</t>
  </si>
  <si>
    <t>4670159292302</t>
  </si>
  <si>
    <t>c12d77b2c1f7cd839eca04035855ca66</t>
  </si>
  <si>
    <t>264430</t>
  </si>
  <si>
    <t>КНИГА НА ПАМЯТЬ. ТВОЯ ИСТОРИЯ, МАМА</t>
  </si>
  <si>
    <t>467-0-159-29229-6</t>
  </si>
  <si>
    <t>4670159292296</t>
  </si>
  <si>
    <t>СЕРИЯ: КНИГА ПОЖЕЛАНИЙ НА СВАДЬБУ на гребне, мат.ламин, тиснение, 200х200</t>
  </si>
  <si>
    <t>251714</t>
  </si>
  <si>
    <t>КНИГА ПОЖЕЛАНИЙ НА СВАДЬБУ. МОЛОДОЖЁНЫ</t>
  </si>
  <si>
    <t>467-0-159-26118-6</t>
  </si>
  <si>
    <t>Книги пожеланий на свадьбу мы делали с особым трепетом. На их страницах каждый гость на свадьбе сможет оставить слова поддержки, любви и радости для молодоженов. Эти пожелания станут не только прекрасным воспоминанием об этом чудесном празднике, но и ценным источником вдохновения и поддержки для молодой семьи в будущем. Для большего удобства мы сделали книги на гребне, благодаря чему их можно открывать на 360 градусов. Твердые обложки с золотым тиснением идеально впишутся в свадебную атмосферу. Для идеального праздника нужна идеальная книга пожеланий!</t>
  </si>
  <si>
    <t>4670159261186</t>
  </si>
  <si>
    <t>fcc9660cbb74455dadc2f6f07bc5e585</t>
  </si>
  <si>
    <t>205х200х12</t>
  </si>
  <si>
    <t>СЕРИЯ: КНИГА ПОЖЕЛАНИЙ НА СВАДЬБУ с вырубкой, мат.ламин, тиснение, 200х200</t>
  </si>
  <si>
    <t>268521</t>
  </si>
  <si>
    <t>КНИГА ПОЖЕЛАНИЙ НА СВАДЬБУ с вырубкой. ДЕРЕВО</t>
  </si>
  <si>
    <t>467-0-159-30241-4</t>
  </si>
  <si>
    <t>Книги пожеланий на свадьбу мы делали с особым трепетом. На их страницах каждый гость сможет оставить слова поддержки, любви и радости для молодоженов. Эти пожелания станут не только прекрасным воспоминанием об этом прекрасном празднике, но и ценным источником вдохновения и поддержки для молодой семьи в будущем.
Твердые обложки с золотым тиснением идеально впишутся в свадебную атмосферу. Любителям лаконичности стоит присмотреться к книге «Руки». Приверженцам свадебного размаха стоит обратить внимание на книгу «Дерево».
Для идеального праздника нужна идеальная книга пожеланий.</t>
  </si>
  <si>
    <t>4670159302414</t>
  </si>
  <si>
    <t>39f2291598fca88ae5b2631c7a12a8d1</t>
  </si>
  <si>
    <t>21.05.2026 0:00:00</t>
  </si>
  <si>
    <t>200х200х8</t>
  </si>
  <si>
    <t>268522</t>
  </si>
  <si>
    <t>КНИГА ПОЖЕЛАНИЙ НА СВАДЬБУ с вырубкой. РУКИ</t>
  </si>
  <si>
    <t>467-0-159-30242-1</t>
  </si>
  <si>
    <t>4670159302421</t>
  </si>
  <si>
    <t>СЕРИЯ: КНИГА-ПРЕДСКАЗАТЕЛЬ мат.ламин, выб.лак 120х190</t>
  </si>
  <si>
    <t>265797</t>
  </si>
  <si>
    <t>КНИГА-ПРЕДСКАЗАТЕЛЬ. Задай вопрос - получи ответ</t>
  </si>
  <si>
    <t>467-0-159-29638-6</t>
  </si>
  <si>
    <t>У тебя есть вопрос - у этой книги есть ответ! 
Хочешь знать, что ждёт тебя завтра? А может быть, у тебя есть то, что нельзя решить при помощи логики или разума? 
Эта книга — твой личный советчик, способ узнать чуточку больше. 
• Просто задай любой вопрос, на который можно ответить «да» или «нет».
• Закрой глаза и сосредоточься. Почувствуй, как страница сама «зовёт» тебя.
Открой книгу — и вот ответ перед тобой!
Главное - верить. И не бояться задавать вопросы снова и снова!</t>
  </si>
  <si>
    <t>4670159296386</t>
  </si>
  <si>
    <t>9784716b69c6bda68335244418cb4ca8</t>
  </si>
  <si>
    <t>120х190х15</t>
  </si>
  <si>
    <t>265795</t>
  </si>
  <si>
    <t>КНИГА-ПРЕДСКАЗАТЕЛЬ. Любит - не любит</t>
  </si>
  <si>
    <t>467-0-159-29637-9</t>
  </si>
  <si>
    <t>Хочешь знать, что он на самом деле чувствует?
Книга знает ответ.
Всё, что тебе нужно сделать:
1. Задай вопрос, на который можно ответить «да» или «нет».
2. Расслабься и открой книгу на любой странице.
Перед тобой появится послание — яркое, прямое, иногда удивительное.
Доверься силе книги и получи ответ, который ищешь.</t>
  </si>
  <si>
    <t>4670159296379</t>
  </si>
  <si>
    <t>СЕРИЯ: КУПОНЫ РОДИТЕЛЬСКОЙ ЩЕДРОСТИ 24 листа</t>
  </si>
  <si>
    <t>261550</t>
  </si>
  <si>
    <t>КУПОНЫ РОДИТЕЛЬСКОЙ ЩЕДРОСТИ. КРУТЫЕ ГУСИ</t>
  </si>
  <si>
    <t>467-0-159-28836-7</t>
  </si>
  <si>
    <t>Подарок, который порадует любого первоклассника, дошкольника или школьника — это купоны родительской щедрости! В этой чековой книжке из 24 купонов уже есть приятные сюрпризы: купон на поход в любимое кафе, купон на ночёвку у друзей, купон на дополнительный час за компьютером и другие. Оставшиеся купоны можно заполнить самостоятельно или дать возможность ребёнку придумать свои желания. Как работает брошюра: ребёнок выбирает желание из книжки, аккуратно отрезает купон по пунктиру, отдаёт родителю, чтобы тот исполнил написанное пожелание. Такая брошюра станет отличным дополнением к любому подарку.</t>
  </si>
  <si>
    <t>4670159288367</t>
  </si>
  <si>
    <t>b65cc99ba66b30cf017a14ae9a139bf2</t>
  </si>
  <si>
    <t>145х70х3</t>
  </si>
  <si>
    <t>261552</t>
  </si>
  <si>
    <t>КУПОНЫ РОДИТЕЛЬСКОЙ ЩЕДРОСТИ. МАЛЬЧИК И ДЕВОЧКА</t>
  </si>
  <si>
    <t>467-0-159-28837-4</t>
  </si>
  <si>
    <t>4670159288374</t>
  </si>
  <si>
    <t>eb233e8d7ea2253d5f11cd02539c987d</t>
  </si>
  <si>
    <t>СЕРИЯ: ОБЛОЖКА ДЛЯ СВИДЕТЕЛЬСТВА О ЗАКЛЮЧЕНИИ БРАКА 7БЦ, мат.ламин, выб.лак, 229х309</t>
  </si>
  <si>
    <t>263132</t>
  </si>
  <si>
    <t>ОБЛОЖКА ДЛЯ СВИДЕТЕЛЬСТВА О ЗАКЛЮЧЕНИИ БРАКА. Предложение руки и сердца</t>
  </si>
  <si>
    <t>467-0-159-29101-5</t>
  </si>
  <si>
    <t>Представляем вашему вниманию новинку, серию «Обложка свидетельства о браке».
Наш товар - надёжный способ бережно сохранить важный семейный документ на долгие годы. Большой формат позволяет не сгибать свидетельство о браке. Это стильный и практичный аксессуар выделяется высоким качеством, сочетая функциональность и привлекательный внешний вид.
Стильная обложка идеально дополнит подарочный набор для молодоженов и станет верным спутником на вашем новом семейном пути.</t>
  </si>
  <si>
    <t>4670159291015</t>
  </si>
  <si>
    <t>0ac5ec8c15729404464de908229b4d39</t>
  </si>
  <si>
    <t>235х315х5</t>
  </si>
  <si>
    <t>278114</t>
  </si>
  <si>
    <t>ОБЛОЖКА ДЛЯ СВИДЕТЕЛЬСТВА О ЗАКЛЮЧЕНИИ БРАКА. Сердце в ладонях</t>
  </si>
  <si>
    <t>467-0-159-33145-2</t>
  </si>
  <si>
    <t>4670159331452</t>
  </si>
  <si>
    <t>12b9eb34f2b4273c4c800bead41c5556</t>
  </si>
  <si>
    <t>263133</t>
  </si>
  <si>
    <t>ОБЛОЖКА ДЛЯ СВИДЕТЕЛЬСТВА О ЗАКЛЮЧЕНИИ БРАКА. Сердце в цветах</t>
  </si>
  <si>
    <t>467-0-159-29102-2</t>
  </si>
  <si>
    <t>4670159291022</t>
  </si>
  <si>
    <t>СЕРИЯ: СЛОВАРЬ ДЛЯ ЗАПИСИ ИНОСТРАННЫХ СЛОВ карт.обл. глянц.ламин. 97х139</t>
  </si>
  <si>
    <t>213707</t>
  </si>
  <si>
    <t>СЛОВАРЬ ДЛЯ ЗАПИСИ ИНОСТРАННЫХ СЛОВ. Автобус</t>
  </si>
  <si>
    <t>467-0-159-09419-7</t>
  </si>
  <si>
    <t xml:space="preserve">Изучение иностранного языка - увлекательный процесс, для которого нужно быть всегда включённым в процесс. Именно для этого мы создали серию словариков для записи иностранных слов в формате А6. Словарики «Глаза в стиле аниме» и «Девочка-аниме» подойдут для записи иероглифов, т.к. блок этих наименований расчерчен клеткой. Блоки наименований  «Мышонок» и «Автобус» - в линейку. </t>
  </si>
  <si>
    <t>4670159094197</t>
  </si>
  <si>
    <t>98х140х4</t>
  </si>
  <si>
    <t>213704</t>
  </si>
  <si>
    <t>СЛОВАРЬ ДЛЯ ЗАПИСИ ИНОСТРАННЫХ СЛОВ. Глаза в стиле аниме</t>
  </si>
  <si>
    <t>467-0-159-09417-3</t>
  </si>
  <si>
    <t>4670159094173</t>
  </si>
  <si>
    <t>213703</t>
  </si>
  <si>
    <t>СЛОВАРЬ ДЛЯ ЗАПИСИ ИНОСТРАННЫХ СЛОВ. Девочка-аниме</t>
  </si>
  <si>
    <t>467-0-159-09416-6</t>
  </si>
  <si>
    <t>4670159094166</t>
  </si>
  <si>
    <t>213706</t>
  </si>
  <si>
    <t>СЛОВАРЬ ДЛЯ ЗАПИСИ ИНОСТРАННЫХ СЛОВ. Мышонок</t>
  </si>
  <si>
    <t>467-0-159-09418-0</t>
  </si>
  <si>
    <t>4670159094180</t>
  </si>
  <si>
    <t>СЕРИЯ: СОЗДАЙ СВОЮ ИСТОРИЮ глянц.ламин, 48 стр КБС  (офсет 100гр)</t>
  </si>
  <si>
    <t>249523</t>
  </si>
  <si>
    <t>СОЗДАЙ СВОЮ ИСТОРИЮ. РАСКАДРОВКА ДЛЯ МАНГИ. Жёлтая</t>
  </si>
  <si>
    <t>978-5-378-35478-8</t>
  </si>
  <si>
    <t>Внимание всем любителям манги!Внутри этой книги вы найдёте страницы с готовой сеткой для раскадровки, советы по построению перспективы и рекомендации по рисованию персонажей. Это пособие подойдёт для начинающих мангак: научит делать раскадровку и поможет создать свою первую мангу! Возможно, её увидит весь мир! Удачи!</t>
  </si>
  <si>
    <t>9785378354788</t>
  </si>
  <si>
    <t>f546091e8a46d341c7a5bdc6e663c2ad</t>
  </si>
  <si>
    <t>195х280х5</t>
  </si>
  <si>
    <t>249525</t>
  </si>
  <si>
    <t>СОЗДАЙ СВОЮ ИСТОРИЮ. РАСКАДРОВКА ДЛЯ МАНГИ. Красная</t>
  </si>
  <si>
    <t>978-5-378-35479-5</t>
  </si>
  <si>
    <t>9785378354795</t>
  </si>
  <si>
    <t>43a149167c9a5135a0d7e2666aa94bae</t>
  </si>
  <si>
    <t>СЕРИЯ: ТЕТРАДЬ ДЛЯ ИЕРОГЛИФОВ картон.обл, глянц.ламин. 163х215</t>
  </si>
  <si>
    <t>242308</t>
  </si>
  <si>
    <t>ТЕТРАДЬ ДЛЯ ИЕРОГЛИФОВ. ДЕВУШКА В КИМОНО</t>
  </si>
  <si>
    <t>467-0-159-22129-6</t>
  </si>
  <si>
    <t>Тетради для иероглифов — идеальный инструмент для изучения и практики азиатских языков. Каждая тетрадь содержит специально разработанные страницы с сеткой, которая помогает пользователям точно воспроизводить сложные символы, улучшая навыки письма и запоминания. Формат тетради удобен для использования как в классе, так и дома, что делает её незаменимым помощником для студентов, преподавателей и всех, кто интересуется восточной культурой.</t>
  </si>
  <si>
    <t>4670159221296</t>
  </si>
  <si>
    <t>2a05814548e8cd9efde22fffad71fedd</t>
  </si>
  <si>
    <t>163х210х4</t>
  </si>
  <si>
    <t>242310</t>
  </si>
  <si>
    <t>ТЕТРАДЬ ДЛЯ ИЕРОГЛИФОВ. ДЕВУШКА С БАБЛ-ТИ</t>
  </si>
  <si>
    <t>467-0-159-22131-9</t>
  </si>
  <si>
    <t>4670159221319</t>
  </si>
  <si>
    <t>af961e8fb1b5b66d3985d8c05cf484b1</t>
  </si>
  <si>
    <t>242311</t>
  </si>
  <si>
    <t>ТЕТРАДЬ ДЛЯ ИЕРОГЛИФОВ. РАМЕН</t>
  </si>
  <si>
    <t>467-0-159-22132-6</t>
  </si>
  <si>
    <t>4670159221326</t>
  </si>
  <si>
    <t>6abca0489d68366e60f033bece503999</t>
  </si>
  <si>
    <t>242313</t>
  </si>
  <si>
    <t>ТЕТРАДЬ ДЛЯ ИЕРОГЛИФОВ. РЕКА В КИТАЕ</t>
  </si>
  <si>
    <t>467-0-159-22130-2</t>
  </si>
  <si>
    <t>4670159221302</t>
  </si>
  <si>
    <t>8c96c4457f22c283cfa42980abb5723e</t>
  </si>
  <si>
    <t xml:space="preserve">СЕРИЯ: ТЕТРАДЬ ДЛЯ НОТ  А4 16 листов </t>
  </si>
  <si>
    <t>224766</t>
  </si>
  <si>
    <t>ТЕТРАДЬ ДЛЯ НОТ  А4. 16 листов. ДЕВУШКА С ГИТАРОЙ</t>
  </si>
  <si>
    <t>467-0-159-15105-0</t>
  </si>
  <si>
    <t>Новая серия тетрадей для нот имеет привлекательный дизайн и удобный формат, которые придутся по вкусу ученикам музыкальных школ, студентам и преподавателям. На оборотах обложек содержатся справочные материалы, которые будут полезны для начинающих музыкантов.</t>
  </si>
  <si>
    <t>4670159151050</t>
  </si>
  <si>
    <t>Тетради для нот</t>
  </si>
  <si>
    <t>195х275х1</t>
  </si>
  <si>
    <t>224767</t>
  </si>
  <si>
    <t>ТЕТРАДЬ ДЛЯ НОТ  А4. 16 листов. ДЕВУШКА С МИКРОФОНОМ</t>
  </si>
  <si>
    <t>467-0-159-15106-7</t>
  </si>
  <si>
    <t>4670159151067</t>
  </si>
  <si>
    <t>224763</t>
  </si>
  <si>
    <t>ТЕТРАДЬ ДЛЯ НОТ  А4. 16 листов. ДЕВУШКА СО СКРИПКОЙ</t>
  </si>
  <si>
    <t>467-0-159-14958-3</t>
  </si>
  <si>
    <t>4670159149583</t>
  </si>
  <si>
    <t>224764</t>
  </si>
  <si>
    <t>ТЕТРАДЬ ДЛЯ НОТ  А4. 16 листов. КОТИК С ВИОЛОНЧЕЛЬЮ</t>
  </si>
  <si>
    <t>467-0-159-14959-0</t>
  </si>
  <si>
    <t>4670159149590</t>
  </si>
  <si>
    <t>091618</t>
  </si>
  <si>
    <t>ТЕТРАДЬ ДЛЯ НОТ  А4. 16 листов. ТРУБА</t>
  </si>
  <si>
    <t>466-5-303-52920-5</t>
  </si>
  <si>
    <t>4665303529205</t>
  </si>
  <si>
    <t xml:space="preserve">СЕРИЯ: ТЕТРАДЬ ДЛЯ НОТ  А5 16 листов </t>
  </si>
  <si>
    <t>224758</t>
  </si>
  <si>
    <t>ТЕТРАДЬ ДЛЯ НОТ  А5. АНИМЕ-ДЕВОЧКА</t>
  </si>
  <si>
    <t>467-0-159-15102-9</t>
  </si>
  <si>
    <t>Новая серия нотных тетрадей сделает уроки музыки ещё приятнее благодаря привлекательным обложкам и удобному формату! На оборотах обложек есть справочная информация. которая пригодится самым юным музыкантам.</t>
  </si>
  <si>
    <t>4670159151029</t>
  </si>
  <si>
    <t>162х210х1</t>
  </si>
  <si>
    <t>224757</t>
  </si>
  <si>
    <t>ТЕТРАДЬ ДЛЯ НОТ  А5. КОРГИ С БАРАБАНАМИ</t>
  </si>
  <si>
    <t>467-0-159-15103-6</t>
  </si>
  <si>
    <t>4670159151036</t>
  </si>
  <si>
    <t>224760</t>
  </si>
  <si>
    <t>ТЕТРАДЬ ДЛЯ НОТ  А5. МУЗЫКАЛЬНЫЙ КЛАСС</t>
  </si>
  <si>
    <t>467-0-159-15104-3</t>
  </si>
  <si>
    <t>4670159151043</t>
  </si>
  <si>
    <t>110565</t>
  </si>
  <si>
    <t>ТЕТРАДЬ ДЛЯ НОТ  А5. РОЯЛЬ</t>
  </si>
  <si>
    <t>466-5-306-16212-6</t>
  </si>
  <si>
    <t>4665306162126</t>
  </si>
  <si>
    <t>6. TВОРЧЕСТВО, БРОШЮРЫ, ПОСОБИЯ</t>
  </si>
  <si>
    <t>АППЛИКАЦИИ, ВЫРЕЗАЛКИ</t>
  </si>
  <si>
    <t>CЕРИЯ: АППЛИКАЦИИ ПЛАСТИЛИНОМ 215х215</t>
  </si>
  <si>
    <t>169803</t>
  </si>
  <si>
    <t>АППЛИКАЦИИ ПЛАСТИЛИНОМ. ЛЮБИМЫЕ ЖИВОТНЫЕ</t>
  </si>
  <si>
    <t>978-5-378-32084-4</t>
  </si>
  <si>
    <t>Занять ребенка с пользой очень просто! Достаточно дать ему одну из брошюр нашей новой серии «Аппликации пластилином». Малышу непременно понравится раскрашивать картинки и клеить на них кружочки из пластилина подходящего цвета. А еще эти книжки – идеальные тренажеры для развития внимания и мелкой моторики.</t>
  </si>
  <si>
    <t>9785378320844</t>
  </si>
  <si>
    <t>215х215х3</t>
  </si>
  <si>
    <t>CЕРИЯ: БОЛЬШАЯ КНИГА АППЛИКАЦИЙ ДЛЯ МАЛЫШЕЙ ламин.картон 210х275</t>
  </si>
  <si>
    <t>179015</t>
  </si>
  <si>
    <t>БОЛЬШАЯ КНИГА АППЛИКАЦИЙ ДЛЯ МАЛЫШЕЙ</t>
  </si>
  <si>
    <t>978-5-378-33094-2</t>
  </si>
  <si>
    <t>Занять ребенка с пользой очень просто! Достаточно дать ему брошюру "Большая книга аппликаций". Малышу непременно понравится вырезать и клеить картинки. А еще эта книжка - идеальный тренажер для развития внимания, координации рук и мелкой моторики.</t>
  </si>
  <si>
    <t>9785378330942</t>
  </si>
  <si>
    <t>Большая книга аппликаций для малышей</t>
  </si>
  <si>
    <t>210х275х10</t>
  </si>
  <si>
    <t>CЕРИЯ: БУМАЖНЫЕ ЖИВОТНЫЕ картон.обл, глянц.ламин.197х275</t>
  </si>
  <si>
    <t>280126</t>
  </si>
  <si>
    <t>БУМАЖНЫЕ ЖИВОТНЫЕ. КОШКИ В МИЛЫХ КОСТЮМАХ</t>
  </si>
  <si>
    <t>978-5-378-36168-7</t>
  </si>
  <si>
    <t>9785378361687</t>
  </si>
  <si>
    <t>268527</t>
  </si>
  <si>
    <t>БУМАЖНЫЕ ЖИВОТНЫЕ. КОШКИ ИЗ БУМАГИ</t>
  </si>
  <si>
    <t>978-5-378-35956-1</t>
  </si>
  <si>
    <t>Погрузитесь в мир творчества с новинками серии "Бумажные животные".В каждой брошюре 32 страницы.
В одной брошюре вас ждут 16 очаровательных собак, а в другой — 16 милейших котиков. Это настоящий хит интернета: сотни тысяч детей и взрослых уже коллекционируют бумажных питомцев. Внутри — готовые схемы, лакомства и аксессуары. Раскрась, вырежи и создай свой уникальный мир!</t>
  </si>
  <si>
    <t>9785378359561</t>
  </si>
  <si>
    <t>472b6f6a787cabda93f32bb12609649a</t>
  </si>
  <si>
    <t>280128</t>
  </si>
  <si>
    <t>БУМАЖНЫЕ ЖИВОТНЫЕ. СОБАКИ В КОСТЮМЧИКАХ</t>
  </si>
  <si>
    <t>978-5-378-36167-0</t>
  </si>
  <si>
    <t>9785378361670</t>
  </si>
  <si>
    <t>268528</t>
  </si>
  <si>
    <t>БУМАЖНЫЕ ЖИВОТНЫЕ. СОБАКИ ИЗ БУМАГИ</t>
  </si>
  <si>
    <t>978-5-378-35957-8</t>
  </si>
  <si>
    <t>9785378359578</t>
  </si>
  <si>
    <t>3074813eaa2ef1507de7f446b27e37a3</t>
  </si>
  <si>
    <t>CЕРИЯ: БУМАЖНЫЕ КУКОЛКИ картон.обл, глянц.ламин.164х240</t>
  </si>
  <si>
    <t>249531</t>
  </si>
  <si>
    <t>БУМАЖНЫЕ КУКОЛКИ. АНИМЕ МОДНИЦЫ</t>
  </si>
  <si>
    <t>978-5-378-35509-9</t>
  </si>
  <si>
    <t>Бумажные куколки - это находка для маленьких модниц! В комплекте идут целых две куклы, которые ребенок сможет наряжать по своему вкусу. Самое приятное - вся одежда двусторонняя, а это значит, что комплектов стало в 4 раза больше! Благодаря удобному формату брошюру можно взять с собой в путешествие, она не займет много места, зато ваша малышка весело проведет время и точно не будет скучать!</t>
  </si>
  <si>
    <t>9785378355099</t>
  </si>
  <si>
    <t>165х240х3</t>
  </si>
  <si>
    <t>CЕРИЯ: ВЕСЁЛЫЕ АППЛИКАЦИИ  с цветной бумагой, карт.обл. 215х215</t>
  </si>
  <si>
    <t>139065</t>
  </si>
  <si>
    <t>ВЕСЁЛЫЕ АППЛИКАЦИИ с цветной бумагой. ДЛЯ ДЕВОЧЕК</t>
  </si>
  <si>
    <t>978-5-378-30624-4</t>
  </si>
  <si>
    <t>Новая серия развивающих брошюр с добрыми, чудесными иллюстрациями увлечёт малыша и поможет ему проявить фантазию! Кроме деталей персонажей и картинок, он сможет дополнить аппликацию цветной бумагой, которая входит в комплект каждой брошюры.</t>
  </si>
  <si>
    <t>9785378306244</t>
  </si>
  <si>
    <t>215х215х2</t>
  </si>
  <si>
    <t>139069</t>
  </si>
  <si>
    <t>ВЕСЁЛЫЕ АППЛИКАЦИИ с цветной бумагой. ДЛЯ МАЛЬЧИКОВ</t>
  </si>
  <si>
    <t>978-5-378-30626-8</t>
  </si>
  <si>
    <t>9785378306268</t>
  </si>
  <si>
    <t xml:space="preserve">CЕРИЯ: ВЫРЕЖИ КУКЛУ АНИМЕ А4 мел.карт. 195х275 </t>
  </si>
  <si>
    <t>181644</t>
  </si>
  <si>
    <t>ВЫРЕЖИ КУКЛУ АНИМЕ. АНИМЕ КУКОЛКИ. ВЫРЕЖИ И ОДЕНЬ!</t>
  </si>
  <si>
    <t>462-0-129-72680-1</t>
  </si>
  <si>
    <t>Эта серия понравится любительницам аниме всех возрастов! В брошюре есть две куколки, нарисованные в стиле аниме, а также очень много одежды для того, чтобы их нарядить! Куколок и одежду нужно аккуратно вырезать, после чего можно приступать к игре. Это занятие прекрасно развивает мелкую моторику, воображение и будет классным вариантом для проведения досуга.</t>
  </si>
  <si>
    <t>4620129726801</t>
  </si>
  <si>
    <t>181643</t>
  </si>
  <si>
    <t>ВЫРЕЖИ КУКЛУ АНИМЕ. АНИМЕ КУКОЛКИ. НАРЯДИ МЕНЯ</t>
  </si>
  <si>
    <t>462-0-129-72678-8</t>
  </si>
  <si>
    <t>4620129726788</t>
  </si>
  <si>
    <t>181646</t>
  </si>
  <si>
    <t>ВЫРЕЖИ КУКЛУ АНИМЕ. БУМАЖНЫЕ КУКОЛКИ. В СТИЛЕ АНИМЕ</t>
  </si>
  <si>
    <t>462-0-129-72681-8</t>
  </si>
  <si>
    <t>4620129726818</t>
  </si>
  <si>
    <t>181645</t>
  </si>
  <si>
    <t>ВЫРЕЖИ КУКЛУ АНИМЕ. МАЛЫШКИ</t>
  </si>
  <si>
    <t>462-0-129-72679-5</t>
  </si>
  <si>
    <t>4620129726795</t>
  </si>
  <si>
    <t>CЕРИЯ: ВЫРЕЗАЛКИ С НОЖНИЦАМИ В КОМПЛЕКТЕ картон целл.обл 195х276</t>
  </si>
  <si>
    <t>245181</t>
  </si>
  <si>
    <t>ВЫРЕЗАЛКИ С НОЖНИЦАМИ В КОМПЛЕКТЕ. ДЛЯ ДЕВОЧЕК</t>
  </si>
  <si>
    <t>978-5-378-35345-3</t>
  </si>
  <si>
    <t>Представляем новинку для творчества: вырезалки с безопасными ножницами! Внутри брошюры вы найдете 12 поделок, которые можно вырезать и склеить самостоятельно. Каждая поделка дополнена подробной инструкцией. В комплекте к брошюре вложены безопасные ножницы, которые режут только картон и бумагу.</t>
  </si>
  <si>
    <t>9785378353453</t>
  </si>
  <si>
    <t>541369ac76b015b52ec65e26790344aa</t>
  </si>
  <si>
    <t>245179</t>
  </si>
  <si>
    <t>ВЫРЕЗАЛКИ С НОЖНИЦАМИ В КОМПЛЕКТЕ. ДЛЯ МАЛЬЧИКОВ</t>
  </si>
  <si>
    <t>978-5-378-35344-6</t>
  </si>
  <si>
    <t>9785378353446</t>
  </si>
  <si>
    <t>245184</t>
  </si>
  <si>
    <t>ВЫРЕЗАЛКИ С НОЖНИЦАМИ В КОМПЛЕКТЕ. ДЛЯ САМЫХ МАЛЕНЬКИХ</t>
  </si>
  <si>
    <t>978-5-378-35346-0</t>
  </si>
  <si>
    <t>9785378353460</t>
  </si>
  <si>
    <t>245185</t>
  </si>
  <si>
    <t>ВЫРЕЗАЛКИ С НОЖНИЦАМИ В КОМПЛЕКТЕ. ЖИВОТНЫЕ</t>
  </si>
  <si>
    <t>978-5-378-35347-7</t>
  </si>
  <si>
    <t>9785378353477</t>
  </si>
  <si>
    <t>CЕРИЯ: ЛЕПИМ ИЗ ПЛАСТИЛИНА глянц ламин, картон 200х296</t>
  </si>
  <si>
    <t>230509</t>
  </si>
  <si>
    <t>ЛЕПИМ ИЗ ПЛАСТИЛИНА. ДЛЯ ДЕВОЧЕК</t>
  </si>
  <si>
    <t>978-5-378-34805-3</t>
  </si>
  <si>
    <t>Многоразовая тетрадь «Лепим из пластилина» – это увлекательные задания для малышей, направленные на развитие мелкой моторики, координации движений и фантазии. Благодаря плотным ламинированным страницам пластилин можно аккуратно убрать и делать аппликации снова и снова!
Пластилин в комплект не входит!</t>
  </si>
  <si>
    <t>9785378348053</t>
  </si>
  <si>
    <t>53eacca66882e100f20eca33037a392f</t>
  </si>
  <si>
    <t>204x296x4</t>
  </si>
  <si>
    <t>230510</t>
  </si>
  <si>
    <t>ЛЕПИМ ИЗ ПЛАСТИЛИНА. ДЛЯ МАЛЬЧИКОВ</t>
  </si>
  <si>
    <t>978-5-378-34806-0</t>
  </si>
  <si>
    <t>9785378348060</t>
  </si>
  <si>
    <t>CЕРИЯ: ЛЕПИМ С МАЛЫШАМИ глянц ламин. 195х276</t>
  </si>
  <si>
    <t>185436</t>
  </si>
  <si>
    <t>ЛЕПИМ С МАЛЫШАМИ. ЖИВОТНЫЕ</t>
  </si>
  <si>
    <t>978-5-378-33628-9</t>
  </si>
  <si>
    <t>Новая серия «Лепим с малышами» соберёт за увлекательным занятием всю семью. Вместе с Пластилинкой вы сможете создать ярких интересных персонажей для игры. Весёлые животные, аппетитные сладости, забавные чудики и многое другое ждут вас на страницах красочных брошюр.</t>
  </si>
  <si>
    <t>9785378336289</t>
  </si>
  <si>
    <t>185437</t>
  </si>
  <si>
    <t>ЛЕПИМ С МАЛЫШАМИ. СЛАДКИЕ ИСТОРИИ</t>
  </si>
  <si>
    <t>978-5-378-33629-6</t>
  </si>
  <si>
    <t>9785378336296</t>
  </si>
  <si>
    <t>CЕРИЯ: ПОДЕЛКИ глянц.ламин.обл.195х276</t>
  </si>
  <si>
    <t>192345</t>
  </si>
  <si>
    <t>ПОДЕЛКИ. В ДЕТСКИЙ САД</t>
  </si>
  <si>
    <t>462-0-129-77522-9</t>
  </si>
  <si>
    <t>Хотите чтобы ваш ребёнок ощутил себя маленьким волшебником? Для этого ему понадобятся только клей и ножницы! С их помощью создать замечательные поделки, с которыми можно будет ещё и поиграть, не составит большого труда. В процессе творения маленький волшебник будет развивать фантазию и воображение, тренировать аккуратность и усидчивость.</t>
  </si>
  <si>
    <t>4620129775229</t>
  </si>
  <si>
    <t>192346</t>
  </si>
  <si>
    <t>ПОДЕЛКИ. МАСТЕРИМ СВОИМИ РУКАМИ</t>
  </si>
  <si>
    <t>462-0-129-77524-3</t>
  </si>
  <si>
    <t>4620129775243</t>
  </si>
  <si>
    <t>CЕРИЯ: ПОДЕЛКИ ИЗ БУМАГИ глянц.ламин.обл.210х298</t>
  </si>
  <si>
    <t>240180</t>
  </si>
  <si>
    <t>ПОДЕЛКИ ИЗ БУМАГИ. АНИМЕ. БУМАЖНЫЕ ФИГУРКИ</t>
  </si>
  <si>
    <t>467-0-159-22105-0</t>
  </si>
  <si>
    <t>Брошюры новой серии «Поделки из бумаги» - настоящая находка для творческих детей. Серия включает в себя две брошюры. «Аниме. Бумажные фигурки» понравится любителям аниме, а «Бумажные фигурки. Любимые пиксельные герои» приведут в восторг поклонников знаменитой компьютерной игры Minecraft.
Дети смогут легко вырезать, складывать и собирать весёлых персонажей, развивая при этом мелкую моторику и координацию движений. В каждой брошюре 32 страницы, из которых ребёнок сможет сделать 8 бумажных героев.
«Бумажные поделки» станут отличным подарком на любой праздник.</t>
  </si>
  <si>
    <t>4670159221050</t>
  </si>
  <si>
    <t>1cf6bd187e52f562ab0b463cb4e50290</t>
  </si>
  <si>
    <t>28.01.2025 0:00:00</t>
  </si>
  <si>
    <t>210х297х3</t>
  </si>
  <si>
    <t>240182</t>
  </si>
  <si>
    <t>ПОДЕЛКИ ИЗ БУМАГИ. БУМАЖНЫЕ ФИГУРКИ. ЛЮБИМЫЕ ПИКСЕЛЬНЫЕ ГЕРОИ</t>
  </si>
  <si>
    <t>467-0-159-22106-7</t>
  </si>
  <si>
    <t>Брошюры новой серии «Поделки из бумаги» - настоящая находка для творческих детей. Серия включает в себя две брошюры. «Аниме. Бумажные фигурки» понравится любителям аниме, а «Бумажные фигурки. Любимые пиксельные герои» приведут в восторг поклонников знаменитой компьютерной игры Minecraft. Дети смогут легко вырезать, складывать и собирать весёлых персонажей, развивая при этом мелкую моторику и координацию движений. В каждой брошюре 32 страницы, из которых ребёнок сможет сделать 8 бумажных героев.
«Бумажные поделки» станут отличным подарком на любой праздник</t>
  </si>
  <si>
    <t>4670159221067</t>
  </si>
  <si>
    <t>95c87d27ea4020ba64bacb9bcbced761</t>
  </si>
  <si>
    <t>210x298x3</t>
  </si>
  <si>
    <t>БРОШЮРЫ</t>
  </si>
  <si>
    <t>СЕРИЯ: КОРНЕЙ ЧУКОВСКИЙ - ДЕТЯМ глянц.ламин. 195х195</t>
  </si>
  <si>
    <t>249534</t>
  </si>
  <si>
    <t>КОРНЕЙ ЧУКОВСКИЙ - ДЕТЯМ. Айболит</t>
  </si>
  <si>
    <t>978-5-378-35470-2</t>
  </si>
  <si>
    <t>Погрузитесь в увлекательный мир детских сказок классика русской литературы вместе с серией Корней Чуковский - детям! Это собрание книг включает такие известные произведения, как «Айболит», «Мойдодыр», «Бармалей», «Муха-Цокотуха» и другие истории автора. Яркие и красочные иллюстрации оживляют каждую страницу, делая чтение еще интереснее. Издание выполнено в удобном квадратном формате на качественной глянцевой мелованной бумаге, что делает книгу идеальной для подарка юному читателю.</t>
  </si>
  <si>
    <t>9785378354702</t>
  </si>
  <si>
    <t>Чуковский Корней Иванович</t>
  </si>
  <si>
    <t>dbd95e6cf6f86e9f10b8604061f7ffd0</t>
  </si>
  <si>
    <t>195х195х1</t>
  </si>
  <si>
    <t>249535</t>
  </si>
  <si>
    <t>КОРНЕЙ ЧУКОВСКИЙ - ДЕТЯМ. Бармалей</t>
  </si>
  <si>
    <t>978-5-378-35471-9</t>
  </si>
  <si>
    <t>9785378354719</t>
  </si>
  <si>
    <t>132c838da9e474c6ab9556bf15ec848e</t>
  </si>
  <si>
    <t>249539</t>
  </si>
  <si>
    <t>КОРНЕЙ ЧУКОВСКИЙ - ДЕТЯМ. Мойдодыр</t>
  </si>
  <si>
    <t>978-5-378-35477-1</t>
  </si>
  <si>
    <t>9785378354771</t>
  </si>
  <si>
    <t>3dac3b413fa1c635155b284a97b837d5</t>
  </si>
  <si>
    <t>249537</t>
  </si>
  <si>
    <t>КОРНЕЙ ЧУКОВСКИЙ - ДЕТЯМ. Муха-Цокотуха</t>
  </si>
  <si>
    <t>978-5-378-35473-3</t>
  </si>
  <si>
    <t>9785378354733</t>
  </si>
  <si>
    <t>ebaeb0a2d726b7b52aed9329c7f0967f</t>
  </si>
  <si>
    <t>249540</t>
  </si>
  <si>
    <t>КОРНЕЙ ЧУКОВСКИЙ - ДЕТЯМ. Путаница</t>
  </si>
  <si>
    <t>978-5-378-35475-7</t>
  </si>
  <si>
    <t>9785378354757</t>
  </si>
  <si>
    <t>1a8df6d6fb659797866db4da32ae3080</t>
  </si>
  <si>
    <t>249538</t>
  </si>
  <si>
    <t>КОРНЕЙ ЧУКОВСКИЙ - ДЕТЯМ. Тараканище</t>
  </si>
  <si>
    <t>978-5-378-35476-4</t>
  </si>
  <si>
    <t>9785378354764</t>
  </si>
  <si>
    <t>8dd8c796fb2d3ebe53ba59669d0b2c7d</t>
  </si>
  <si>
    <t>249541</t>
  </si>
  <si>
    <t>КОРНЕЙ ЧУКОВСКИЙ - ДЕТЯМ. Телефон</t>
  </si>
  <si>
    <t>978-5-378-35474-0</t>
  </si>
  <si>
    <t>9785378354740</t>
  </si>
  <si>
    <t>54dd8c90a0b3f8e6a35b917a53190291</t>
  </si>
  <si>
    <t>249536</t>
  </si>
  <si>
    <t>КОРНЕЙ ЧУКОВСКИЙ - ДЕТЯМ. Федорино горе</t>
  </si>
  <si>
    <t>978-5-378-35472-6</t>
  </si>
  <si>
    <t>9785378354726</t>
  </si>
  <si>
    <t>4e8ad7dd3cf3a10efc05192771f844f9</t>
  </si>
  <si>
    <t>СЕРИЯ: МИР СКАЗОК глянц.ламин, мелов.бум 165х240</t>
  </si>
  <si>
    <t>158992</t>
  </si>
  <si>
    <t>МИР СКАЗОК. ВИЛЬГЕЛЬМ ГАУФ. МАЛЕНЬКИЙ МУК</t>
  </si>
  <si>
    <t>978-5-378-31523-9</t>
  </si>
  <si>
    <t>Сказка «Маленький Мук» наполнена глубоким смыслом, её необходимо прочитать каждому ребёнку. Она обратит внимание малышей на то, что нельзя судить о человеке только по его внешности или положению в обществе, расскажет о том, что добро всегда побеждает зло, а жадность и зависть — одни из главных пороков человека. Иллюстрации в книге яркие, красочные, их очень интересно рассматривать. Они обязательно привлекут внимание и заинтересуют самых маленьких читателей!</t>
  </si>
  <si>
    <t>9785378315239</t>
  </si>
  <si>
    <t>Гауф Вильгельм</t>
  </si>
  <si>
    <t>165х240х2</t>
  </si>
  <si>
    <t>СЕРИЯ: МОИ ПЕРВЫЕ СЛОВА мелов.бумага 210х260</t>
  </si>
  <si>
    <t>263130</t>
  </si>
  <si>
    <t>МОИ ПЕРВЫЕ СЛОВА. Животные</t>
  </si>
  <si>
    <t>978-5-378-35822-9</t>
  </si>
  <si>
    <t>Что, если первая книга станет настоящим открытием мира для вашего малыша?
В книгах серии собраны яркие фотографии животных, фруктов и овощей, машин, поездов и самолётов, а также задания на различение цветов и форм. Каждая страница — это крупное, чёткое изображение и простое слово, которое легко запомнить даже самому маленькому читателю.
Серия создана специально для детей 1–3 лет: большой формат (210×260 мм) позволяет рассматривать детали, плотные страницы удобно листать, а сочные цвета удерживают внимание.
Откройте книгу прямо сейчас — и начните говорить, показывать, узнавать вместе!</t>
  </si>
  <si>
    <t>9785378358229</t>
  </si>
  <si>
    <t>82e3342d0dad9e6164e1b0808904109a</t>
  </si>
  <si>
    <t>210х260х2</t>
  </si>
  <si>
    <t>263128</t>
  </si>
  <si>
    <t>МОИ ПЕРВЫЕ СЛОВА. Овощи, фрукты и другие продукты</t>
  </si>
  <si>
    <t>978-5-378-35823-6</t>
  </si>
  <si>
    <t>9785378358236</t>
  </si>
  <si>
    <t>f4b1681f400642b8b7af9a595dcf4de3</t>
  </si>
  <si>
    <t>263127</t>
  </si>
  <si>
    <t>МОИ ПЕРВЫЕ СЛОВА. Транспорт</t>
  </si>
  <si>
    <t>978-5-378-35824-3</t>
  </si>
  <si>
    <t>9785378358243</t>
  </si>
  <si>
    <t>920f056875f783b87898a08aa925c8a7</t>
  </si>
  <si>
    <t>263129</t>
  </si>
  <si>
    <t>МОИ ПЕРВЫЕ СЛОВА. Формы и цвета</t>
  </si>
  <si>
    <t>978-5-378-35825-0</t>
  </si>
  <si>
    <t>9785378358250</t>
  </si>
  <si>
    <t>ac045c7f227e5974ab7bc5d5d4a4034d</t>
  </si>
  <si>
    <t>КНИЖКИ С НАКЛЕЙКАМИ</t>
  </si>
  <si>
    <t>СЕРИЯ: БОЛЬШИЕ КРУЖОЧКИ 195х276</t>
  </si>
  <si>
    <t>260243</t>
  </si>
  <si>
    <t>БОЛЬШИЕ КРУЖОЧКИ. ДОМАШНИЕ ЖИВОТНЫЕ</t>
  </si>
  <si>
    <t>978-5-378-35732-1</t>
  </si>
  <si>
    <t>Серия «Большие кружочки» — первый шаг к логике и знаниям! В каждой брошюре 26 больших наклеек-кружочков. Ребёнок должен правильно расположить их на картинках, что помогает развить не только его мелкую моторику, но также и логическое мышление, внимание и усидчивость. Играя, ребёнок легко и естественно запоминает новые понятия, названия животных, цвета и многое другое. «Большие кружочки» идеально подходит для дома, поездок и занятий в дороге. Подарите своему ребёнку полезный досуг, который принесёт ему море удовольствия и реальную пользу!</t>
  </si>
  <si>
    <t>9785378357321</t>
  </si>
  <si>
    <t>070a03a831998bd431f1c1f425819220</t>
  </si>
  <si>
    <t>195х276х1</t>
  </si>
  <si>
    <t>260245</t>
  </si>
  <si>
    <t>БОЛЬШИЕ КРУЖОЧКИ. КТО ЧТО ЕСТ?</t>
  </si>
  <si>
    <t>978-5-378-35730-7</t>
  </si>
  <si>
    <t>9785378357307</t>
  </si>
  <si>
    <t>3665166ccd2a995f8c0b95f033be3d49</t>
  </si>
  <si>
    <t>260241</t>
  </si>
  <si>
    <t>БОЛЬШИЕ КРУЖОЧКИ. МАМА И МАЛЫШ</t>
  </si>
  <si>
    <t>978-5-378-35731-4</t>
  </si>
  <si>
    <t>9785378357314</t>
  </si>
  <si>
    <t>840dfbbc6515f34bd121c35f35c06c52</t>
  </si>
  <si>
    <t>260239</t>
  </si>
  <si>
    <t>БОЛЬШИЕ КРУЖОЧКИ. НАЙДИ ЦВЕТ</t>
  </si>
  <si>
    <t>978-5-378-35733-8</t>
  </si>
  <si>
    <t>9785378357338</t>
  </si>
  <si>
    <t>15f97b7fc108d3440eb6a0130f4265d4</t>
  </si>
  <si>
    <t>СЕРИЯ: ВЕСЁЛЫЕ УРОКИ с наклейками 195х275</t>
  </si>
  <si>
    <t>062809</t>
  </si>
  <si>
    <t>ВЕСЁЛЫЕ УРОКИ. УЧИМ ВОЛШЕБНЫЕ СЛОВА</t>
  </si>
  <si>
    <t>978-5-378-27382-9</t>
  </si>
  <si>
    <t>С брошюрами серии "Весёлые уроки" ваш ребёнок познакомится с правилами дорожного движения,научится вежливым словам,этикету и узнать,что делать в опасных ситуациях. Обучение будет проходить в виде развивающей игры. На страницах книжки малыш встретит ярко иллюстрированные правила. Он должен дополнить картинки наклейками,приклеить их на высветленные места, и закрепить знания при помощи занимательных заданий. Уроки ёщё никогда не были такими весёлыми!</t>
  </si>
  <si>
    <t>9785378273829</t>
  </si>
  <si>
    <t>12.04.2017 0:00:00</t>
  </si>
  <si>
    <t>Весёлые уроки</t>
  </si>
  <si>
    <t>СЕРИЯ: ВЕСЁЛЫЙ КОНСТРУКТОР с наклейками, картон.обл. 165х240</t>
  </si>
  <si>
    <t>186480</t>
  </si>
  <si>
    <t>ВЕСЁЛЫЙ КОНСТРУКТОР с наклейками. ЕДЕМ - ЕДЕМ</t>
  </si>
  <si>
    <t>978-5-378-33738-5</t>
  </si>
  <si>
    <t>Посмотри на эти яркие картинки! Милым персонажам на них чего-то не хватает. Угадай, какую деталь нужно добавить, найди ее на листе с наклейками и приклей. Новая серия «Весёлый конструктор» — это увлекательная игра для малышей, которая развивает воображение, внимание, мелкую моторику и позволяет с пользой провести время.</t>
  </si>
  <si>
    <t>9785378337385</t>
  </si>
  <si>
    <t>2e8aab29b3809c97feba18c2c89e2aab</t>
  </si>
  <si>
    <t>СЕРИЯ: ИГРЫ с наклейками А5, карт.обл. 164х224</t>
  </si>
  <si>
    <t>216213</t>
  </si>
  <si>
    <t>ИГРЫ с наклейками А5. ТРАНСПОРТ</t>
  </si>
  <si>
    <t>978-5-378-34516-8</t>
  </si>
  <si>
    <t>Брошюры с красочными картинками, которые нужно дополнять наклейками, станут отличным подарком для малыша! Играя, он сможет быстрее выучить слова, развить внимательность и логическое мышление.</t>
  </si>
  <si>
    <t>9785378345168</t>
  </si>
  <si>
    <t>47f6b2edf4fd2f75f701f41b10d2b0a4</t>
  </si>
  <si>
    <t>164х224х2</t>
  </si>
  <si>
    <t>СЕРИЯ: КРЕАТИВНЫЙ НАБОР С НАКЛЕЙКАМИ европодвес 230х230</t>
  </si>
  <si>
    <t>193308</t>
  </si>
  <si>
    <t>КРЕАТИВНЫЙ НАБОР С НАКЛЕЙКАМИ. ВЕСЁЛЫЕ КАРТИНКИ</t>
  </si>
  <si>
    <t>462-0-129-78034-6</t>
  </si>
  <si>
    <t>Креативные наборы с наклейками позволят малышам без клея и ножниц,  а значит, легко и безопасно сделать свои первые поделки. Раскрасьте рисунок на листе-основе и украсьте его наклейками на свой вкус. Творческие наборы способствуют развитию у детей мелкой моторики и фантазии.</t>
  </si>
  <si>
    <t>4620129780346</t>
  </si>
  <si>
    <t>240х317х1</t>
  </si>
  <si>
    <t>193304</t>
  </si>
  <si>
    <t>КРЕАТИВНЫЙ НАБОР С НАКЛЕЙКАМИ. ДЛЯ МАЛЬЧИКОВ</t>
  </si>
  <si>
    <t>462-0-129-78031-5</t>
  </si>
  <si>
    <t>4620129780315</t>
  </si>
  <si>
    <t>193306</t>
  </si>
  <si>
    <t>КРЕАТИВНЫЙ НАБОР С НАКЛЕЙКАМИ. СТИЛЬНЯШКИ</t>
  </si>
  <si>
    <t>462-0-129-78033-9</t>
  </si>
  <si>
    <t>4620129780339</t>
  </si>
  <si>
    <t>СЕРИЯ: КРУЖОЧКИ А4 с наклейками 195х276</t>
  </si>
  <si>
    <t>162107</t>
  </si>
  <si>
    <t>КРУЖОЧКИ А4 с наклейками. ДЛЯ ДЕВОЧЕК</t>
  </si>
  <si>
    <t>978-5-378-31742-4</t>
  </si>
  <si>
    <t>Новая серия "Кружочки" поможет малышу увлекательно и с пользой провести время! На каждой страничке его ждут красочные картинки и весёлые задания по приклеиванию кружочков. Это занятие надолго увлечёт ребёнка! Работа с книгой поможет развить пространственное мышление, мелкую моторику рук, воображение и аккуратность.</t>
  </si>
  <si>
    <t>9785378317424</t>
  </si>
  <si>
    <t>261c9b5b952439ddf7183bbb3722eb02</t>
  </si>
  <si>
    <t>162105</t>
  </si>
  <si>
    <t>КРУЖОЧКИ А4 с наклейками. ДЛЯ МАЛЬЧИКОВ</t>
  </si>
  <si>
    <t>978-5-378-31741-7</t>
  </si>
  <si>
    <t>9785378317417</t>
  </si>
  <si>
    <t>162099</t>
  </si>
  <si>
    <t>КРУЖОЧКИ А4 с наклейками. ЗВЕРЯТА</t>
  </si>
  <si>
    <t>978-5-378-31739-4</t>
  </si>
  <si>
    <t>9785378317394</t>
  </si>
  <si>
    <t>162102</t>
  </si>
  <si>
    <t>КРУЖОЧКИ А4 с наклейками. ОКРУЖАЮЩИЙ МИР</t>
  </si>
  <si>
    <t>978-5-378-31740-0</t>
  </si>
  <si>
    <t>9785378317400</t>
  </si>
  <si>
    <t>СЕРИЯ: НАКЛЕЙ КРУЖОЧКИ  А5 160х210</t>
  </si>
  <si>
    <t>190136</t>
  </si>
  <si>
    <t>НАКЛЕЙ КРУЖОЧКИ. ВЕСЁЛЫЕ ЗВЕРЯТА</t>
  </si>
  <si>
    <t>978-5-378-33901-3</t>
  </si>
  <si>
    <t>Весёлые герои брошюр с наклейками никому не дадут заскучать. Вместе с ними малыш побывает на арене цирка, прогуляется по берегу речки и по цветочной поляне. Простые и увлекательные задания с наклейками-кружочками направлены не только на развитие мелкой моторики и творческого мышления, но и на изучение цветов.</t>
  </si>
  <si>
    <t>9785378339013</t>
  </si>
  <si>
    <t>1a161df8910191843628fbb0d3e72739</t>
  </si>
  <si>
    <t>160х210х2</t>
  </si>
  <si>
    <t>146969</t>
  </si>
  <si>
    <t>НАКЛЕЙ КРУЖОЧКИ. ДЛЯ ДЕВОЧЕК</t>
  </si>
  <si>
    <t>978-5-378-30906-1</t>
  </si>
  <si>
    <t>9785378309061</t>
  </si>
  <si>
    <t>146970</t>
  </si>
  <si>
    <t>НАКЛЕЙ КРУЖОЧКИ. ДЛЯ МАЛЬЧИКОВ</t>
  </si>
  <si>
    <t>978-5-378-30907-8</t>
  </si>
  <si>
    <t>9785378309078</t>
  </si>
  <si>
    <t>146972</t>
  </si>
  <si>
    <t>НАКЛЕЙ КРУЖОЧКИ. НА ФЕРМЕ</t>
  </si>
  <si>
    <t>978-5-378-30908-5</t>
  </si>
  <si>
    <t>9785378309085</t>
  </si>
  <si>
    <t>126669</t>
  </si>
  <si>
    <t>НАКЛЕЙ КРУЖОЧКИ. НАКЛЕЙ ПО ОБРАЗЦУ</t>
  </si>
  <si>
    <t>978-5-378-29949-2</t>
  </si>
  <si>
    <t>9785378299492</t>
  </si>
  <si>
    <t>126670</t>
  </si>
  <si>
    <t>НАКЛЕЙ КРУЖОЧКИ. ОКРУЖАЮЩИЙ МИР</t>
  </si>
  <si>
    <t>978-5-378-29950-8</t>
  </si>
  <si>
    <t>9785378299508</t>
  </si>
  <si>
    <t>108323</t>
  </si>
  <si>
    <t>НАКЛЕЙ КРУЖОЧКИ. ПОДБЕРИ ПРАВИЛЬНО!</t>
  </si>
  <si>
    <t>978-5-378-29174-8</t>
  </si>
  <si>
    <t>9785378291748</t>
  </si>
  <si>
    <t>108325</t>
  </si>
  <si>
    <t>НАКЛЕЙ КРУЖОЧКИ. ПОСЧИТАЙ САМ!</t>
  </si>
  <si>
    <t>978-5-378-29175-5</t>
  </si>
  <si>
    <t>9785378291755</t>
  </si>
  <si>
    <t>СЕРИЯ: НАКЛЕЙКИ "СОБЕРИ СВОЕГО МОНСТРА" мелов.обл. 160х230</t>
  </si>
  <si>
    <t>195142</t>
  </si>
  <si>
    <t>НАКЛЕЙКИ "СОБЕРИ СВОЕГО МОНСТРА" ЛЮБИМЫЕ  МОНСТРЫ</t>
  </si>
  <si>
    <t>978-5-378-34081-1</t>
  </si>
  <si>
    <t>Собери своего монстрика и придумай ему имя! Представляем новую серию, в которую вошли четыре книжки: «Веселые монстры», «Няшные монстры», «Страшные монстры», «Любимые монстры». В каждой – по восемь картинок-основ, на которые нужно наклеить подходящие элементы с разворота с наклейками. На задней стороне обложки показаны примеры «комплектаций» героев, но каждый обладатель этих милых брошюр, развивающих фантазию, может предложить свои неповторимые варианты.</t>
  </si>
  <si>
    <t>9785378340811</t>
  </si>
  <si>
    <t>9c547be1d00afb8f787dac588f449aa5</t>
  </si>
  <si>
    <t>160х230х1</t>
  </si>
  <si>
    <t>195138</t>
  </si>
  <si>
    <t>НАКЛЕЙКИ "СОБЕРИ СВОЕГО МОНСТРА" СТРАШНЫЕ МОНСТРЫ</t>
  </si>
  <si>
    <t>978-5-378-34079-8</t>
  </si>
  <si>
    <t>9785378340798</t>
  </si>
  <si>
    <t xml:space="preserve">СЕРИЯ: НАКЛЕЙКИ "ЧУДЕСНЫЕ НАРЯДЫ" мелов.обл. 4 листа 160х230 </t>
  </si>
  <si>
    <t>253358</t>
  </si>
  <si>
    <t>НАКЛЕЙКИ "ЧУДЕСНЫЕ НАРЯДЫ" МОДНИЦЫ</t>
  </si>
  <si>
    <t>978-5-378-35572-3</t>
  </si>
  <si>
    <t>В книжках серии «Чудесные наряды» ты найдёшь более 50 ярких наклеек: предметы одежды, обувь и аксессуары. Собери неповторимый образ для каждого события!</t>
  </si>
  <si>
    <t>9785378355723</t>
  </si>
  <si>
    <t>242777cc0dc73eb1a8b37096d221e903</t>
  </si>
  <si>
    <t>253359</t>
  </si>
  <si>
    <t>НАКЛЕЙКИ "ЧУДЕСНЫЕ НАРЯДЫ" ПРИНЦЕССЫ</t>
  </si>
  <si>
    <t>978-5-378-35575-4</t>
  </si>
  <si>
    <t>9785378355754</t>
  </si>
  <si>
    <t>253360</t>
  </si>
  <si>
    <t>НАКЛЕЙКИ "ЧУДЕСНЫЕ НАРЯДЫ" СУПЕРЗВЕЗДА</t>
  </si>
  <si>
    <t>978-5-378-35573-0</t>
  </si>
  <si>
    <t>9785378355730</t>
  </si>
  <si>
    <t>253357</t>
  </si>
  <si>
    <t>НАКЛЕЙКИ "ЧУДЕСНЫЕ НАРЯДЫ" ТАНЦЫ</t>
  </si>
  <si>
    <t>978-5-378-35574-7</t>
  </si>
  <si>
    <t>9785378355747</t>
  </si>
  <si>
    <t>СЕРИЯ: РАЗВИВАЮЩИЕ НАКЛЕЙКИ мелов.обл 140х195</t>
  </si>
  <si>
    <t>245206</t>
  </si>
  <si>
    <t>РАЗВИВАЮЩИЕ НАКЛЕЙКИ. ДИКИЕ ЖИВОТНЫЕ</t>
  </si>
  <si>
    <t>978-5-378-35395-8</t>
  </si>
  <si>
    <t>Представляем серию «Развивающие наклейки». Это идеальный подарок для малышей, которые любят творчество! В брошюре 8 страниц с интересными иллюстрациями. В книге также есть 4 листа с яркими наклейками, которые нужно поместить на соответствующие пустые места на страницах. В серии 4 брошюры на любой вкус: дикие и домашние животные, машины и милые приключения для девочек.
Серия «Развивающие наклейки» поможет развить художественные навыки, воображение и мелкую моторику. Подарите ребёнку радость и возможность окунуться в мир творчества!</t>
  </si>
  <si>
    <t>9785378353958</t>
  </si>
  <si>
    <t>140х195х1</t>
  </si>
  <si>
    <t>245209</t>
  </si>
  <si>
    <t>РАЗВИВАЮЩИЕ НАКЛЕЙКИ. ДЛЯ ДЕВОЧЕК</t>
  </si>
  <si>
    <t>978-5-378-35397-2</t>
  </si>
  <si>
    <t>9785378353972</t>
  </si>
  <si>
    <t>245208</t>
  </si>
  <si>
    <t>РАЗВИВАЮЩИЕ НАКЛЕЙКИ. ДЛЯ МАЛЬЧИШЕК</t>
  </si>
  <si>
    <t>978-5-378-35396-5</t>
  </si>
  <si>
    <t>9785378353965</t>
  </si>
  <si>
    <t>245191</t>
  </si>
  <si>
    <t>РАЗВИВАЮЩИЕ НАКЛЕЙКИ. ДОМАШНИЕ ЖИВОТНЫЕ</t>
  </si>
  <si>
    <t>978-5-378-35394-1</t>
  </si>
  <si>
    <t>9785378353941</t>
  </si>
  <si>
    <t>СЕРИЯ: РАСКРАСКА "ОТ ТОЧКИ К ТОЧКЕ С НАКЛЕЙКАМИ" 195х276</t>
  </si>
  <si>
    <t>249486</t>
  </si>
  <si>
    <t>РАСКРАСКА. ОТ ТОЧКИ К ТОЧКЕ С НАКЛЕЙКАМИ. ВОЛШЕБНЫЙ МИР</t>
  </si>
  <si>
    <t>978-5-378-35505-1</t>
  </si>
  <si>
    <t>Новая серия раскрасок с наклейками "От точки к точке с наклейками" подарит вашим детям увлекательные часы творчества и развлечений. В эту серию входят четыре раскраски формата чуть меньше А4 (195х276 мм): "Транспорт", "Животные", "Динозавры" и "Волшебный мир", каждая из которых содержит 12 сюжетов на 6 листах, плюс лист с наклейками. На каждой странице ребёнку необходимо соединить точки, чтобы получить контур основных объектов, а после раскрасить их и дополнить свои творения яркими наклейками, следуя подсказками художника. Всё это не только увлекательно, но и способствует развитию логического мышления. Серия "От точки к точке с наклейками" станет замечательным подарком для детей от 4 лет и старше, вдохновляя их на создание собственных шедевров!</t>
  </si>
  <si>
    <t>9785378355051</t>
  </si>
  <si>
    <t>4e7f94d3dadde9946cbf3783cbfd59aa</t>
  </si>
  <si>
    <t>249489</t>
  </si>
  <si>
    <t>РАСКРАСКА. ОТ ТОЧКИ К ТОЧКЕ С НАКЛЕЙКАМИ. ДИНОЗАВРЫ</t>
  </si>
  <si>
    <t>978-5-378-35508-2</t>
  </si>
  <si>
    <t>9785378355082</t>
  </si>
  <si>
    <t>3a43d1f92188adc93e3980f8a881e66d</t>
  </si>
  <si>
    <t>249488</t>
  </si>
  <si>
    <t>РАСКРАСКА. ОТ ТОЧКИ К ТОЧКЕ С НАКЛЕЙКАМИ. ЖИВОТНЫЕ</t>
  </si>
  <si>
    <t>978-5-378-35507-5</t>
  </si>
  <si>
    <t>9785378355075</t>
  </si>
  <si>
    <t>e43d60676ae0b3a0b427f24f0cac781a</t>
  </si>
  <si>
    <t>249487</t>
  </si>
  <si>
    <t>РАСКРАСКА. ОТ ТОЧКИ К ТОЧКЕ С НАКЛЕЙКАМИ. ТРАНСПОРТ</t>
  </si>
  <si>
    <t>978-5-378-35506-8</t>
  </si>
  <si>
    <t>9785378355068</t>
  </si>
  <si>
    <t>c086a1cb49ce1089e874af826c409e8a</t>
  </si>
  <si>
    <t>СЕРИЯ: РАСКРАСКА С НАКЛЕЙКАМИ 16стр глянц.ламин, картон. обл 300х470</t>
  </si>
  <si>
    <t>245227</t>
  </si>
  <si>
    <t>РАСКРАСКА С НАКЛЕЙКАМИ. ДОМАШНИЕ ЖИВОТНЫЕ</t>
  </si>
  <si>
    <t>978-5-378-35387-3</t>
  </si>
  <si>
    <t>Итак, располагайтесь поудобнее, берите в руки карандаши или фломастеры и начинайте творить! Новые раскраски макси-формата развивают мелкую моторику и воображение, но самое главное — внутри два листа с наклейками, которыми можно дополнить рисунок, украсить блокнот или альбом.</t>
  </si>
  <si>
    <t>9785378353873</t>
  </si>
  <si>
    <t>492ae86da42f45b5b9f3ad10f0ff8b1c</t>
  </si>
  <si>
    <t>296х474х2</t>
  </si>
  <si>
    <t>245226</t>
  </si>
  <si>
    <t>РАСКРАСКА С НАКЛЕЙКАМИ. МАМЫ И ДЕТКИ</t>
  </si>
  <si>
    <t>978-5-378-35386-6</t>
  </si>
  <si>
    <t>9785378353866</t>
  </si>
  <si>
    <t>245224</t>
  </si>
  <si>
    <t>РАСКРАСКА С НАКЛЕЙКАМИ. ТРАНСПОРТ</t>
  </si>
  <si>
    <t>978-5-378-35384-2</t>
  </si>
  <si>
    <t>9785378353842</t>
  </si>
  <si>
    <t>СЕРИЯ: РАСКРАСКА С НАКЛЕЙКАМИ 24стр 197х276</t>
  </si>
  <si>
    <t>170407</t>
  </si>
  <si>
    <t>Раскраска с заданиями. Занимательные картинки</t>
  </si>
  <si>
    <t>978-5-378-32178-0</t>
  </si>
  <si>
    <t>9785378321780</t>
  </si>
  <si>
    <t>197х276х2</t>
  </si>
  <si>
    <t>170411</t>
  </si>
  <si>
    <t>Раскраска с заданиями. Умные рисовалки</t>
  </si>
  <si>
    <t>978-5-378-32180-3</t>
  </si>
  <si>
    <t>9785378321803</t>
  </si>
  <si>
    <t>170403</t>
  </si>
  <si>
    <t>Чёрная раскраска с заданиями. Для мальчиков</t>
  </si>
  <si>
    <t>978-5-378-32175-9</t>
  </si>
  <si>
    <t>9785378321759</t>
  </si>
  <si>
    <t>170401</t>
  </si>
  <si>
    <t>Чёрная раскраска с заданиями. Про монстриков</t>
  </si>
  <si>
    <t>978-5-378-32173-5</t>
  </si>
  <si>
    <t>9785378321735</t>
  </si>
  <si>
    <t>СЕРИЯ: РАСКРАСКИ с блестящими наклейками 195х276</t>
  </si>
  <si>
    <t>126712</t>
  </si>
  <si>
    <t>РАСКРАСКА с блестящими наклейками. МИЛЫЕ ЗВЕРЯТА</t>
  </si>
  <si>
    <t>978-5-378-30012-9</t>
  </si>
  <si>
    <t>Новая серия раскрасок с блестящими наклейками обязательно понравятся девчонкам! Раскрашивать милых персонажей и дополнять странички яркими наклейками - здорово и интересно!</t>
  </si>
  <si>
    <t>9785378300129</t>
  </si>
  <si>
    <t>СЕРИЯ: РАСКРАСКИ с сияющими наклейками 195х276</t>
  </si>
  <si>
    <t>233209</t>
  </si>
  <si>
    <t>РАСКРАСКИ с сияющими наклейками. АНИМЕ</t>
  </si>
  <si>
    <t>978-5-378-34868-8</t>
  </si>
  <si>
    <t>Серия раскрасок "Раскраска с сияющими наклейками" придутся по вкусу маленьким любителям рисования. Внутри так много милых картинок, которые не оставят равнодушным ни одного малыша.
В комплекте к каждой раскраске идут наклейки, они покрыты блёстками и классно сияют!</t>
  </si>
  <si>
    <t>9785378348688</t>
  </si>
  <si>
    <t>9a4a76b5428c444b7238f964eebc8b97</t>
  </si>
  <si>
    <t>233210</t>
  </si>
  <si>
    <t>РАСКРАСКИ с сияющими наклейками. ДОМАШНИЕ ЛЮБИМЦЫ</t>
  </si>
  <si>
    <t>978-5-378-34867-1</t>
  </si>
  <si>
    <t>9785378348671</t>
  </si>
  <si>
    <t>233211</t>
  </si>
  <si>
    <t>РАСКРАСКИ с сияющими наклейками. ЕДИНОРОГИ</t>
  </si>
  <si>
    <t>978-5-378-34869-5</t>
  </si>
  <si>
    <t>9785378348695</t>
  </si>
  <si>
    <t>128332</t>
  </si>
  <si>
    <t>РАСКРАСКИ с сияющими наклейками. ПОНИ</t>
  </si>
  <si>
    <t>978-5-378-30114-0</t>
  </si>
  <si>
    <t>Серия раскрасок "Раскраска с сияющими наклейками" удивит маленьких любителей рисования. Внутри так много красивых и милых картинок, которые не оставят равнодушным ни одного малыша: котики, милые зверушки, щеночки и пони! Особенным открытием станут наклейки - они покрыты блестками и сверкают, словно волшебные.</t>
  </si>
  <si>
    <t>9785378301140</t>
  </si>
  <si>
    <t>233206</t>
  </si>
  <si>
    <t>РАСКРАСКИ с сияющими наклейками. ПРИНЦЕССЫ</t>
  </si>
  <si>
    <t>978-5-378-34870-1</t>
  </si>
  <si>
    <t>9785378348701</t>
  </si>
  <si>
    <t>128334</t>
  </si>
  <si>
    <t>РАСКРАСКИ с сияющими наклейками. ЩЕНОЧКИ</t>
  </si>
  <si>
    <t>978-5-378-30113-3</t>
  </si>
  <si>
    <t>9785378301133</t>
  </si>
  <si>
    <t>СЕРИЯ: РАСКРАСЬ НАКЛЕЙКАМИ ПО НОМЕРАМ глянц.ламин.картон.обл 195х276</t>
  </si>
  <si>
    <t>213313</t>
  </si>
  <si>
    <t>РАСКРАСЬ НАКЛЕЙКАМИ ПО НОМЕРАМ. ВОЛШЕБНЫЙ МИР</t>
  </si>
  <si>
    <t>978-5-378-34466-6</t>
  </si>
  <si>
    <t>Думаете, в раскрасках можно рисовать только маркерами, фломастерами и карандашами? Серия «Раскрась наклейками» ломает этот стереотип и позволяет создавать с помощью наклеек по номерам геометрические или полигональные изображения. В каждой брошюре юных художников ждут красочные иллюстрации кошек, динозавров, животных, персонажей волшебного мира и более двухсот наклеек!</t>
  </si>
  <si>
    <t>9785378344666</t>
  </si>
  <si>
    <t>251792</t>
  </si>
  <si>
    <t>РАСКРАСЬ НАКЛЕЙКАМИ ПО НОМЕРАМ. ДОСТОПРИМЕЧАТЕЛЬНОСТИ РОССИИ</t>
  </si>
  <si>
    <t>978-5-378-35553-2</t>
  </si>
  <si>
    <t>Думаете, в раскрасках можно рисовать только маркерами, фломастерами и карандашами? Серия «Раскрась наклейками» ломает этот стереотип и позволяет создавать с помощью наклеек по номерам геометрические или полигональные изображения. В каждой брошюре юных художников ждут красочные иллюстрации и около трёхсот наклеек!</t>
  </si>
  <si>
    <t>9785378355532</t>
  </si>
  <si>
    <t>409c71e4cc1c16124bce834157378284</t>
  </si>
  <si>
    <t>213314</t>
  </si>
  <si>
    <t>РАСКРАСЬ НАКЛЕЙКАМИ ПО НОМЕРАМ. ЖИВОТНЫЕ</t>
  </si>
  <si>
    <t>978-5-378-34467-3</t>
  </si>
  <si>
    <t>9785378344673</t>
  </si>
  <si>
    <t>251789</t>
  </si>
  <si>
    <t>РАСКРАСЬ НАКЛЕЙКАМИ ПО НОМЕРАМ. МАШИНЫ</t>
  </si>
  <si>
    <t>978-5-378-35552-5</t>
  </si>
  <si>
    <t>9785378355525</t>
  </si>
  <si>
    <t>251787</t>
  </si>
  <si>
    <t>РАСКРАСЬ НАКЛЕЙКАМИ ПО НОМЕРАМ. СОБАКИ</t>
  </si>
  <si>
    <t>978-5-378-35551-8</t>
  </si>
  <si>
    <t>9785378355518</t>
  </si>
  <si>
    <t>251795</t>
  </si>
  <si>
    <t>РАСКРАСЬ НАКЛЕЙКАМИ ПО НОМЕРАМ. ЦВЕТЫ</t>
  </si>
  <si>
    <t>978-5-378-35554-9</t>
  </si>
  <si>
    <t>9785378355549</t>
  </si>
  <si>
    <t>СЕРИЯ: СИЯЮЩИЕ НАКЛЕЙКИ  200х280</t>
  </si>
  <si>
    <t>142208</t>
  </si>
  <si>
    <t>СИЯЮЩИЕ НАКЛЕЙКИ. ВОЛШЕБНЫЕ ЛОШАДКИ</t>
  </si>
  <si>
    <t>978-5-378-30746-3</t>
  </si>
  <si>
    <t>Серия "Сияющие наклейки" станет крутым подарком для каждой девочки! Ведь в этих брошюрах целых 4 больших листа с наклейками. Наклейки покрыты блёстками и классно сияют!</t>
  </si>
  <si>
    <t>9785378307463</t>
  </si>
  <si>
    <t>200х208х2</t>
  </si>
  <si>
    <t>142207</t>
  </si>
  <si>
    <t>СИЯЮЩИЕ НАКЛЕЙКИ. ПУШИСТИКИ</t>
  </si>
  <si>
    <t>978-5-378-30745-6</t>
  </si>
  <si>
    <t>9785378307456</t>
  </si>
  <si>
    <t xml:space="preserve">СЕРИЯ: СКАЗКА С НАКЛЕЙКАМИ картон.обл.195х276 </t>
  </si>
  <si>
    <t>264374</t>
  </si>
  <si>
    <t>СКАЗКА С НАКЛЕЙКАМИ. ЗАЮШКИНА ИЗБУШКА</t>
  </si>
  <si>
    <t>978-5-378-35830-4</t>
  </si>
  <si>
    <t>Замечательный подарок для самых маленьких! Читайте сказки и украшайте иллюстрации наклейками.</t>
  </si>
  <si>
    <t>9785378358304</t>
  </si>
  <si>
    <t>494ba0c41dfc09ec7b7c709587a8c82a</t>
  </si>
  <si>
    <t>264375</t>
  </si>
  <si>
    <t>СКАЗКА С НАКЛЕЙКАМИ. КОЛОБОК</t>
  </si>
  <si>
    <t>978-5-378-35831-1</t>
  </si>
  <si>
    <t>9785378358311</t>
  </si>
  <si>
    <t>ad073461c301f860777308bfa5f5e0fe</t>
  </si>
  <si>
    <t>264377</t>
  </si>
  <si>
    <t>СКАЗКА С НАКЛЕЙКАМИ. РЕПКА</t>
  </si>
  <si>
    <t>978-5-378-35832-8</t>
  </si>
  <si>
    <t>9785378358328</t>
  </si>
  <si>
    <t>b354056e0829672ce534f904214096ff</t>
  </si>
  <si>
    <t>264372</t>
  </si>
  <si>
    <t>СКАЗКА С НАКЛЕЙКАМИ. ТЕРЕМОК</t>
  </si>
  <si>
    <t>978-5-378-35829-8</t>
  </si>
  <si>
    <t>9785378358298</t>
  </si>
  <si>
    <t>9da31df74ba155af595c688132ca0656</t>
  </si>
  <si>
    <t xml:space="preserve">СЕРИЯ: СКАЗКИ ЧУКОВСКОГО С НАКЛЕЙКАМИ 160х225 </t>
  </si>
  <si>
    <t>260246</t>
  </si>
  <si>
    <t>СКАЗКИ ЧУКОВСКОГО С НАКЛЕЙКАМИ. МУХА-ЦОКОТУХА</t>
  </si>
  <si>
    <t>978-5-378-35722-2</t>
  </si>
  <si>
    <t>Серия "Сказки с наклейками" представлена несколькими наименованиями: «Айболит», «Телефон», «Мойдодыр» и «Муха-Цокотуха». В этих брошюрах - классические тексты сказок К. И. Чуковского с яркими картинками и наклейками. На каждом развороте есть место для наклейки, что делает брошюры интерактивными, развивая внимание и мелкую моторику.</t>
  </si>
  <si>
    <t>9785378357222</t>
  </si>
  <si>
    <t>5e2aa574c0bf9c70d68464eec2dc5733</t>
  </si>
  <si>
    <t>160х225х1</t>
  </si>
  <si>
    <t>ПРОПИСИ</t>
  </si>
  <si>
    <t>СЕРИЯ: АНГЛИЙСКИЕ ПРОПИСИ 195х276</t>
  </si>
  <si>
    <t>074613</t>
  </si>
  <si>
    <t>АНГЛИЙСКИЕ ПРОПИСИ. ПИШЕМ БУКВЫ И СЛОВА</t>
  </si>
  <si>
    <t>978-5-378-27940-1</t>
  </si>
  <si>
    <t>Английские прописи помогут начинающим ученикам выучить английский алфавит, освоить написание английских букв и первых слов.</t>
  </si>
  <si>
    <t>9785378279401</t>
  </si>
  <si>
    <t>23.11.2017 0:00:00</t>
  </si>
  <si>
    <t>Английские прописи</t>
  </si>
  <si>
    <t>074614</t>
  </si>
  <si>
    <t>АНГЛИЙСКИЕ ПРОПИСИ. ПИШЕМ БУКВЫ И ЦИФРЫ</t>
  </si>
  <si>
    <t>978-5-378-27939-5</t>
  </si>
  <si>
    <t>9785378279395</t>
  </si>
  <si>
    <t>СЕРИЯ: АНГЛИЙСКИЕ ПРОПИСИ А5 165х205</t>
  </si>
  <si>
    <t>152578</t>
  </si>
  <si>
    <t>АНГЛИЙСКИЕ ПРОПИСИ А5. ПИШУ И ИГРАЮ</t>
  </si>
  <si>
    <t>978-5-378-31041-8</t>
  </si>
  <si>
    <t>Английские прописи с цветными картинками помогут ребёнку потренироваться в написании букв, цифр, слов и даже самых распространённых фраз на английском языке. В серии 4 тетради, которые хорошо дополняют друг друга-уровень сложности повышается постепенно, а последняя тетрадь с головоломками и играми предназначена для закрепления материала.</t>
  </si>
  <si>
    <t>9785378310418</t>
  </si>
  <si>
    <t>205х165х3</t>
  </si>
  <si>
    <t>СЕРИЯ: Большая активити с наклейками 235х330</t>
  </si>
  <si>
    <t>147189</t>
  </si>
  <si>
    <t>Большая активити пропись. Готовим руку к письму</t>
  </si>
  <si>
    <t>978-5-378-30934-4</t>
  </si>
  <si>
    <t>Чем занять ребенка, чтобы он провел время с пользой и удовольствием? У нас есть ответ. Серия больших активити книг! В неё входят 24 различных сборников с интересными играми и развивающими заданиями. Прописи с яркими картинками для подготовки к письму и красивого почерка, увлекательные лабиринты, раскраски, весёлые головоломки, а также нескучные задания по русскому и математике для детей от 5 и 7 лет. С такими книгами ребенок сам не заметит, как в игре закрепит свои знания и получить новые. Можно заниматься и дома, и в дороге.</t>
  </si>
  <si>
    <t>9785378309344</t>
  </si>
  <si>
    <t>147187</t>
  </si>
  <si>
    <t>Большая активити пропись. Каллиграфия</t>
  </si>
  <si>
    <t>978-5-378-30932-0</t>
  </si>
  <si>
    <t>9785378309320</t>
  </si>
  <si>
    <t>147185</t>
  </si>
  <si>
    <t>Большая активити пропись. Клетка и штриховка</t>
  </si>
  <si>
    <t>978-5-378-30931-3</t>
  </si>
  <si>
    <t>9785378309313</t>
  </si>
  <si>
    <t>147183</t>
  </si>
  <si>
    <t>Большая активити пропись. Обведи и нарисуй</t>
  </si>
  <si>
    <t>978-5-378-30930-6</t>
  </si>
  <si>
    <t>9785378309306</t>
  </si>
  <si>
    <t>147188</t>
  </si>
  <si>
    <t>Большая активити пропись. Учимся писать</t>
  </si>
  <si>
    <t>978-5-378-30933-7</t>
  </si>
  <si>
    <t>9785378309337</t>
  </si>
  <si>
    <t>147182</t>
  </si>
  <si>
    <t>Большая активити пропись. Учимся рисовать</t>
  </si>
  <si>
    <t>978-5-378-30929-0</t>
  </si>
  <si>
    <t>9785378309290</t>
  </si>
  <si>
    <t>147195</t>
  </si>
  <si>
    <t>Большая активити раскраска. Занимательные картинки</t>
  </si>
  <si>
    <t>978-5-378-30938-2</t>
  </si>
  <si>
    <t>9785378309382</t>
  </si>
  <si>
    <t>147197</t>
  </si>
  <si>
    <t>Большая активити раскраска. Играем и рисуем</t>
  </si>
  <si>
    <t>978-5-378-30939-9</t>
  </si>
  <si>
    <t>9785378309399</t>
  </si>
  <si>
    <t>СЕРИЯ: ВСЕ ПРОПИСИ А5 мелован. бумага 162х210</t>
  </si>
  <si>
    <t>110571</t>
  </si>
  <si>
    <t>ВСЕ ПРОПИСИ А5. ГОТОВИМ РУКУ К ПИСЬМУ</t>
  </si>
  <si>
    <t>978-5-378-29305-6</t>
  </si>
  <si>
    <t>Серия "Все прописи" поможет малышу научиться писать сначала штрихи, палочки и крючки, а затем цифры и буквы английского и русского алфавитов. Также в прописях серии малыша ждут раскраски и забавные картинки, которые сделают процесс обучения более весёлым и интересным.</t>
  </si>
  <si>
    <t>9785378293056</t>
  </si>
  <si>
    <t>162х210х4</t>
  </si>
  <si>
    <t>124218</t>
  </si>
  <si>
    <t>ВСЕ ПРОПИСИ А5. ДЛЯ ДОШКОЛЯТ</t>
  </si>
  <si>
    <t>978-5-378-29878-5</t>
  </si>
  <si>
    <t>В брошюре "Все прописи для дошколят" - это издание, которое в занимательной форме поможет ребёнку выучить буквы и цифры, а также развить внимание и логику мышления.</t>
  </si>
  <si>
    <t>9785378298785</t>
  </si>
  <si>
    <t>124217</t>
  </si>
  <si>
    <t>ВСЕ ПРОПИСИ А5. КАЛЛИГРАФИЧЕСКИЕ</t>
  </si>
  <si>
    <t>978-5-378-29837-2</t>
  </si>
  <si>
    <t>В брошюре "Все каллиграфические прописи" представлены буквы, соединения букв, слова, целые предложения, а также цифры и несложные задания, которые соответствуют уровню первоклассника.</t>
  </si>
  <si>
    <t>9785378298372</t>
  </si>
  <si>
    <t>СЕРИЯ: КАЛЛИГРАФИЧЕСКАЯ ПРОПИСЬ А4 195х276</t>
  </si>
  <si>
    <t>044668</t>
  </si>
  <si>
    <t>КАЛЛИГРАФИЧЕСКАЯ ПРОПИСЬ А4. ПИШЕМ СЛОВА</t>
  </si>
  <si>
    <t>978-5-378-26400-1</t>
  </si>
  <si>
    <t>Серия "Каллиграфическая пропись" предназначена для детей старшего дошкольного и младшего школьного возраста. Она познакомит ребёнка с правильным написанием букв,слогов,слов и цифр. Занятия по пособиям этой серии помогут малышу научиться координировать мелкие движения руки,разовьют усидчивость и позволят чувствовать себя увереннее на школьных уроках письма.</t>
  </si>
  <si>
    <t>9785378264001</t>
  </si>
  <si>
    <t>15.05.2018 0:00:00</t>
  </si>
  <si>
    <t>Каллигарфические прописи</t>
  </si>
  <si>
    <t>044669</t>
  </si>
  <si>
    <t>КАЛЛИГРАФИЧЕСКАЯ ПРОПИСЬ А4. ПИШЕМ СЛОГИ</t>
  </si>
  <si>
    <t>978-5-378-26401-8</t>
  </si>
  <si>
    <t>9785378264018</t>
  </si>
  <si>
    <t>044670</t>
  </si>
  <si>
    <t>КАЛЛИГРАФИЧЕСКАЯ ПРОПИСЬ А4. ПИШЕМ СЛОГИ И СЛОВА</t>
  </si>
  <si>
    <t>978-5-378-26402-5</t>
  </si>
  <si>
    <t>9785378264025</t>
  </si>
  <si>
    <t>СЕРИЯ: КАЛЛИГРАФИЧЕСКАЯ ПРОПИСЬ А5   143х197</t>
  </si>
  <si>
    <t>044677</t>
  </si>
  <si>
    <t>КАЛЛИГРАФИЧЕСКАЯ ПРОПИСЬ А5. ПИШЕМ СЛОВА</t>
  </si>
  <si>
    <t>978-5-378-26408-7</t>
  </si>
  <si>
    <t>9785378264087</t>
  </si>
  <si>
    <t>143х197х2</t>
  </si>
  <si>
    <t>СЕРИЯ: КАЛЛИГРАФИЧЕСКАЯ ПРОПИСЬ А5 альбомная   200х140</t>
  </si>
  <si>
    <t>044682</t>
  </si>
  <si>
    <t>КАЛЛИГРАФИЧЕСКАЯ ПРОПИСЬ А5. альбомная. ПИШЕМ БУКВЫ И ЦИФРЫ</t>
  </si>
  <si>
    <t>978-5-378-26412-4</t>
  </si>
  <si>
    <t>9785378264124</t>
  </si>
  <si>
    <t>200х140х2</t>
  </si>
  <si>
    <t>044684</t>
  </si>
  <si>
    <t>КАЛЛИГРАФИЧЕСКАЯ ПРОПИСЬ А5. альбомная. ПИШЕМ ПРОПИСНЫЕ БУКВЫ</t>
  </si>
  <si>
    <t>978-5-378-26414-8</t>
  </si>
  <si>
    <t>9785378264148</t>
  </si>
  <si>
    <t>044686</t>
  </si>
  <si>
    <t>КАЛЛИГРАФИЧЕСКАЯ ПРОПИСЬ А5. альбомная. ПИШЕМ СЛОВА</t>
  </si>
  <si>
    <t>978-5-378-26416-2</t>
  </si>
  <si>
    <t>9785378264162</t>
  </si>
  <si>
    <t>044687</t>
  </si>
  <si>
    <t>КАЛЛИГРАФИЧЕСКАЯ ПРОПИСЬ А5. альбомная. ПИШЕМ СЛОГИ</t>
  </si>
  <si>
    <t>978-5-378-26417-9</t>
  </si>
  <si>
    <t>9785378264179</t>
  </si>
  <si>
    <t>044688</t>
  </si>
  <si>
    <t>КАЛЛИГРАФИЧЕСКАЯ ПРОПИСЬ А5. альбомная. ПИШЕМ СЛОГИ И СЛОВА</t>
  </si>
  <si>
    <t>978-5-378-26418-6</t>
  </si>
  <si>
    <t>9785378264186</t>
  </si>
  <si>
    <t>044685</t>
  </si>
  <si>
    <t>КАЛЛИГРАФИЧЕСКАЯ ПРОПИСЬ А5. альбомная. ПИШЕМ СТРОЧНЫЕ БУКВЫ</t>
  </si>
  <si>
    <t>978-5-378-26415-5</t>
  </si>
  <si>
    <t>9785378264155</t>
  </si>
  <si>
    <t>044689</t>
  </si>
  <si>
    <t>КАЛЛИГРАФИЧЕСКАЯ ПРОПИСЬ А5. альбомная. ПИШЕМ ЦИФРЫ, БУКВЫ, СЛОГИ</t>
  </si>
  <si>
    <t>978-5-378-26419-3</t>
  </si>
  <si>
    <t>9785378264193</t>
  </si>
  <si>
    <t>СЕРИЯ: Каллиграфические прописи Аниме А4, глянц.ламин. мелов.обл.195х276</t>
  </si>
  <si>
    <t>220105</t>
  </si>
  <si>
    <t>Каллиграфические прописи Аниме. ДЛЯ АККУРАТНОГО ПОЧЕРКА</t>
  </si>
  <si>
    <t>978-5-378-34575-5</t>
  </si>
  <si>
    <t>Каллиграфические прописи помогут школьникам отработать правильное написание букв, слогов и слов и улучшить почерк, сделав его более аккуратным и разборчивым.</t>
  </si>
  <si>
    <t>9785378345755</t>
  </si>
  <si>
    <t>211274</t>
  </si>
  <si>
    <t>Каллиграфические прописи Аниме. ДЛЯ КРАСИВОГО ПОЧЕРКА</t>
  </si>
  <si>
    <t>978-5-378-34412-3</t>
  </si>
  <si>
    <t>9785378344123</t>
  </si>
  <si>
    <t>211275</t>
  </si>
  <si>
    <t>Каллиграфические прописи Аниме. ПИШЕМ БУКВЫ ПРАВИЛЬНО</t>
  </si>
  <si>
    <t>978-5-378-34413-0</t>
  </si>
  <si>
    <t>9785378344130</t>
  </si>
  <si>
    <t>220108</t>
  </si>
  <si>
    <t>Каллиграфические прописи Аниме. ПИШЕМ КРАСИВО И АККУРАТНО</t>
  </si>
  <si>
    <t>978-5-378-34578-6</t>
  </si>
  <si>
    <t>9785378345786</t>
  </si>
  <si>
    <t>211276</t>
  </si>
  <si>
    <t>Каллиграфические прописи Аниме. ПИШУ ЧИСТО И РАЗБОРЧИВО</t>
  </si>
  <si>
    <t>978-5-378-34414-7</t>
  </si>
  <si>
    <t>9785378344147</t>
  </si>
  <si>
    <t>220107</t>
  </si>
  <si>
    <t>Каллиграфические прописи Аниме. УРОКИ ЧИСТОПИСАНИЯ</t>
  </si>
  <si>
    <t>978-5-378-34577-9</t>
  </si>
  <si>
    <t>9785378345779</t>
  </si>
  <si>
    <t>211277</t>
  </si>
  <si>
    <t>Каллиграфические прописи Аниме. УЧИМСЯ ПИСАТЬ АККУРАТНО</t>
  </si>
  <si>
    <t>978-5-378-34415-4</t>
  </si>
  <si>
    <t>9785378344154</t>
  </si>
  <si>
    <t>220106</t>
  </si>
  <si>
    <t>Каллиграфические прописи Аниме. ФОРМИРУЕМ ХОРОШИЙ ПОЧЕРК</t>
  </si>
  <si>
    <t>978-5-378-34576-2</t>
  </si>
  <si>
    <t>9785378345762</t>
  </si>
  <si>
    <t>СЕРИЯ: Каллиграфические прописи Аниме А5, глянц.ламин. мелов.обл.143х196</t>
  </si>
  <si>
    <t>220110</t>
  </si>
  <si>
    <t>Каллиграфические прописи Аниме А5. ПИШЕМ БУКВЫ ПРАВИЛЬНО</t>
  </si>
  <si>
    <t>978-5-378-34589-2</t>
  </si>
  <si>
    <t>9785378345892</t>
  </si>
  <si>
    <t>736d2981b34d9714f9ba86d1f0bd4c8d</t>
  </si>
  <si>
    <t>143х196х1</t>
  </si>
  <si>
    <t>220115</t>
  </si>
  <si>
    <t>Каллиграфические прописи Аниме А5. УЧИМСЯ ПИСАТЬ КРАСИВО</t>
  </si>
  <si>
    <t>978-5-378-34592-2</t>
  </si>
  <si>
    <t>9785378345922</t>
  </si>
  <si>
    <t xml:space="preserve">СЕРИЯ: Каллиграфические прописи для мальчиков А5 </t>
  </si>
  <si>
    <t>136182</t>
  </si>
  <si>
    <t>Каллиграфические прописи для мальчиков А5. ПРОПИСНЫЕ БУКВЫ</t>
  </si>
  <si>
    <t>978-5-378-30473-8</t>
  </si>
  <si>
    <t>"Каллиграфические прописи для мальчиков" - это серия изданий, которые помогут детям развить мелкую моторику, научиться писать цифры, печатные и прописные буквы, освоить счёт в пределах 10 и выполнять простейшие математические действия. Оформление прописей учитывает интересы современных мальчиков, поэтому заниматься будет не скучно!</t>
  </si>
  <si>
    <t>9785378304738</t>
  </si>
  <si>
    <t>145х197х2</t>
  </si>
  <si>
    <t>СЕРИЯ: КЛАССИЧЕСКИЕ ПРОПИСИ мелов.обл.195х276</t>
  </si>
  <si>
    <t>164952</t>
  </si>
  <si>
    <t>КЛАССИЧЕСКИЕ ПРОПИСИ. ПЕЧАТНЫЕ БУКВЫ</t>
  </si>
  <si>
    <t>978-5-378-31880-3</t>
  </si>
  <si>
    <t>Пропись поможет ребёнку познакомиться с печатными буквами русского алфавита и научиться красиво и правильно их писать. Цветные образцы и направляющие стрелочки облегчат обучение письму, а иллюстрации рядом с каждой буквой научат малыша сопоставлять букву со звуком, который она обозначает.</t>
  </si>
  <si>
    <t>9785378318803</t>
  </si>
  <si>
    <t>164954</t>
  </si>
  <si>
    <t>КЛАССИЧЕСКИЕ ПРОПИСИ. СОЕДИНЕНИЯ БУКВ</t>
  </si>
  <si>
    <t>978-5-378-31882-7</t>
  </si>
  <si>
    <t>В тетради представлены классические соединения букв, которые помогут ребёнку освоить навык безотрывного письма и в последующем без труда научиться разборчиво писать слова. Издание может быть использовано на уроках в школе, а также в условиях домашнего обучения.</t>
  </si>
  <si>
    <t>9785378318827</t>
  </si>
  <si>
    <t>СЕРИЯ: МОИ ПЕРВЫЕ ПРОПИСИ С НАКЛЕЙКАМИ 204х280</t>
  </si>
  <si>
    <t>053419</t>
  </si>
  <si>
    <t>МОИ ПЕРВЫЕ ПРОПИСИ С НАКЛЕЙКАМИ. ГОТОВИМ РУКУ К ПИСЬМУ</t>
  </si>
  <si>
    <t>978-5-378-26987-7</t>
  </si>
  <si>
    <t>Прописи-незаменимый союзник вашего малыша на пути к красивому почерку,грамотности и аккуратности. "Мои первые прописи. Пишем и раскрашиваем" не заставят малыша скучать,ведь ему предоставляется возможность раскрасить весёлых героев,выполнить увлекательные задания и украсить брошюру яркими наклейками!</t>
  </si>
  <si>
    <t>9785378269877</t>
  </si>
  <si>
    <t>29.09.2016 0:00:00</t>
  </si>
  <si>
    <t>Мои первые прописи с наклейками</t>
  </si>
  <si>
    <t>204х280х2</t>
  </si>
  <si>
    <t>СЕРИЯ: ПРАВИЛЬНЫЕ ПРОПИСИ ДЛЯ ЛЕВШЕЙ обл.- мелов.бумага 185х275</t>
  </si>
  <si>
    <t>124226</t>
  </si>
  <si>
    <t>ПРАВИЛЬНЫЕ ПРОПИСИ ДЛЯ ЛЕВШЕЙ. ГОТОВИМ РУКУ К ПИСЬМУ</t>
  </si>
  <si>
    <t>978-5-378-29879-2</t>
  </si>
  <si>
    <t>Эта книга призвана помочь ребёнку-левше научиться писать уверенно и адаптировать школьный материал. Составили пропись психолог и логопед-дефектолог-левша. Они подобрали задания с учётом особенностей леворуких детей младшего школьного возраста. Все образцы расположены справа-ребёнок не закроет их рукой, когда будет писать. Элементы букв сопровождаются стрелками (направление письма) и точками (откуда начинать писать). Задания в книге даны в игровой форме и расположены по мере усложнения. Они размещены на клетках и линиях обычного школьного формата, что поможет ребёнку быстрее приспособиться к новой для него деятельности-учебной.</t>
  </si>
  <si>
    <t>9785378298792</t>
  </si>
  <si>
    <t>Макеева Ольга Николаевна</t>
  </si>
  <si>
    <t>185х275х2</t>
  </si>
  <si>
    <t>124227</t>
  </si>
  <si>
    <t>ПРАВИЛЬНЫЕ ПРОПИСИ ДЛЯ ЛЕВШЕЙ. ПРОПИСНЫЕ БУКВЫ</t>
  </si>
  <si>
    <t>978-5-378-29808-2</t>
  </si>
  <si>
    <t>Дети, пишущие левой рукой, - обычные, просто их мозг работает по-другому. В школах левшей всегда меньше, поэтому их обучают письму по нормам, разработанным для правшей: безотрывному письму с наклоном вправо, сложным элементам букв с крючками. Составили пропись психолог и логопед-дефектолог-левша. Они подобрали задания с учётом особенностей леворуких детей младшего школьного возраста. Эта книга призвана помочь ребёнку-левше освоить навыки разборчивого письма и научиться адаптировать школьный материал.</t>
  </si>
  <si>
    <t>9785378298082</t>
  </si>
  <si>
    <t>СЕРИЯ: ПРОПИСИ ДЛЯ ХОРОШЕГО ПОЧЕРКА глянц.ламин. 195х276</t>
  </si>
  <si>
    <t>142211</t>
  </si>
  <si>
    <t>ПРОПИСИ ДЛЯ ХОРОШЕГО ПОЧЕРКА. СОЕДИНЕНИЯ БУКВ</t>
  </si>
  <si>
    <t>978-5-378-30701-2</t>
  </si>
  <si>
    <t>В прописи представлены варианты классических соединений заглавных и строчных букв русского алфавита. Упражнения направлены на формирование у детей навыков красивого безотрывного письма, освоив которые ребёнок без труда сможет разборчиво и аккуратно писать слова. Издание разработано как для домашнего обучения, так и для использования на уроках в школе.</t>
  </si>
  <si>
    <t>9785378307012</t>
  </si>
  <si>
    <t>131537</t>
  </si>
  <si>
    <t>ПРОПИСИ ДЛЯ ХОРОШЕГО ПОЧЕРКА. ЦИФРЫ</t>
  </si>
  <si>
    <t>978-5-378-30204-8</t>
  </si>
  <si>
    <t>Издание поможет детям младшего школьного возраста освоить счёт в пределах 10. Ребёнок научится соотносить цифру с количеством предметов, которое она обозначает, выполнять несложные математические действия, правильно и красиво писать цифры.</t>
  </si>
  <si>
    <t>9785378302048</t>
  </si>
  <si>
    <t>142214</t>
  </si>
  <si>
    <t>ПРОПИСИ ДЛЯ ХОРОШЕГО ПОЧЕРКА. ЧИСТОПИСАНИЕ</t>
  </si>
  <si>
    <t>978-5-378-30703-6</t>
  </si>
  <si>
    <t>Представленные в пособии материалы направлены на формирование аккуратного почерка и учебных навыков, необходимых в обучении грамоте в послебукварный период. Издание предназначено для детей младшего школьного возраста и может быть использовано на уроках в школе или в качестве дополнительного материала для повторения изученного.</t>
  </si>
  <si>
    <t>9785378307036</t>
  </si>
  <si>
    <t>СЕРИЯ: ПРОПИСИ С КАПИБАРОЙ обл.мелов, глянц.ламин 195х276</t>
  </si>
  <si>
    <t>242335</t>
  </si>
  <si>
    <t>ПРОПИСИ С КАПИБАРОЙ. Пишем буквы</t>
  </si>
  <si>
    <t>978-5-378-35285-2</t>
  </si>
  <si>
    <t>Серия «Прописи с капибарой» поможет школьникам отработать правильное написание букв, слогов и слов и улучшить почерк, сделав его более аккуратным и разборчивым.</t>
  </si>
  <si>
    <t>9785378352852</t>
  </si>
  <si>
    <t>8f673b637520f2926d41e5ff39f182ce</t>
  </si>
  <si>
    <t>242338</t>
  </si>
  <si>
    <t>ПРОПИСИ С КАПИБАРОЙ. Пишем буквы и слова</t>
  </si>
  <si>
    <t>978-5-378-35288-3</t>
  </si>
  <si>
    <t>9785378352883</t>
  </si>
  <si>
    <t>e7d3733733d14c3a916b724859aef6b1</t>
  </si>
  <si>
    <t>242337</t>
  </si>
  <si>
    <t>ПРОПИСИ С КАПИБАРОЙ. Пишем буквы и слоги</t>
  </si>
  <si>
    <t>978-5-378-35287-6</t>
  </si>
  <si>
    <t>9785378352876</t>
  </si>
  <si>
    <t>f64f94b83a3ee7c463ed46b98e09f70e</t>
  </si>
  <si>
    <t>242336</t>
  </si>
  <si>
    <t>ПРОПИСИ С КАПИБАРОЙ. Учимся писать буквы</t>
  </si>
  <si>
    <t>978-5-378-35286-9</t>
  </si>
  <si>
    <t>9785378352869</t>
  </si>
  <si>
    <t>c7904ac1696050a1b94b313cd955a0a7</t>
  </si>
  <si>
    <t>СЕРИЯ: ПРОПИСИ С НАКЛЕЙКАМИ мелов.обл. 165х225</t>
  </si>
  <si>
    <t>259928</t>
  </si>
  <si>
    <t>ПРОПИСИ С НАКЛЕЙКАМИ. ДЕВЧОНКИ</t>
  </si>
  <si>
    <t>978-5-378-35687-4</t>
  </si>
  <si>
    <t>Прописи серии "Прописи с наклейками" подойдут для детей дошкольного возраста, которые только готовятся пойти в школу. Мелкая моторика и усидчивость - базовые навыки для детей, поступающих в школу. С помощью прописей эти навыки можно развить легко и просто! А за каждую заполненную страницу малыш получит награду - сияющую наклейку с ярким рисунком, которую можно вклеить в пропись или использовать как украшение пенала, книжки и телефона.</t>
  </si>
  <si>
    <t>9785378356874</t>
  </si>
  <si>
    <t>bcfd7ce349d4252320865dd149c95447</t>
  </si>
  <si>
    <t>165х225х2</t>
  </si>
  <si>
    <t>259931</t>
  </si>
  <si>
    <t>ПРОПИСИ С НАКЛЕЙКАМИ. КАПИБАРЫ</t>
  </si>
  <si>
    <t>978-5-378-35690-4</t>
  </si>
  <si>
    <t>9785378356904</t>
  </si>
  <si>
    <t>14ba922a7b07e0f12b83c5ddb0f1f40e</t>
  </si>
  <si>
    <t>259930</t>
  </si>
  <si>
    <t>ПРОПИСИ С НАКЛЕЙКАМИ. КОТИКИ</t>
  </si>
  <si>
    <t>978-5-378-35688-1</t>
  </si>
  <si>
    <t>9785378356881</t>
  </si>
  <si>
    <t>183dcd712bfb8bd6b991bdf0cdf9cf20</t>
  </si>
  <si>
    <t>259929</t>
  </si>
  <si>
    <t>ПРОПИСИ С НАКЛЕЙКАМИ. СОБАЧКИ</t>
  </si>
  <si>
    <t>978-5-378-35689-8</t>
  </si>
  <si>
    <t>9785378356898</t>
  </si>
  <si>
    <t>ecfa0e6370bf7595b90abc343b5baa1b</t>
  </si>
  <si>
    <t>СЕРИЯ: ПРОПИСИ с поощрительными наклейками 195х276</t>
  </si>
  <si>
    <t>142406</t>
  </si>
  <si>
    <t>ПРОПИСИ с поощрительными наклейками. МИ-МИ-МИШКИ. Пишем буквы, слоги и слова</t>
  </si>
  <si>
    <t>978-5-378-30680-0</t>
  </si>
  <si>
    <t>Новые прописи помогут ребёнку развить навыки письма. Яркие иллюстрации, а также поощрительные наклейки с любимыми героями мультсериалов сделают занятия увлекательными!</t>
  </si>
  <si>
    <t>9785378306800</t>
  </si>
  <si>
    <t>СЕРИЯ: ПРОПИСИ ТОЛЬКО ДЛЯ ДЕВОЧЕК  глянц.ламин. 195х276</t>
  </si>
  <si>
    <t>156695</t>
  </si>
  <si>
    <t>ПРОПИСИ ТОЛЬКО ДЛЯ ДЕВОЧЕК. ЕДИНОРОЖКИ</t>
  </si>
  <si>
    <t>978-5-378-31342-6</t>
  </si>
  <si>
    <t>Новая серия прописей создана специально для девочек. С ними юные художницы смогут не только развить навыки письма, но и проявить фантазию! Очаровательные персонажи на страницах прописей - феи, котики, единорожки и куколки - никого не оставят равнодушными, а яркие, необычные обложки точно привлекут внимание!</t>
  </si>
  <si>
    <t>9785378313426</t>
  </si>
  <si>
    <t>156691</t>
  </si>
  <si>
    <t>ПРОПИСИ ТОЛЬКО ДЛЯ ДЕВОЧЕК. КУКОЛКИ</t>
  </si>
  <si>
    <t>978-5-378-31340-2</t>
  </si>
  <si>
    <t>9785378313402</t>
  </si>
  <si>
    <t>СЕРИЯ: ПРОПИСИ эконом УЧУСЬ ПИСАТЬ мелов.обл. 210х140</t>
  </si>
  <si>
    <t>183351</t>
  </si>
  <si>
    <t>ПРОПИСИ эконом УЧУСЬ ПИСАТЬ. ЛИНИИ И ФИГУРЫ</t>
  </si>
  <si>
    <t>978-5-378-33395-0</t>
  </si>
  <si>
    <t>9785378333950</t>
  </si>
  <si>
    <t>210х140х2</t>
  </si>
  <si>
    <t>183353</t>
  </si>
  <si>
    <t>ПРОПИСИ эконом УЧУСЬ ПИСАТЬ. ПЕЧАТНЫЕ БУКВЫ</t>
  </si>
  <si>
    <t>978-5-378-33396-7</t>
  </si>
  <si>
    <t>9785378333967</t>
  </si>
  <si>
    <t>183341</t>
  </si>
  <si>
    <t>ПРОПИСИ эконом УЧУСЬ ПИСАТЬ. СЛОГИ И СЛОВА</t>
  </si>
  <si>
    <t>978-5-378-33393-6</t>
  </si>
  <si>
    <t>9785378333936</t>
  </si>
  <si>
    <t>183357</t>
  </si>
  <si>
    <t>ПРОПИСИ эконом УЧУСЬ ПИСАТЬ. СЧЁТ</t>
  </si>
  <si>
    <t>978-5-378-33398-1</t>
  </si>
  <si>
    <t>9785378333981</t>
  </si>
  <si>
    <t>183350</t>
  </si>
  <si>
    <t>ПРОПИСИ эконом УЧУСЬ ПИСАТЬ. ЦИФРЫ И ЧИСЛА</t>
  </si>
  <si>
    <t>978-5-378-33394-3</t>
  </si>
  <si>
    <t>9785378333943</t>
  </si>
  <si>
    <t>СЕРИЯ: ПРОПИСИ. ВЕСЁЛЫЕ ЗАДАНИЯ 195х276</t>
  </si>
  <si>
    <t>150052</t>
  </si>
  <si>
    <t>ПРОПИСИ. ВЕСЁЛЫЕ ЗАДАНИЯ. ЗАКОРЮЧКА</t>
  </si>
  <si>
    <t>978-5-378-30986-3</t>
  </si>
  <si>
    <t>Серия прописей "Весёлые задания" содержит задания и упражнения, которые помогут малышу подготовить руку к письму, развить мелкую моторику и координацию руки. Выполняя интересные задания малыш научится писать буквы, цифры, а также изучит формы.</t>
  </si>
  <si>
    <t>9785378309863</t>
  </si>
  <si>
    <t>150051</t>
  </si>
  <si>
    <t>ПРОПИСИ. ВЕСЁЛЫЕ ЗАДАНИЯ. ФИГУРЫ</t>
  </si>
  <si>
    <t>978-5-378-30985-6</t>
  </si>
  <si>
    <t>9785378309856</t>
  </si>
  <si>
    <t>СЕРИЯ: ПРОПИСЬ С ТРЕНАЖЁРАМИ ДЛЯ ПИСЬМА глянц.ламин, картон.обл 140х200</t>
  </si>
  <si>
    <t>225652</t>
  </si>
  <si>
    <t>ПРОПИСЬ С ТРЕНАЖЁРАМИ ДЛЯ ПИСЬМА. Готовим руку к письму</t>
  </si>
  <si>
    <t>978-5-378-34683-7</t>
  </si>
  <si>
    <t>Пропись с тренажёрами для письма - это уникальное учебное пособие, разработанное для дошкольников и школьников 1 класса. Каждая пропись содержит 24 страницы, наполненные разнообразными упражнениями, которые помогут детям освоить основы письма.
Эти прописи не только помогают развить навыки письма, но и способствуют улучшению координации движений рук и глаз, что является ключевым фактором в обучении письму. Упражнения разработаны таким образом, чтобы дети могли легко и интересно осваивать каждую букву алфавита, а также практиковать написание слов и предложений. В комплект к каждой прописи входит 3 насадки-рыбки на карандаш или ручку. Они помогут сформировать правильный хват пишущего инструмента.</t>
  </si>
  <si>
    <t>9785378346837</t>
  </si>
  <si>
    <t>21.11.2024 0:00:00</t>
  </si>
  <si>
    <t>170х200х10</t>
  </si>
  <si>
    <t>225647</t>
  </si>
  <si>
    <t>ПРОПИСЬ С ТРЕНАЖЁРАМИ ДЛЯ ПИСЬМА. Печатные буквы</t>
  </si>
  <si>
    <t>978-5-378-34684-4</t>
  </si>
  <si>
    <t>9785378346844</t>
  </si>
  <si>
    <t>225649</t>
  </si>
  <si>
    <t>ПРОПИСЬ С ТРЕНАЖЁРАМИ ДЛЯ ПИСЬМА. Пишем слоги и слова</t>
  </si>
  <si>
    <t>978-5-378-34685-1</t>
  </si>
  <si>
    <t>9785378346851</t>
  </si>
  <si>
    <t>225651</t>
  </si>
  <si>
    <t>ПРОПИСЬ С ТРЕНАЖЁРАМИ ДЛЯ ПИСЬМА. Прописные буквы</t>
  </si>
  <si>
    <t>978-5-378-34686-8</t>
  </si>
  <si>
    <t>9785378346868</t>
  </si>
  <si>
    <t>СЕРИЯ: СОВЕТСКИЕ ПРОПИСИ мелов.обл. 163х208</t>
  </si>
  <si>
    <t>194585</t>
  </si>
  <si>
    <t>СОВЕТСКИЕ ПРОПИСИ. ПИШЕМ СЛОВА И ПРЕДЛОЖЕНИЯ</t>
  </si>
  <si>
    <t>978-5-378-33987-7</t>
  </si>
  <si>
    <t>Данная пропись основана на комплексном подходе и принципах
советской и дореволюционной школ, но с учётом современных образовательных требований. Пособие направлено на дальнейшее обучение связному письму с демонстрацией различных вариантов
соединений и на закрепление полученных навыков, наработку плавности, скорописи, автоматизации написания букв.</t>
  </si>
  <si>
    <t>9785378339877</t>
  </si>
  <si>
    <t>163х208х3</t>
  </si>
  <si>
    <t>СЕРИЯ: УРОКИ ПИСЬМА мелов.обл.165х205</t>
  </si>
  <si>
    <t>158949</t>
  </si>
  <si>
    <t>УРОКИ ПИСЬМА. ПАЛОЧКИ, КРЮЧКИ, ПЕТЕЛЬКИ</t>
  </si>
  <si>
    <t>978-5-378-31553-6</t>
  </si>
  <si>
    <t>"Уроки письма" - серия прописей для дошкольников и первоклассников. В брошюрах упражнения для развития внимания, мелкой моторики и координации движения руки. Ребёнок научится уверенно держать ручку, обводить по контуру отдельные элементы и, конечно, писать буквы и цифры, а также складывать слоги и слова. В этой серии восемь прописей: "Узоры", "Моторика о6еих рук", "Слоги и слова", "Счет", "Печатные буквы", "Фигуры", "Палочки, крючки, петельки", "Прописные и строчные буквы". Не секрет, что в начальной школе часто определяет оценки красивый почерк. Научившись аккуратно писать, ребёнок почувствует уверенность на уроках и с удовольствием будет выполнять домашние задания.</t>
  </si>
  <si>
    <t>9785378315536</t>
  </si>
  <si>
    <t>165х205х2</t>
  </si>
  <si>
    <t>158948</t>
  </si>
  <si>
    <t>УРОКИ ПИСЬМА. ПЕЧАТНЫЕ БУКВЫ</t>
  </si>
  <si>
    <t>978-5-378-31552-9</t>
  </si>
  <si>
    <t>9785378315529</t>
  </si>
  <si>
    <t>158951</t>
  </si>
  <si>
    <t>УРОКИ ПИСЬМА. ПРОПИСНЫЕ И СТРОЧНЫЕ БУКВЫ</t>
  </si>
  <si>
    <t>978-5-378-31555-0</t>
  </si>
  <si>
    <t>9785378315550</t>
  </si>
  <si>
    <t>158952</t>
  </si>
  <si>
    <t>УРОКИ ПИСЬМА. СЧЁТ</t>
  </si>
  <si>
    <t>978-5-378-31556-7</t>
  </si>
  <si>
    <t>9785378315567</t>
  </si>
  <si>
    <t>158955</t>
  </si>
  <si>
    <t>УРОКИ ПИСЬМА. УЗОРЫ</t>
  </si>
  <si>
    <t>978-5-378-31557-4</t>
  </si>
  <si>
    <t>9785378315574</t>
  </si>
  <si>
    <t>158956</t>
  </si>
  <si>
    <t>УРОКИ ПИСЬМА. ФИГУРЫ</t>
  </si>
  <si>
    <t>978-5-378-31558-1</t>
  </si>
  <si>
    <t>9785378315581</t>
  </si>
  <si>
    <t>СЕРИЯ: ЧИСТОПИСАНИЕ глянц.ламин. картон.обл. 165х225</t>
  </si>
  <si>
    <t>220597</t>
  </si>
  <si>
    <t>ЧИСТОПИСАНИЕ. Буквы, слоги и соединения</t>
  </si>
  <si>
    <t>978-5-378-34561-8</t>
  </si>
  <si>
    <t xml:space="preserve">Вы держите в руках тренажёр по чистописанию с тренировочными заданиями по русскому языку для учеников 1-2 классов. 
Благодаря системному подходу и разным вариантам разлиновки, школьник освоит структуру букв, научится писать отрывисто и слитно, освоит разные способы соединения букв, приобретёт навыки осознанного письма, скорописи, сформирует аккуратный и разборчивый почерк, а также проверит себя по основным темам русского языка. </t>
  </si>
  <si>
    <t>9785378345618</t>
  </si>
  <si>
    <t>18c06019a3e744b622befff7f34ad2af</t>
  </si>
  <si>
    <t>165х225х3</t>
  </si>
  <si>
    <t>220598</t>
  </si>
  <si>
    <t>ЧИСТОПИСАНИЕ. Учимся грамотно писать!</t>
  </si>
  <si>
    <t>978-5-378-34562-5</t>
  </si>
  <si>
    <t xml:space="preserve">Вы держите в руках тренажёр по чистописанию с тренировочными заданиями по русскому языку для учеников 3-4 классов. 
Благодаря системному подходу,школьник сформирует аккуратный и разборчивый почерк, а также проверит себя по основным темам русского языка. </t>
  </si>
  <si>
    <t>9785378345625</t>
  </si>
  <si>
    <t>5f7c8bc1de283bf728f533ea390c31ba</t>
  </si>
  <si>
    <t>РАЗВИВАЮЩИЕ И ОБУЧАЮЩИЕ ПОСОБИЯ</t>
  </si>
  <si>
    <t>CЕРИЯ: АЛЬБОМ ПО РАЗВИТИЮ РЕЧИ 64 стр. картон.обл, 280х200</t>
  </si>
  <si>
    <t>245252</t>
  </si>
  <si>
    <t>АЛЬБОМ ПО РАЗВИТИЮ РЕЧИ 280х200</t>
  </si>
  <si>
    <t>978-5-378-35332-3</t>
  </si>
  <si>
    <t>«Альбом по развитию речи» предназначен для детей дошкольного возраста. Яркие красочные иллюстрации понятны малышам. Оптимальное количество страниц не отпугнёт ребёнка от занятий, а вызовет интерес и желание к обучению. Работу с данным пособием можно организовывать по принципу: одна неделя — одна тема. В лёгкой игровой форме ребёнок изучит 20 тем и при этом разовьёт образное и логическое мышление, внимание и кругозор, связную речь и словарный запас, сформирует лексико-грамматические представления. Но это не значит, что после прохождения всех тем пособие больше не понадобится. Его можно использовать каждый год, повторяя и усложняя задания, систематизируя полученные ранее знания. Также эта книга поможет родителям и педагогам при подготовке детей к школе.</t>
  </si>
  <si>
    <t>9785378353323</t>
  </si>
  <si>
    <t>43d012a64ebfc8d069b0872fcc360e50</t>
  </si>
  <si>
    <t>280х200х5</t>
  </si>
  <si>
    <t>СЕРИЯ: IQ ТЕТРАДЬ мелов.обл. 165х205</t>
  </si>
  <si>
    <t>236344</t>
  </si>
  <si>
    <t>IQ ТЕТРАДЬ. В КОРОЛЕВСТВЕ МАТЕМАТИКИ</t>
  </si>
  <si>
    <t>978-5-378-34916-6</t>
  </si>
  <si>
    <t>Весёлые герои Айка и Кьюш приглашают тебя в удивительный мир головоломок, игр, задач и ребусов. Тебе пригодятся внимательность, находчивость, логика и математические навыки, чтобы справиться со всеми испытаниями во время увлекательного путешествия по страницам IQ-тетради.</t>
  </si>
  <si>
    <t>9785378349166</t>
  </si>
  <si>
    <t>f6aaa372f8ecdc562f64d7eef44db88f</t>
  </si>
  <si>
    <t>165х205х1</t>
  </si>
  <si>
    <t>236346</t>
  </si>
  <si>
    <t>IQ ТЕТРАДЬ. ЗАДАЧКИ НА МЫШЛЕНИЕ И СМЕКАЛКУ</t>
  </si>
  <si>
    <t>978-5-378-34918-0</t>
  </si>
  <si>
    <t>9785378349180</t>
  </si>
  <si>
    <t>223975da008bbd8bed197868031d8cff</t>
  </si>
  <si>
    <t>236347</t>
  </si>
  <si>
    <t>IQ ТЕТРАДЬ. УМНЫЕ ИГРЫ И ЗАДАНИЯ</t>
  </si>
  <si>
    <t>978-5-378-34919-7</t>
  </si>
  <si>
    <t>9785378349197</t>
  </si>
  <si>
    <t>6e6bc75ec5acf9a125694125795b7cc4</t>
  </si>
  <si>
    <t>СЕРИЯ: SUPER ГОЛОВОЛОМКИ на спирали, глянц.ламин.обл. 360х290</t>
  </si>
  <si>
    <t>240122</t>
  </si>
  <si>
    <t>SUPER ГОЛОВОЛОМКИ. ВЕСЁЛЫЕ ЗАДАНИЯ</t>
  </si>
  <si>
    <t>978-5-378-35202-9</t>
  </si>
  <si>
    <t>SUPER головоломки — это огромное количество занимательных игр, задач, лабиринтов, ребусов, загадок, раскрасок, а также заданий на внимание и логику. Путешествуя по страницам книги, ты сможешь побывать в древнем Египте и открытом космосе, встретить рыцарей и фей, представить себя пиратом или ковбоем, расследовать запутанное преступление и даже отправиться в джунгли на поиски сокровищ. Вперёд навстречу приключениям — с SUPER головоломками скучать не придётся!</t>
  </si>
  <si>
    <t>9785378352029</t>
  </si>
  <si>
    <t>0ad5922f1fcdea8c4798ec4d70a33795</t>
  </si>
  <si>
    <t>на спирали</t>
  </si>
  <si>
    <t>363х293х10</t>
  </si>
  <si>
    <t>240121</t>
  </si>
  <si>
    <t>SUPER ГОЛОВОЛОМКИ. ЗАНИМАТЕЛЬНЫЕ ИГРЫ</t>
  </si>
  <si>
    <t>978-5-378-35201-2</t>
  </si>
  <si>
    <t>9785378352012</t>
  </si>
  <si>
    <t>80439f614f10a8492fd8c9d4887677e9</t>
  </si>
  <si>
    <t>СЕРИЯ: SUPER КНИГА ИГР глянц.ламин.обл. 210х275</t>
  </si>
  <si>
    <t>198685</t>
  </si>
  <si>
    <t>SUPER КНИГА ИГР. ВЕСЁЛЫЕ ИГРЫ И ЗАДАНИЯ</t>
  </si>
  <si>
    <t>978-5-378-34155-9</t>
  </si>
  <si>
    <t>В новой серии "Super книги игр" вы найдёте множество увлекательных заданий - лабиринты, ребусы, раскраски по номерам, кроссворды и многое другое, что поможет с пользой провести время. Наши книги комфортного формата, вы легко сможете взять их с собой в путешествие: в машину, самолет или поезд. Мы выбирали только самые интересные задания для наших маленьких читателей. Вашему ребенку не придётся скучать!</t>
  </si>
  <si>
    <t>9785378341559</t>
  </si>
  <si>
    <t>210x275x4</t>
  </si>
  <si>
    <t>198687</t>
  </si>
  <si>
    <t>SUPER КНИГА ИГР. ЗАНИМАТЕЛЬНЫЕ ИГРЫ ДЛЯ ТРЕНИРОВКИ МОЗГА</t>
  </si>
  <si>
    <t>978-5-378-34156-6</t>
  </si>
  <si>
    <t>9785378341566</t>
  </si>
  <si>
    <t>198689</t>
  </si>
  <si>
    <t>SUPER КНИГА ИГР. ЛУЧШИЕ ИГРЫ И ГОЛОВОЛОМКИ</t>
  </si>
  <si>
    <t>978-5-378-34157-3</t>
  </si>
  <si>
    <t>9785378341573</t>
  </si>
  <si>
    <t>198690</t>
  </si>
  <si>
    <t>SUPER КНИГА ИГР. САМЫЕ ИНТЕРЕСНЫЕ ЗАДАНИЯ</t>
  </si>
  <si>
    <t>978-5-378-34158-0</t>
  </si>
  <si>
    <t>9785378341580</t>
  </si>
  <si>
    <t>СЕРИЯ: БОЛЬШАЯ КНИГА ИГР глянц.ламин, картон.обл 195х260</t>
  </si>
  <si>
    <t>246458</t>
  </si>
  <si>
    <t>БОЛЬШАЯ КНИГА ИГР. АНИМЕ и К-ПОП</t>
  </si>
  <si>
    <t>978-5-378-35413-9</t>
  </si>
  <si>
    <t>Ты держишь в руках замечательную книгу, с которой не придётся скучать. Открой её, и ты окажешься в волшебном мире аниме! Горячие источники, древний замок императора, концерт айдолов и многое другое ждёт тебя на страницах этой книги.</t>
  </si>
  <si>
    <t>9785378354139</t>
  </si>
  <si>
    <t>71dfbe46cfa6b3b0f3f660bcd8294615</t>
  </si>
  <si>
    <t>Большая книга игр</t>
  </si>
  <si>
    <t>049800</t>
  </si>
  <si>
    <t>БОЛЬШАЯ КНИГА ИГР. ДЛЯ ДЕВОЧЕК</t>
  </si>
  <si>
    <t>978-5-378-26740-8</t>
  </si>
  <si>
    <t>Ты держишь в руках замечательную книгу, с которой не придётся скучать. Открой её, и ты окажешься в подводном королевстве, научишься рисовать жирафа и слона, отправишься в круиз и даже смастеришь калейдоскоп!</t>
  </si>
  <si>
    <t>9785378267408</t>
  </si>
  <si>
    <t>38cf6bf1d726b281c73fd0eb953ddd08</t>
  </si>
  <si>
    <t>049801</t>
  </si>
  <si>
    <t>БОЛЬШАЯ КНИГА ИГР. ДЛЯ МАЛЬЧИКОВ</t>
  </si>
  <si>
    <t>978-5-378-26741-5</t>
  </si>
  <si>
    <t>9785378267415</t>
  </si>
  <si>
    <t>00ad1666d7e9383431e47c2c9678e967</t>
  </si>
  <si>
    <t>200310</t>
  </si>
  <si>
    <t>БОЛЬШАЯ КНИГА ИГР. ДЛЯ НАСТОЯЩИХ ДЕТЕКТИВОВ</t>
  </si>
  <si>
    <t>978-5-378-34130-6</t>
  </si>
  <si>
    <t>Добро пожаловать в мир загадок и расследований! Здесь ты узнаешь шпионские секреты, попробуешь себя в роли внимательного сыщика и разгадаешь много головоломок. Вперёд, к новым приключениям!</t>
  </si>
  <si>
    <t>9785378341306</t>
  </si>
  <si>
    <t>5b47661e801fbbc7c21048663056f181</t>
  </si>
  <si>
    <t>248052</t>
  </si>
  <si>
    <t>БОЛЬШАЯ КНИГА ИГР. КОШКИ И СОБАКИ</t>
  </si>
  <si>
    <t>978-5-378-35447-4</t>
  </si>
  <si>
    <t>Добро пожаловать в увлекательный мир наших четвероногих друзей! С помощью новой книги игр «Кошки и собаки» ты сможешь побывать на съемочной площадке фильма и настоящем концерте уличных котов, помочь собакам-пиратам отыскать клад, разгадать загадки которусалок и даже отправиться в космос с настоящими собаками-космонавтами. Тебя ждут интересные головоломки, а также множество лабиринтов, ребусов и разнообразных заданий на логику и эрудицию.</t>
  </si>
  <si>
    <t>9785378354474</t>
  </si>
  <si>
    <t>ec1051f95e613d5b20a56073f684f81b</t>
  </si>
  <si>
    <t>200309</t>
  </si>
  <si>
    <t>БОЛЬШАЯ КНИГА ИГР. МОНСТРИКИ И СТРАШИЛКИ</t>
  </si>
  <si>
    <t>978-5-378-34131-3</t>
  </si>
  <si>
    <t>Ты держишь в руках увлекательную книгу, в которой тебя ждут страшилки, скелетики, монстры и космические путешествия. Участвуй в весёлых приключениях, читай жуткие истории, проходи лабиринты и головоломки с героями большой книги игр!</t>
  </si>
  <si>
    <t>9785378341313</t>
  </si>
  <si>
    <t>f476c45eaf073811815f445b1a48265f</t>
  </si>
  <si>
    <t>СЕРИЯ: БОЛЬШАЯ КНИГА КРОССВОРДОВ глянц.ламин.картон.обл. 210х265</t>
  </si>
  <si>
    <t>207192</t>
  </si>
  <si>
    <t>БОЛЬШАЯ КНИГА КРОССВОРДОВ. ИГРЫ ДЛЯ УМА</t>
  </si>
  <si>
    <t>978-5-378-34269-3</t>
  </si>
  <si>
    <t>Кроссворды, головоломки, кейворды и разнообразные задания ждут юных гениев! В новой серии "Большая книга кроссвордов" мы собрали разнообразные задания для любителей кроссвордов и головоломок. Особенности издания: лёгкая бумага кремового цвета не даёт глазам устать от чтения и решения кроссвордов, обложка покрыта глянцевой ламинацией для прочности.</t>
  </si>
  <si>
    <t>9785378342693</t>
  </si>
  <si>
    <t>Короткова Елена Владимировна</t>
  </si>
  <si>
    <t>3ab023ec58b16ad76ed0a2cd768ffa98</t>
  </si>
  <si>
    <t>210х265х7</t>
  </si>
  <si>
    <t>207195</t>
  </si>
  <si>
    <t>БОЛЬШАЯ КНИГА КРОССВОРДОВ. КРОССВОРДЫ И ГОЛОВОЛОМКИ</t>
  </si>
  <si>
    <t>978-5-378-34272-3</t>
  </si>
  <si>
    <t>9785378342723</t>
  </si>
  <si>
    <t>1d820ff51cc2a1ea106d2cd9163daec5</t>
  </si>
  <si>
    <t>СЕРИЯ: ВИММЕЛЬБУХ. НАЙДИ И ПОКАЖИ глянц.ламин.картон, 195х276</t>
  </si>
  <si>
    <t>230333</t>
  </si>
  <si>
    <t>ВИММЕЛЬБУХ. НАЙДИ И ПОКАЖИ. УВЛЕКАТЕЛЬНЫЕ ПРИКЛЮЧЕНИЯ</t>
  </si>
  <si>
    <t>978-5-378-34808-4</t>
  </si>
  <si>
    <t>Подарите вашему ребёнку весёлое времяпрепровождение вместе с новой серией «Виммельбух. Найди и покажи». Каждая страница наполнена детализированными картинками, которые иллюстрируют жизнь забавных персонажей и их приключения. В каждом блоке 24 яркие страницы. Эти детские книжки станут отличным подарком на любой праздник, помогут развить память и внимательность.</t>
  </si>
  <si>
    <t>9785378348084</t>
  </si>
  <si>
    <t>9d699af3ea0e7d0eaf3a0d60f6ecc574</t>
  </si>
  <si>
    <t>196x275x2</t>
  </si>
  <si>
    <t>СЕРИЯ: ВСЁ, ЧТО ДОЛЖЕН ЗНАТЬ РЕБЁНОК КБС 200х280</t>
  </si>
  <si>
    <t>196778</t>
  </si>
  <si>
    <t>ВСЁ, ЧТО ДОЛЖЕН ЗНАТЬ РЕБЁНОК 6-7 ЛЕТ</t>
  </si>
  <si>
    <t>978-5-378-34120-7</t>
  </si>
  <si>
    <t xml:space="preserve">Брошюры «Всё, что должен знать ребёнок» для детей 4-5 и 6-7 лет подойдут для подготовки к школе, развития памяти, внимания, усидчивости и интересу к учебной деятельности. Поурочная система позволяет родителям дозировать информацию, а игровые задания способствуют хорошему усвоению учебного материала. Благодаря множеству заданий на логику и речевое развитие, родитель может активно включаться в  образовательный процесс своего ребёнка. </t>
  </si>
  <si>
    <t>9785378341207</t>
  </si>
  <si>
    <t>200х280х6</t>
  </si>
  <si>
    <t>СЕРИЯ: ГОДОВОЙ КУРС+СБОРНИК глянц.ламин. карт.обл.208х280</t>
  </si>
  <si>
    <t>185855</t>
  </si>
  <si>
    <t>ГОДОВОЙ СБОРНИК ЗАДАНИЙ 3-4 ГОДА (стандарт 20)</t>
  </si>
  <si>
    <t>978-5-378-33640-1</t>
  </si>
  <si>
    <t>Серия книг "Годовой сборник заданий" поможет превратить обучение в лёгкую и интересную игру! В сборниках собраны все необходимые темы для развития ребёнка от 3 до 7 лет. Вместе с этими книгами ребёнок научится читать, считать, решать задачи, приобретёт навыки рисования и письма, расширит знания об окружающем мире.</t>
  </si>
  <si>
    <t>9785378336401</t>
  </si>
  <si>
    <t>208х275х7</t>
  </si>
  <si>
    <t>185856</t>
  </si>
  <si>
    <t>ГОДОВОЙ СБОРНИК ЗАДАНИЙ 4-5 ЛЕТ (стандарт 20)</t>
  </si>
  <si>
    <t>978-5-378-33641-8</t>
  </si>
  <si>
    <t>9785378336418</t>
  </si>
  <si>
    <t>185858</t>
  </si>
  <si>
    <t>ГОДОВОЙ СБОРНИК ЗАДАНИЙ 5-6 ЛЕТ (стандарт 20)</t>
  </si>
  <si>
    <t>978-5-378-33642-5</t>
  </si>
  <si>
    <t>9785378336425</t>
  </si>
  <si>
    <t>185859</t>
  </si>
  <si>
    <t>ГОДОВОЙ СБОРНИК ЗАДАНИЙ 6-7 ЛЕТ (стандарт 20)</t>
  </si>
  <si>
    <t>978-5-378-33643-2</t>
  </si>
  <si>
    <t>9785378336432</t>
  </si>
  <si>
    <t>СЕРИЯ: ГРАФИЧЕСКИЕ ДИКТАНТЫ А4 мелов.обл. 195х276</t>
  </si>
  <si>
    <t>240139</t>
  </si>
  <si>
    <t>ГРАФИЧЕСКИЕ ДИКТАНТЫ А4. ОБО ВСЁМ НА СВЕТЕ</t>
  </si>
  <si>
    <t>978-5-378-35149-7</t>
  </si>
  <si>
    <t xml:space="preserve">Новая развивающая серия "Графические диктанты" в виде брошюр на скрепке - прекрасный инструмент для подготовки ребёнка к школе, так как сочетают в себе возможность тренировки письма и творческого восприятия, что в свою очередь тесно связано с развитием речи и мышления. Рисование по клеточкам сначала простых, а потом более сложных картинок, в том числе по определённому пути из цифр и стрелочек будет способствовать развитию у ребёнка внимания и сосредоточенности. Полученную картинку малыш сможет раскрасить по своему вкусу. </t>
  </si>
  <si>
    <t>9785378351497</t>
  </si>
  <si>
    <t>5ffe0e7a630dc9a386367fa8f0e76049</t>
  </si>
  <si>
    <t>195х205х2</t>
  </si>
  <si>
    <t>СЕРИЯ: ГРАФИЧЕСКИЕ ДИКТАНТЫ А5 мелов.обл. 165х265</t>
  </si>
  <si>
    <t>233241</t>
  </si>
  <si>
    <t>ГРАФИЧЕСКИЕ ДИКТАНТЫ А5. ДЛЯ ДЕВОЧЕК</t>
  </si>
  <si>
    <t>978-5-378-34891-6</t>
  </si>
  <si>
    <t>Новая серия развивающих брошюр на скрепке - прекрасный инструмент для подготовки к школе дошкольника, так как сочетают в себе возможность тренировки письма и творческого восприятия, что в свою очередь тесно связано с развитием речи и мышления. Рисование по клеточкам сначала простых, а потом более сложных картинок, в том числе по определённому пути из цифр и стрелочек будет способствовать развитию у ребёнка внимания и сосредоточенности. Полученную картинку малыш сможет раскрасить по своему вкусу.  Тетради имеют удобный формат 165х235 (чуть больше А5), 16 страниц, темы - «Для девочек», «Для мальчиков», «Транспорт», «Обо всём на свете».</t>
  </si>
  <si>
    <t>9785378348916</t>
  </si>
  <si>
    <t>ef2d3bf9bf84df4a766e782530f96ea6</t>
  </si>
  <si>
    <t>165x235x1</t>
  </si>
  <si>
    <t>233242</t>
  </si>
  <si>
    <t>ГРАФИЧЕСКИЕ ДИКТАНТЫ А5. ДЛЯ МАЛЬЧИКОВ</t>
  </si>
  <si>
    <t>978-5-378-34892-3</t>
  </si>
  <si>
    <t>9785378348923</t>
  </si>
  <si>
    <t>4ec1b1f469db1de0cfb219b3fa1376bb</t>
  </si>
  <si>
    <t>233244</t>
  </si>
  <si>
    <t>ГРАФИЧЕСКИЕ ДИКТАНТЫ А5. ОБО ВСЁМ НА СВЕТЕ</t>
  </si>
  <si>
    <t>978-5-378-34894-7</t>
  </si>
  <si>
    <t>9785378348947</t>
  </si>
  <si>
    <t>dba3882ba7cce0a10577f7966c459187</t>
  </si>
  <si>
    <t>233243</t>
  </si>
  <si>
    <t>ГРАФИЧЕСКИЕ ДИКТАНТЫ А5. ТРАНСПОРТ</t>
  </si>
  <si>
    <t>978-5-378-34893-0</t>
  </si>
  <si>
    <t>9785378348930</t>
  </si>
  <si>
    <t>85431b441b4502a787012b7ec58fa26e</t>
  </si>
  <si>
    <t>СЕРИЯ: ЗАНИМАЕМСЯ НА КАНИКУЛАХ глянц.ламин, 200х280</t>
  </si>
  <si>
    <t>274956</t>
  </si>
  <si>
    <t>ЗАНИМАЕМСЯ НА КАНИКУЛАХ. ПЕРЕХОДИМ В 3 КЛАСС</t>
  </si>
  <si>
    <t>978-5-378-36077-2</t>
  </si>
  <si>
    <t>Серия брошюр «Занимаемся на каникулах» для учеников 1-4 классов создана, чтобы каникулы прошли с пользой: учебные задания надёжно закрепят пройденное, а задания на логику и внимание не дадут заскучать. Все материалы разработаны педагогом с профильным образованием, поэтому каждое упражнение соответствует возрасту. Брошюра поможет сохранить полученные знания и легко влиться в учебный процесс в сентябре!</t>
  </si>
  <si>
    <t>9785378360772</t>
  </si>
  <si>
    <t>Черепанова Мария</t>
  </si>
  <si>
    <t>806ca284368c1d52ba2c442002843136</t>
  </si>
  <si>
    <t>200х280х5</t>
  </si>
  <si>
    <t>274957</t>
  </si>
  <si>
    <t>ЗАНИМАЕМСЯ НА КАНИКУЛАХ. ПЕРЕХОДИМ В 4 КЛАСС</t>
  </si>
  <si>
    <t>978-5-378-36078-9</t>
  </si>
  <si>
    <t>9785378360789</t>
  </si>
  <si>
    <t>Дёмина Александра</t>
  </si>
  <si>
    <t>274958</t>
  </si>
  <si>
    <t>ЗАНИМАЕМСЯ НА КАНИКУЛАХ. ПЕРЕХОДИМ В 5 КЛАСС</t>
  </si>
  <si>
    <t>978-5-378-36079-6</t>
  </si>
  <si>
    <t xml:space="preserve">Серия брошюр «Занимаемся на каникулах» для учеников 1-4 классов создана, чтобы каникулы прошли с пользой: учебные задания надёжно закрепят пройденное, а задания на логику и внимание не дадут заскучать. Все материалы разработаны педагогом с профильным образованием, поэтому каждое упражнение соответствует возрасту. Брошюра поможет сохранить полученные знания и легко влиться в учебный процесс в сентябре! </t>
  </si>
  <si>
    <t>9785378360796</t>
  </si>
  <si>
    <t>274954</t>
  </si>
  <si>
    <t>ЗАНИМАЕМСЯ НА КАНИКУЛАХ. ПЕРЕХОДИМ ВО 2 КЛАСС</t>
  </si>
  <si>
    <t>978-5-378-36076-5</t>
  </si>
  <si>
    <t>9785378360765</t>
  </si>
  <si>
    <t>СЕРИЯ: КРОССВОРДЫ А5 ЭКОНОМ мелов.обл. 165х230</t>
  </si>
  <si>
    <t>245167</t>
  </si>
  <si>
    <t>КРОССВОРДЫ А5 ЭКОНОМ. Весёлые головоломки</t>
  </si>
  <si>
    <t>978-5-378-35340-8</t>
  </si>
  <si>
    <t>Детские кроссворды — это увлекательное и познавательное пособие, созданное для развития мышления, словарного запаса и логических навыков у детей. Каждое наименование включает в себя яркие иллюстрации и разнообразные виды кроссвордов: филворды, судоку, сканворды и головоломки.
Эта серия станет отличным дополнением к образовательному процессу, а также прекрасным способом провести время с семьей или друзьями.</t>
  </si>
  <si>
    <t>9785378353408</t>
  </si>
  <si>
    <t>2daf1f8efa610b5fe3cff4e6c1dd7420</t>
  </si>
  <si>
    <t>165x230x1</t>
  </si>
  <si>
    <t>245169</t>
  </si>
  <si>
    <t>КРОССВОРДЫ А5 ЭКОНОМ. Кроссворды и игры</t>
  </si>
  <si>
    <t>978-5-378-35341-5</t>
  </si>
  <si>
    <t>9785378353415</t>
  </si>
  <si>
    <t>688b3125958f62e05a8de5ad164147a8</t>
  </si>
  <si>
    <t>245172</t>
  </si>
  <si>
    <t>КРОССВОРДЫ А5 ЭКОНОМ. Кроссворды, головоломки, ребусы</t>
  </si>
  <si>
    <t>978-5-378-35343-9</t>
  </si>
  <si>
    <t>9785378353439</t>
  </si>
  <si>
    <t>cde8a65342265b58826f10d36d313cb9</t>
  </si>
  <si>
    <t>245170</t>
  </si>
  <si>
    <t>КРОССВОРДЫ А5 ЭКОНОМ. Разгадай-ка</t>
  </si>
  <si>
    <t>978-5-378-35342-2</t>
  </si>
  <si>
    <t>9785378353422</t>
  </si>
  <si>
    <t>f72e9e634c272e095a20fb19c36aad01</t>
  </si>
  <si>
    <t>СЕРИЯ: ЛАБИРИНТЫ глянц.ламин. КБС 210х275</t>
  </si>
  <si>
    <t>203051</t>
  </si>
  <si>
    <t>ЛАБИРИНТЫ. КРУГОСВЕТНОЕ ПУТЕШЕСТВИЕ</t>
  </si>
  <si>
    <t>978-5-378-34220-4</t>
  </si>
  <si>
    <t>Посетить Францию, Египет, Китай и Австралию теперь можно не выходя из дома! Эта книга познакомит тебя с самыми разными географическими объектами нашей планеты и расскажет о них то, чего ты точно ещё не знаешь. В сборнике целых 25 увлекательных лабиринта, которые не так-то просто пройти с первого раза!</t>
  </si>
  <si>
    <t>9785378342204</t>
  </si>
  <si>
    <t>212х275х2</t>
  </si>
  <si>
    <t>СЕРИЯ: МНОГОРАЗОВАЯ ТЕТРАДЬ с заданиями, глянц.ламин. картон, кругл.углы, на гребне 205х297</t>
  </si>
  <si>
    <t>248092</t>
  </si>
  <si>
    <t>МНОГОРАЗОВЫЕ ПРОПИСИ с заданиями. ПИШИ-СТИРАЙ-ИГРАЙ. ЦИФРЫ</t>
  </si>
  <si>
    <t>978-5-378-35467-2</t>
  </si>
  <si>
    <t>Многоразовые прописи «Пиши-стирай-играй» — это разнообразные задания, направленные на изучение букв, цифр, развитие внимания, мышления и мелкой моторики. Если что-то не получилось с первого раза — не беда: можно стереть и легко исправить ошибку! Пиши, считай, выполняй задания, стирай и снова играй!</t>
  </si>
  <si>
    <t>9785378354672</t>
  </si>
  <si>
    <t>1d6525dea5b9902a9c8cc1692c59bf9f</t>
  </si>
  <si>
    <t>205х297х10</t>
  </si>
  <si>
    <t>СЕРИЯ: МОИ ПЕРВЫЕ УРОКИ (32 карточки в коробке с европодвесом)</t>
  </si>
  <si>
    <t>068765</t>
  </si>
  <si>
    <t>МОИ ПЕРВЫЕ УРОКИ. ВИДЫ СПОРТА</t>
  </si>
  <si>
    <t>978-5-378-27796-4</t>
  </si>
  <si>
    <t>Развивающие карточки серии "Мои первые уроки" познакомят ребёнка с интересными фактами о животных,транспорте,природе и многом другом. Малыш познакомится с правилами дорожного движения,узнает как вести себя в опасных ситуациях. Самое главное,что эти уроки будут проходить в отвлечённой игровой форме.</t>
  </si>
  <si>
    <t>9785378277964</t>
  </si>
  <si>
    <t>31.07.2017 0:00:00</t>
  </si>
  <si>
    <t>Мои первые уроки (32 карточки)</t>
  </si>
  <si>
    <t>113х185х17</t>
  </si>
  <si>
    <t>СЕРИЯ: МОТИВАЦИОННЫЕ ПЛАКАТЫ конверт с европодвесом 240х320</t>
  </si>
  <si>
    <t>115564</t>
  </si>
  <si>
    <t>МОТИВАЦИОННЫЕ ПЛАКАТЫ. Нескучные обязанности (ЕДИНОРОГИ)</t>
  </si>
  <si>
    <t>978-5-378-28671-3</t>
  </si>
  <si>
    <t>Хотите научить вашего ребёнка без напоминания выполнять домашние обязанности? Тогда наш детский плакат полезных дел - это то, что вам нужно!Превратите обычные дела в задорную игру! Плакат поможет ребёнку запомнить все обязанности, которые ему нужно выполнять ежедневно. Вы можете сами придумывать задания на неделю. Для примера первая неделя частично заполнена, но и здесь вы можете дополнить список дел. Каждый день подводите итоги и делайте пометку в соответствующей строке. Желательно поощрять ребёнка в конце каждого дня, так он быстрее запомнит все важные дела. Заранее договоритесь с малышом о мотивационных наградах и запишите их в графе "Итоги недели".</t>
  </si>
  <si>
    <t>9785378286713</t>
  </si>
  <si>
    <t>Мотивационные плакаты</t>
  </si>
  <si>
    <t>240х320х2</t>
  </si>
  <si>
    <t>СЕРИЯ: НАЙДИ И ПОКАЖИ картон.обл. КБС 195х276</t>
  </si>
  <si>
    <t>220126</t>
  </si>
  <si>
    <t>НАЙДИ И ПОКАЖИ. ИЩЕМ ВСЕЙ СЕМЬЁЙ</t>
  </si>
  <si>
    <t>978-5-378-34593-9</t>
  </si>
  <si>
    <t>Представляем сборник с увлекательными заданиями на внимание для всей семьи. Проверьте себя! Смотрите в оба!</t>
  </si>
  <si>
    <t>9785378345939</t>
  </si>
  <si>
    <t>12d3c0ea1c7e130a6916211b983a663f</t>
  </si>
  <si>
    <t>196х276х4</t>
  </si>
  <si>
    <t>СЕРИЯ: НАЙДИ И ПОКАЖИ мелов.обл. 162х230</t>
  </si>
  <si>
    <t>201368</t>
  </si>
  <si>
    <t>БРОШЮРА. НАЙДИ И ПОКАЖИ. КТО СПРЯТАЛСЯ?</t>
  </si>
  <si>
    <t>978-5-378-34216-7</t>
  </si>
  <si>
    <t>Представляем серию «Найди и покажи» – новые книжки с заданиями на внимание: «Веселые прятки», «Забавные гляделки», «Кто спрятался?», «Озорные потеряшки». Проверь себя! Смотри в оба!</t>
  </si>
  <si>
    <t>9785378342167</t>
  </si>
  <si>
    <t>162х230х1</t>
  </si>
  <si>
    <t>218602</t>
  </si>
  <si>
    <t>БРОШЮРА. НАЙДИ И ПОКАЖИ. НЕСКУЧНЫЕ НАХОДИЛКИ</t>
  </si>
  <si>
    <t>978-5-378-34568-7</t>
  </si>
  <si>
    <t>Представляем новые сборники серии «Найди и покажи» с увлекательными заданиями на внимание. Проверьте себя! Смотрите в оба!</t>
  </si>
  <si>
    <t>9785378345687</t>
  </si>
  <si>
    <t>88d8feb2e892642c9d7dfcd9394fb486</t>
  </si>
  <si>
    <t>218599</t>
  </si>
  <si>
    <t>БРОШЮРА. НАЙДИ И ПОКАЖИ. Я ИДУ ИСКАТЬ</t>
  </si>
  <si>
    <t>978-5-378-34565-6</t>
  </si>
  <si>
    <t>9785378345656</t>
  </si>
  <si>
    <t>57a3816ef493d0731fc1d4fad5ad6ffd</t>
  </si>
  <si>
    <t>СЕРИЯ: НЕЙРОТРЕНАЖЁРЫ глянц.ламин, 195х276</t>
  </si>
  <si>
    <t>176668</t>
  </si>
  <si>
    <t>НЕЙРОТРЕНАЖЁРЫ. ИНТЕРЕСНЫЕ УРОКИ</t>
  </si>
  <si>
    <t>978-5-378-32903-8</t>
  </si>
  <si>
    <t>Нейротренажёры - это сборники, которые помогут детям адаптироваться в школе. При выполнении понятных и интересных заданий задействуются оба полушария мозга. Это влияет на развитие мышления, внимания, концентрации, речи, помогает в дальнейшем обучении ребёнка.
Цветные картинки и забавные персонажи превращают занятия в игру!</t>
  </si>
  <si>
    <t>9785378329038</t>
  </si>
  <si>
    <t>176660</t>
  </si>
  <si>
    <t>НЕЙРОТРЕНАЖЁРЫ. ПОЛЕЗНЫЕ ЗАНЯТИЯ</t>
  </si>
  <si>
    <t>978-5-378-32900-7</t>
  </si>
  <si>
    <t>9785378329007</t>
  </si>
  <si>
    <t xml:space="preserve">СЕРИЯ: ОБУЧАЮЩИЕ КАРТОЧКИ в папке с европодвесом 170х220  </t>
  </si>
  <si>
    <t>220535</t>
  </si>
  <si>
    <t>ОБУЧАЮЩИЕ КАРТОЧКИ европодвес. АЛФАВИТ</t>
  </si>
  <si>
    <t>467-0-159-12756-7</t>
  </si>
  <si>
    <t xml:space="preserve">Серия обучающих карточек от ИД "Проф-Пресс" - развивающее пособие для индивидуальной и групповой работы с детьми. В наборе 16 двусторонних карточек: на лицевой части изображение предмета или понятия, на обороте - справочная информация, стихи и дидактические игры по теме. </t>
  </si>
  <si>
    <t>4670159127567</t>
  </si>
  <si>
    <t>170х265х6</t>
  </si>
  <si>
    <t>220544</t>
  </si>
  <si>
    <t>ОБУЧАЮЩИЕ КАРТОЧКИ европодвес. АНГЛИЙСКИЙ АЛФАВИТ</t>
  </si>
  <si>
    <t>467-0-159-12763-5</t>
  </si>
  <si>
    <t>4670159127635</t>
  </si>
  <si>
    <t>220539</t>
  </si>
  <si>
    <t>ОБУЧАЮЩИЕ КАРТОЧКИ европодвес. ДИКИЕ ЖИВОТНЫЕ</t>
  </si>
  <si>
    <t>467-0-159-12759-8</t>
  </si>
  <si>
    <t>4670159127598</t>
  </si>
  <si>
    <t>Саркисян Инна,Строителева Анна Владимировна</t>
  </si>
  <si>
    <t>220541</t>
  </si>
  <si>
    <t>ОБУЧАЮЩИЕ КАРТОЧКИ европодвес. ДИНОЗАВРЫ</t>
  </si>
  <si>
    <t>467-0-159-12761-1</t>
  </si>
  <si>
    <t>4670159127611</t>
  </si>
  <si>
    <t>Саркисян Инна</t>
  </si>
  <si>
    <t>220543</t>
  </si>
  <si>
    <t>ОБУЧАЮЩИЕ КАРТОЧКИ европодвес. ДОМАШНИЕ ЖИВОТНЫЕ</t>
  </si>
  <si>
    <t>467-0-159-12762-8</t>
  </si>
  <si>
    <t>4670159127628</t>
  </si>
  <si>
    <t>220545</t>
  </si>
  <si>
    <t>ОБУЧАЮЩИЕ КАРТОЧКИ европодвес. МАМЫ И МАЛЫШИ</t>
  </si>
  <si>
    <t>467-0-159-12764-2</t>
  </si>
  <si>
    <t>4670159127642</t>
  </si>
  <si>
    <t>Саркисян Инна,Строителева Анна Владимировна,Шелюх Ирина,Крас Ольга Владимировна</t>
  </si>
  <si>
    <t>220548</t>
  </si>
  <si>
    <t>ОБУЧАЮЩИЕ КАРТОЧКИ европодвес. ОВОЩИ, ФРУКТЫ, ЯГОДЫ</t>
  </si>
  <si>
    <t>467-0-159-12767-3</t>
  </si>
  <si>
    <t>4670159127673</t>
  </si>
  <si>
    <t>Ктиторова Екатерина Руслановна,Строителева Анна Владимировна</t>
  </si>
  <si>
    <t>220540</t>
  </si>
  <si>
    <t>ОБУЧАЮЩИЕ КАРТОЧКИ европодвес. ПИТОМЦЫ</t>
  </si>
  <si>
    <t>467-0-159-12760-4</t>
  </si>
  <si>
    <t>4670159127604</t>
  </si>
  <si>
    <t>220546</t>
  </si>
  <si>
    <t>ОБУЧАЮЩИЕ КАРТОЧКИ европодвес. ТЕЛО ЧЕЛОВЕКА</t>
  </si>
  <si>
    <t>467-0-159-12765-9</t>
  </si>
  <si>
    <t>4670159127659</t>
  </si>
  <si>
    <t>220547</t>
  </si>
  <si>
    <t>ОБУЧАЮЩИЕ КАРТОЧКИ европодвес. ТРАНСПОРТ</t>
  </si>
  <si>
    <t>467-0-159-12766-6</t>
  </si>
  <si>
    <t>4670159127666</t>
  </si>
  <si>
    <t>Мирошникова Татьяна,Манакова Мария Васильевна,Строителева Анна Владимировна</t>
  </si>
  <si>
    <t>220537</t>
  </si>
  <si>
    <t>ОБУЧАЮЩИЕ КАРТОЧКИ европодвес. ЦВЕТА</t>
  </si>
  <si>
    <t>467-0-159-12758-1</t>
  </si>
  <si>
    <t>4670159127581</t>
  </si>
  <si>
    <t>220536</t>
  </si>
  <si>
    <t>ОБУЧАЮЩИЕ КАРТОЧКИ европодвес. ЦИФРЫ И ФИГУРЫ</t>
  </si>
  <si>
    <t>467-0-159-12757-4</t>
  </si>
  <si>
    <t>4670159127574</t>
  </si>
  <si>
    <t>СЕРИЯ: ПЛАКАТЫ НА КАРТОНЕ, А2  (50)</t>
  </si>
  <si>
    <t>026683</t>
  </si>
  <si>
    <t>ПЛАКАТ. ЖИВОТНЫЕ АРКТИКИ И АНТАРКТИКИ</t>
  </si>
  <si>
    <t>978-5-378-17363-1</t>
  </si>
  <si>
    <t>Красочно иллюстрированные плакаты помогут вашему ребенку получить основные понятия об окружающем мире.</t>
  </si>
  <si>
    <t>9785378173631</t>
  </si>
  <si>
    <t>17.01.2017 0:00:00</t>
  </si>
  <si>
    <t>Плакаты.</t>
  </si>
  <si>
    <t>480х665х1</t>
  </si>
  <si>
    <t>080446</t>
  </si>
  <si>
    <t>ПЛАКАТ. ПРАВИЛА БЕЗОПАСНОСТИ</t>
  </si>
  <si>
    <t>978-5-378-28381-1</t>
  </si>
  <si>
    <t>Благодаря плакатам ребёнок сможет в наглядной форме изучить правила поведения, безопасности и дорожного движения, цвета и фигуры, алфавит, таблицу умножения, тело человека и планеты солнечной системы. Яркие понятные иллюстрации обратят на себя внимание ребёнка и помогут усвоить материал в увлекательной форме. Плакаты сделаны из плотного картона и имеют идеальный размер для того, чтобы повесить плакат на стену и обращаться к нему в любое удобное время.</t>
  </si>
  <si>
    <t>9785378283811</t>
  </si>
  <si>
    <t>28.03.2018 0:00:00</t>
  </si>
  <si>
    <t>СЕРИЯ: РАБОЧАЯ ТЕТРАДЬ эконом 16 стр 165х205</t>
  </si>
  <si>
    <t>181490</t>
  </si>
  <si>
    <t>РАБОЧАЯ ТЕТРАДЬ эконом. СОЧИНЯЕМ И ПЕРЕСКАЗЫВАЕМ</t>
  </si>
  <si>
    <t>978-5-378-33270-0</t>
  </si>
  <si>
    <t>Представляем вам новые рабочие тетради для развития и раннего обучения дошкольников и младшеклассников: «Логика», «Математика», «Память и внимание», «Сочиняем и пересказываем». В каждой 16-страничной брошюре понятные черно-белые иллюстрации, а главное – доступные задания: решать задачи, искать различия между картинками и логические ошибки в тексте будет легко и интересно.</t>
  </si>
  <si>
    <t>9785378332700</t>
  </si>
  <si>
    <t>165x205x2</t>
  </si>
  <si>
    <t>СЕРИЯ: РАЗВИВАЮЩИЕ КАРТОЧКИ европодвес, 20 карточек 120х180</t>
  </si>
  <si>
    <t>224748</t>
  </si>
  <si>
    <t>РАЗВИВАЮЩИЕ КАРТОЧКИ. БУКВЫ И ЦИФРЫ</t>
  </si>
  <si>
    <t>467-0-159-14510-3</t>
  </si>
  <si>
    <t>Обучающие карточки «Буквы и цифры»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</si>
  <si>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4670159145103</t>
  </si>
  <si>
    <t>120х220х8</t>
  </si>
  <si>
    <t>207591</t>
  </si>
  <si>
    <t>РАЗВИВАЮЩИЕ КАРТОЧКИ. ДИКИЕ ЖИВОТНЫЕ</t>
  </si>
  <si>
    <t>467-0-159-05280-7</t>
  </si>
  <si>
    <t>Обучающие карточки «Дикие животные» помогут расширить кругозора ребёнка, будут способствовать развитию речи и интеллекта малыша. 
Они познакомят ребят с дикими животными, помогут поскорее запомнить их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</si>
  <si>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4670159052807</t>
  </si>
  <si>
    <t>224745</t>
  </si>
  <si>
    <t>РАЗВИВАЮЩИЕ КАРТОЧКИ. ДИНОЗАВРЫ</t>
  </si>
  <si>
    <t>467-0-159-14511-0</t>
  </si>
  <si>
    <t>Обучающие карточки «Динозавры»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</si>
  <si>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4670159145110</t>
  </si>
  <si>
    <t>224747</t>
  </si>
  <si>
    <t>РАЗВИВАЮЩИЕ КАРТОЧКИ. МОЙ ДОМ</t>
  </si>
  <si>
    <t>467-0-159-14512-7</t>
  </si>
  <si>
    <t>Обучающие карточки «Мой дом»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</si>
  <si>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4670159145127</t>
  </si>
  <si>
    <t>207595</t>
  </si>
  <si>
    <t>РАЗВИВАЮЩИЕ КАРТОЧКИ. НАСЕКОМЫЕ</t>
  </si>
  <si>
    <t>467-0-159-05282-1</t>
  </si>
  <si>
    <t>Обучающие карточки «Насекомые» помогут расширить кругозора ребёнка, будут способствовать развитию речи и интеллекта малыша. 
Они познакомят ребят с основными разновидностями насекомых, помогут поскорее запомнить их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</si>
  <si>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4670159052821</t>
  </si>
  <si>
    <t>207596</t>
  </si>
  <si>
    <t>РАЗВИВАЮЩИЕ КАРТОЧКИ. ОВОЩИ, ФРУКТЫ И ЯГОДЫ</t>
  </si>
  <si>
    <t>467-0-159-05283-8</t>
  </si>
  <si>
    <t>Обучающие карточки «Овощи, фрукты и ягоды» помогут расширить кругозора ребёнка, будут способствовать развитию речи и интеллекта малыша. Они познакомят ребят с основными видами овощей, фруктов и ягод, помогут поскорее запомнить их внешний вид. Карточки яркие, красочные, рассматривать их очень интересно, а запоминать информацию, содержащуюся на них, очень полезно!</t>
  </si>
  <si>
    <t>4670159052838</t>
  </si>
  <si>
    <t>224746</t>
  </si>
  <si>
    <t>РАЗВИВАЮЩИЕ КАРТОЧКИ. ОДЕЖДА И ОБУВЬ</t>
  </si>
  <si>
    <t>467-0-159-14513-4</t>
  </si>
  <si>
    <t>Обучающие карточки «Одежда и обувь»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</si>
  <si>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4670159145134</t>
  </si>
  <si>
    <t>207593</t>
  </si>
  <si>
    <t>РАЗВИВАЮЩИЕ КАРТОЧКИ. ТРАНСПОРТ</t>
  </si>
  <si>
    <t>467-0-159-05281-4</t>
  </si>
  <si>
    <t>Обучающие карточки «Транспорт»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</si>
  <si>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4670159052814</t>
  </si>
  <si>
    <t>224750</t>
  </si>
  <si>
    <t>РАЗВИВАЮЩИЕ КАРТОЧКИ. УЧИМСЯ ГОВОРИТЬ</t>
  </si>
  <si>
    <t>467-0-159-14514-1</t>
  </si>
  <si>
    <t>Обучающие карточки «Учимся говорить»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</si>
  <si>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4670159145141</t>
  </si>
  <si>
    <t>207598</t>
  </si>
  <si>
    <t>РАЗВИВАЮЩИЕ КАРТОЧКИ. ЦИФРЫ И ФИГУРЫ</t>
  </si>
  <si>
    <t>467-0-159-05285-2</t>
  </si>
  <si>
    <t xml:space="preserve">Обучающие карточки «Цифры и фигуры» помогут расширить кругозора ребёнка, будут способствовать развитию речи и интеллекта малыша. 
Они познакомят ребят с цифрами от 1 до 10 и основными геометрическими фигурами, помогут поскорее запомнить их внешний вид, соотносить с количеством предметов и их формой. 
Карточки яркие, красочные, рассматривать их очень интересно, а запоминать информацию, содержащуюся на них, очень полезно!
</t>
  </si>
  <si>
    <t>4670159052852</t>
  </si>
  <si>
    <t>224749</t>
  </si>
  <si>
    <t>РАЗВИВАЮЩИЕ КАРТОЧКИ. ЧИСТОГОВОРКИ</t>
  </si>
  <si>
    <t>467-0-159-14515-8</t>
  </si>
  <si>
    <t>Обучающие карточки «Чистоговорки»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</si>
  <si>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4670159145158</t>
  </si>
  <si>
    <t>Громова Людмила Александровна,Купырина Анна Михайловна,Строителева Анна Владимировна,Балуева Оксана Борисовна</t>
  </si>
  <si>
    <t>СЕРИЯ: РАЗРЕЗНЫЕ ЭЛЕМЕНТЫ. ПЯТЬ В ОДНОМ мелованная бумага 195х275</t>
  </si>
  <si>
    <t>087119</t>
  </si>
  <si>
    <t>РАЗРЕЗНЫЕ ЭЛЕМЕНТЫ. ПЯТЬ В ОДНОМ. АЗБУКА</t>
  </si>
  <si>
    <t>978-5-378-28688-1</t>
  </si>
  <si>
    <t>В брошюре «Азбука» вас ждут целых четыре развивающие игры: карточки-мемори, пазл, лото «Азбука»и занимательная игра-бродилка. Приятным дополнением к играм станет красочный плакат с буквами, который поможет малышу запомнить алфавит гораздо быстрее.</t>
  </si>
  <si>
    <t>9785378286881</t>
  </si>
  <si>
    <t>Разрезные элементы. Пять в одном</t>
  </si>
  <si>
    <t>111674</t>
  </si>
  <si>
    <t>РАЗРЕЗНЫЕ ЭЛЕМЕНТЫ. ПЯТЬ В ОДНОМ. АНГЛИЙСКИЙ АЛФАВИТ</t>
  </si>
  <si>
    <t>978-5-378-29327-8</t>
  </si>
  <si>
    <t>С брошюрами серии "Разрезные элементы. Пять в одном" ребёнок в игровой, увлекательной, весёлой форме пополнит словарный запас и обогатит знания об окружающем мире. В каждой брошюре целых четыре развивающие игры: лото, карточки-мемори, пазл и занимательная игра-бродилка. А приятным дополнениям к играм станет красочный, развивающий плакат. Пользоваться книгами данной серии очень легко и интересно. А главное, занятия доступны как для совместного досуга взрослого и ребёнка, так и для самостоятельного обучения малыша.</t>
  </si>
  <si>
    <t>9785378293278</t>
  </si>
  <si>
    <t>111676</t>
  </si>
  <si>
    <t>РАЗРЕЗНЫЕ ЭЛЕМЕНТЫ. ПЯТЬ В ОДНОМ. РОДИТЕЛИ И ДЕТКИ</t>
  </si>
  <si>
    <t>978-5-378-29328-5</t>
  </si>
  <si>
    <t>9785378293285</t>
  </si>
  <si>
    <t>111675</t>
  </si>
  <si>
    <t>РАЗРЕЗНЫЕ ЭЛЕМЕНТЫ. ПЯТЬ В ОДНОМ. ТРАНСПОРТ</t>
  </si>
  <si>
    <t>978-5-378-29330-8</t>
  </si>
  <si>
    <t>9785378293308</t>
  </si>
  <si>
    <t>СЕРИЯ: РАЗУМНЫЕ КАРТОЧКИ европодвес, глянц. ламин короб, 20 карточек 170х220</t>
  </si>
  <si>
    <t>102944</t>
  </si>
  <si>
    <t>РАЗУМНЫЕ КАРТОЧКИ. НАША ПЛАНЕТА</t>
  </si>
  <si>
    <t>978-5-378-29131-1</t>
  </si>
  <si>
    <t>Разумные карточки-отличное пособие для малышей, которые начинают знакомиться с окружающим миром. Запоминайте названия различных природных объектов и явлений, рассказывайте, почему на нашей планете сменяются времена года, чем знаменит каждый материк, как появляются горы и многое другое. Узнайте, играйте, развивайтесь!</t>
  </si>
  <si>
    <t>9785378291311</t>
  </si>
  <si>
    <t>170х256х12</t>
  </si>
  <si>
    <t>102932</t>
  </si>
  <si>
    <t>РАЗУМНЫЕ КАРТОЧКИ. СПОРТ</t>
  </si>
  <si>
    <t>978-5-378-29129-8</t>
  </si>
  <si>
    <t>Разумные карточки - отличное пособие для малышей, которые начинают знакомиться с окружающим миром. С разрезными карточками вы можете выбрать тот вариант занятий, который подойдёт вам и вашему ребёнку. Расскажите маленькому "ученику" о новых, незнакомых для него видах спорта, подберите к большой карточке соответствующие маленькие картинки. Яркие фотографии помогут ребёнку лучше воспринимать информацию и сделают процесс обучения нескучным. Узнайте, играйте, развивайтесь!</t>
  </si>
  <si>
    <t>9785378291298</t>
  </si>
  <si>
    <t>СЕРИЯ: СЛОВАРНЫЕ СЛОВА глянц.ламин. картон.обл. 195х276</t>
  </si>
  <si>
    <t>203065</t>
  </si>
  <si>
    <t>СЛОВАРНЫЕ СЛОВА. ЗАНИМАТЕЛЬНЫЕ ГОЛОВОЛОМКИ</t>
  </si>
  <si>
    <t>978-5-378-34251-8</t>
  </si>
  <si>
    <t>Серия «Словарные слова» поможет маленьким ученикам запомнить словарные слова, расширить активный словарь, развить внимательность.  
Брошюра «Экспресс-тренажёр» предлагает читателям выполнить разнообразные упражнения: вставить пропущенные буквы, соединить слово и его значение, поставить ударение, расшифровать слова. 
«Занимательные головоломки» представляют собой сборник кроссвордов и головоломок со словарными словами. Разгадывая кроссворды и играя, ребенок запомнит верное написание слов.</t>
  </si>
  <si>
    <t>9785378342518</t>
  </si>
  <si>
    <t>203063</t>
  </si>
  <si>
    <t>СЛОВАРНЫЕ СЛОВА. ЭКСПРЕСС-ТРЕНАЖЁР</t>
  </si>
  <si>
    <t>978-5-378-34250-1</t>
  </si>
  <si>
    <t>9785378342501</t>
  </si>
  <si>
    <t>СЕРИЯ: СУПЕРБОЛЬШАЯ КНИГА ИГР глянц.ламин. тверд.подложка, КБС 355х280</t>
  </si>
  <si>
    <t>213654</t>
  </si>
  <si>
    <t>СУПЕРБОЛЬШАЯ КНИГА ИГР. ВЕСЁЛЫЕ ИГРЫ И ЗАДАНИЯ</t>
  </si>
  <si>
    <t xml:space="preserve">978-5-378-34434-5 </t>
  </si>
  <si>
    <t>Перед вами книга игр в Макси-формате! Иллюстрации в каждой книге представляют из себя детализированные сюжетные картинки, выполненные в едином стиле. Оригинальные задания, раскраски, головоломки, задачки на логику — это и многое другое ждёт вас на страницах Супербольшой книги игр. В блоке отрывные листы — это сделано для того, чтобы можно было раздать детям по листику и, таким образом, занять сразу нескольких детей, например, на празднике. Благодаря большому формату задания на листе можно выполнять и вдвоём. А картонная подложка позволит рисовать в книге, даже когда рядом нет твёрдой поверхности. Ответы на задания можно найти, наведя камеру смартфона на QR-код, расположенный на заднике книги.</t>
  </si>
  <si>
    <t>9785378344345</t>
  </si>
  <si>
    <t>a3ead227be77cfd635c5b550fd6ff341</t>
  </si>
  <si>
    <t>355х280х5</t>
  </si>
  <si>
    <t>213655</t>
  </si>
  <si>
    <t>СУПЕРБОЛЬШАЯ КНИГА ИГР. ИГРЫ, ЛАБИРИНТЫ И ВЕСЁЛЫЕ ЗАДАНИЯ</t>
  </si>
  <si>
    <t xml:space="preserve">978-5-378-34433-8 </t>
  </si>
  <si>
    <t>9785378344338</t>
  </si>
  <si>
    <t>eeea91b0f12ea2b1b6897313b58783be</t>
  </si>
  <si>
    <t>213656</t>
  </si>
  <si>
    <t>СУПЕРБОЛЬШАЯ КНИГА ИГР. ЛАБИРИНТЫ, РЕБУСЫ И ГОЛОВОЛОМКИ</t>
  </si>
  <si>
    <t xml:space="preserve">978-5-378-34432-1 </t>
  </si>
  <si>
    <t>9785378344321</t>
  </si>
  <si>
    <t>5b7ba107231b56dad510172d2b7ac5e5</t>
  </si>
  <si>
    <t>213658</t>
  </si>
  <si>
    <t>СУПЕРБОЛЬШАЯ КНИГА ИГР. САМЫЕ ИНТЕРЕСНЫЕ ГОЛОВОЛОМКИ</t>
  </si>
  <si>
    <t xml:space="preserve">978-5-378-34435-2 </t>
  </si>
  <si>
    <t>9785378344352</t>
  </si>
  <si>
    <t>e05be008f4b072a0c0a3422f06c40ec4</t>
  </si>
  <si>
    <t>СЕРИЯ: СУПЕРУМНЫЙ БЛОКНОТ  глянц.ламин. КБС 64стр. 190х250</t>
  </si>
  <si>
    <t>190382</t>
  </si>
  <si>
    <t>СУПЕРУМНЫЙ БЛОКНОТ. ИГРЫ ДЛЯ ДЕВОЧЕК</t>
  </si>
  <si>
    <t>978-5-378-33893-1</t>
  </si>
  <si>
    <t>Скорее отправляйся в увлекательный мир головоломок и игр! Блокнот с яркими иллюстрациями не даст заскучать. Его можно брать с собой на прогулку или в путешествие.</t>
  </si>
  <si>
    <t>9785378338931</t>
  </si>
  <si>
    <t>190х250х5</t>
  </si>
  <si>
    <t>190380</t>
  </si>
  <si>
    <t>СУПЕРУМНЫЙ БЛОКНОТ. ТРАКТОР ВИК И ВЕСЁЛЫЕ ГОЛОВОЛОМКИ</t>
  </si>
  <si>
    <t>978-5-378-33891-7</t>
  </si>
  <si>
    <t>9785378338917</t>
  </si>
  <si>
    <t>СЕРИЯ: ТАБЛИЦА УМНОЖЕНИЯ с крутящейся шпаргалкой 198х199</t>
  </si>
  <si>
    <t>200286</t>
  </si>
  <si>
    <t>ТАБЛИЦА УМНОЖЕНИЯ с крутящейся шпаргалкой. ДЛЯ ДЕВОЧЕК</t>
  </si>
  <si>
    <t>978-5-378-34153-5</t>
  </si>
  <si>
    <t>«Таблица умножения с крутящейся шпаргалкой» — это удобный помощник для школьников, которые только начинают изучать таблицу умножения. Благодаря крутящейся шпаргалке ребёнок с легкостью выучит таблицу умножения и деления, а разнообразные примеры помогут отработать изученный материал и ещё лучше его запомнить. Внутри тренажёра — не только примеры, но и небольшие памятки с правилами. С ними понять таблицу и изучить её станет проще. А сделают процесс ещё интереснее весёлые задачки с любимыми животными и другими персонажами. Обучение умножению и делению — важный процесс в начальной школе. А «Тренажёр по математике с крутящейся шпаргалкой» скрасит его и увлечёт юных математиков.</t>
  </si>
  <si>
    <t>9785378341535</t>
  </si>
  <si>
    <t>200х200х2</t>
  </si>
  <si>
    <t>200288</t>
  </si>
  <si>
    <t>ТАБЛИЦА УМНОЖЕНИЯ с крутящейся шпаргалкой. ДЛЯ МАЛЬЧИКОВ</t>
  </si>
  <si>
    <t>978-5-378-34154-2</t>
  </si>
  <si>
    <t>9785378341542</t>
  </si>
  <si>
    <t>СЕРИЯ: ТЕСТЫ ДЛЯ МАЛЫШЕЙ глянц.ламин.обл. 195х262</t>
  </si>
  <si>
    <t>110558</t>
  </si>
  <si>
    <t>ТЕСТЫ ДЛЯ МАЛЫШЕЙ. 4-5 лет</t>
  </si>
  <si>
    <t>978-5-378-29274-5</t>
  </si>
  <si>
    <t>Наши тестовые задания помогут развить память и внимание малыша, усовершенствовать его логические навыки, расширить кругозор и обогатить словарный запас. В серии представлены тестовые задания для дошколят разных возрастных групп - такое деление позволит проконтролировать и оценить уровень знаний ребёнка в зависимости от его возраста.</t>
  </si>
  <si>
    <t>9785378292745</t>
  </si>
  <si>
    <t>2+</t>
  </si>
  <si>
    <t>195х262х4</t>
  </si>
  <si>
    <t>110559</t>
  </si>
  <si>
    <t>ТЕСТЫ ДЛЯ МАЛЫШЕЙ. 5-6 лет</t>
  </si>
  <si>
    <t>978-5-378-29275-2</t>
  </si>
  <si>
    <t>9785378292752</t>
  </si>
  <si>
    <t>СЕРИЯ: ТРЕНАЖЁР ПО МАТЕМАТИКЕ С КРУТЯЩЕЙСЯ ШПАРГАЛКОЙ 198х199</t>
  </si>
  <si>
    <t>179085</t>
  </si>
  <si>
    <t>ТРЕНАЖЁР ПО МАТЕМАТИКЕ С КРУТЯЩЕЙСЯ ШПАРГАЛКОЙ. ДЛЯ ДЕВОЧЕК</t>
  </si>
  <si>
    <t>978-5-378-33102-4</t>
  </si>
  <si>
    <t>«Тренажер по математике с крутящейся шпаргалкой» — это удобный помощник для школьников, которые только начинают изучать таблицу умножения. Благодаря крутящейся шпаргалке ребёнок с легкостью выучит таблицу умножения и деления, а разнообразные примеры помогут отработать изученный материал и ещё лучше его запомнить. Внутри тренажёра — не только примеры, но и небольшие памятки с правилами. С ними понять таблицу и изучить её станет проще. А сделают процесс ещё интереснее весёлые задачки с любимыми животными и другими персонажами. Обучение умножению и делению — важный процесс в начальной школе. А «Тренажёр по математике с крутящейся шпаргалкой» скрасит его и увлечёт юных математиков.</t>
  </si>
  <si>
    <t>9785378331024</t>
  </si>
  <si>
    <t>198х199х2</t>
  </si>
  <si>
    <t>СЕРИЯ: ТРЕНАЖЁР ПО ЧИСТОПИСАНИЮ глян.ламин,картон.обл, офсет 75гр. 165х240</t>
  </si>
  <si>
    <t>223831</t>
  </si>
  <si>
    <t>ТРЕНАЖЁР ПО ЧИСТОПИСАНИЮ. УЧИМСЯ ПИСАТЬ БУКВЫ</t>
  </si>
  <si>
    <t>978-5-378-34641-7</t>
  </si>
  <si>
    <t>Прописи серии «Тренажёр по чистописанию» помогут детям улучшить почерк, сделать его более аккуратным и разборчивым. Во время дополнительных занятий школьники смогут отработать правильное написание и соединение букв, попрактиковаться в написании словосочетаний и предложений, а также повторить и закрепить правила русского языка.</t>
  </si>
  <si>
    <t>9785378346417</t>
  </si>
  <si>
    <t>401f2f918c9837740c926aaed9ae2f6a</t>
  </si>
  <si>
    <t>19.11.2024 0:00:00</t>
  </si>
  <si>
    <t>223832</t>
  </si>
  <si>
    <t>ТРЕНАЖЁР ПО ЧИСТОПИСАНИЮ. УЧИМСЯ ПИСАТЬ ГРАМОТНО</t>
  </si>
  <si>
    <t>978-5-378-34642-4</t>
  </si>
  <si>
    <t>9785378346424</t>
  </si>
  <si>
    <t>9e61effa4ac2cf87b788abea7700f10f</t>
  </si>
  <si>
    <t>223833</t>
  </si>
  <si>
    <t>ТРЕНАЖЁР ПО ЧИСТОПИСАНИЮ. УЧИМСЯ ПИСАТЬ ПРЕДЛОЖЕНИЯ</t>
  </si>
  <si>
    <t>978-5-378-34643-1</t>
  </si>
  <si>
    <t>9785378346431</t>
  </si>
  <si>
    <t>2cb869b1be403a70f038d7f3bf4d4762</t>
  </si>
  <si>
    <t>223834</t>
  </si>
  <si>
    <t>ТРЕНАЖЁР ПО ЧИСТОПИСАНИЮ. УЧИМСЯ СОЕДИНЯТЬ БУКВЫ</t>
  </si>
  <si>
    <t>978-5-378-34644-8</t>
  </si>
  <si>
    <t>9785378346448</t>
  </si>
  <si>
    <t>087dcd0574d96c1242f9919922c0d1a5</t>
  </si>
  <si>
    <t>СЕРИЯ: ТРЕНАЖЁРЫ глянц.ламин,картон.обл.195х276</t>
  </si>
  <si>
    <t>134342</t>
  </si>
  <si>
    <t>ТРЕНАЖЁР ПО МАТЕМАТИКЕ 5+</t>
  </si>
  <si>
    <t>978-5-378-30415-8</t>
  </si>
  <si>
    <t>"Тренажёры для дошкольника"- серия брошюр, которая направлена на подготовку вашего ребёнка к школе. В брошюрах вас ждут задания разного уровня сложности, нацеленные на развитие математических способностей, а также знаний по русскому языку.</t>
  </si>
  <si>
    <t>9785378304158</t>
  </si>
  <si>
    <t>134343</t>
  </si>
  <si>
    <t>ТРЕНАЖЁР ПО РУССКОМУ 5+</t>
  </si>
  <si>
    <t>978-5-378-30417-2</t>
  </si>
  <si>
    <t>9785378304172</t>
  </si>
  <si>
    <t>134345</t>
  </si>
  <si>
    <t>ТРЕНАЖЁР ПО РУССКОМУ 7+</t>
  </si>
  <si>
    <t>978-5-378-30418-9</t>
  </si>
  <si>
    <t>9785378304189</t>
  </si>
  <si>
    <t>183418</t>
  </si>
  <si>
    <t>ТРЕНАЖЁР ПО РУССКОМУ ЯЗЫКУ 8+</t>
  </si>
  <si>
    <t>978-5-378-33285-4</t>
  </si>
  <si>
    <t>Наши тренажёры по русскому и математике содержат задания, которые помогут школьнику закрепить новые знания. Ежедневные занятия положительно влияют на оценки в школе и уверенность ребёнка. Сборники оформлены цветными иллюстрациями и дружелюбными персонажами, благодаря чему заниматься по ним весело и интересно</t>
  </si>
  <si>
    <t>9785378332854</t>
  </si>
  <si>
    <t>СЕРИЯ: ТРЕНАЖЁРЫ ДЛЯ ШКОЛЬНИКОВ 165х225</t>
  </si>
  <si>
    <t>258285</t>
  </si>
  <si>
    <t>ТРЕНАЖЁР. СЛОВАРНЫЕ СЛОВА</t>
  </si>
  <si>
    <t>978-5-378-35671-3</t>
  </si>
  <si>
    <t>Тренажёры для школьников - отличные помощники в обучении школьников. В серии представлены "Словарные слова" и "Таблица умножения". Эти брошюры предлагают краткую выжимку полезного материала, который идеально подходит для подготовки к школе или занятий после каникул перед началом учебного года. Упражнения помогут ребенку легко освоить сложные слова и закрепить знания по математике. Набор заданий направлен на постепенное усвоение информации без перегрузки.</t>
  </si>
  <si>
    <t>9785378356713</t>
  </si>
  <si>
    <t>e8a084eef84c780a4a112386c0a7a9f8</t>
  </si>
  <si>
    <t>165х224х2</t>
  </si>
  <si>
    <t>258282</t>
  </si>
  <si>
    <t>ТРЕНАЖЁР. ТАБЛИЦА УМНОЖЕНИЯ</t>
  </si>
  <si>
    <t>978-5-378-35672-0</t>
  </si>
  <si>
    <t>9785378356720</t>
  </si>
  <si>
    <t>4a6dba0804cfecf0c40bf75e057946c7</t>
  </si>
  <si>
    <t>СЕРИЯ: УМНЫЕ ДЕТКИ глянц.ламин. 200х280</t>
  </si>
  <si>
    <t>169788</t>
  </si>
  <si>
    <t>УМНЫЕ ДЕТКИ. БУКВЫ, СЛОГИ, СЛОВА 4-5 лет (зелёная)</t>
  </si>
  <si>
    <t>978-5-378-32076-9</t>
  </si>
  <si>
    <t>В новую серию «Умные детки» вошли восемь сборников с полезными заданиями для дошкольников и первоклассников: «Решаем, объясняем, рисуем», «Читаем, пишем, говорим», «Развивающие задачи и упражнения 4—5 лет», «Развивающие задачи и упражнения 6—7 лет», «Цифры, счёт, фигуры», «Считаем, сравниваем, рассуждаем», «Буквы, слоги, слова 4—5 лет», «Буквы, слоги, слова 5—6 лет». По задумке составителей, в каждой 48-страничной брошюре акцент сделан именно на необычные, оригинальные упражнения, поэтому их сопровождают минималистичные чёрно-белые иллюстрации.</t>
  </si>
  <si>
    <t>9785378320769</t>
  </si>
  <si>
    <t>4-5</t>
  </si>
  <si>
    <t>200х280х4</t>
  </si>
  <si>
    <t>169789</t>
  </si>
  <si>
    <t>УМНЫЕ ДЕТКИ. БУКВЫ, СЛОГИ, СЛОВА 5-6 лет (голубая)</t>
  </si>
  <si>
    <t>978-5-378-32077-6</t>
  </si>
  <si>
    <t>9785378320776</t>
  </si>
  <si>
    <t>5-6</t>
  </si>
  <si>
    <t>169790</t>
  </si>
  <si>
    <t>УМНЫЕ ДЕТКИ. РЕШАЕМ, ОБЪЯСНЯЕМ, РИСУЕМ 6-7 лет</t>
  </si>
  <si>
    <t>978-5-378-32078-3</t>
  </si>
  <si>
    <t>9785378320783</t>
  </si>
  <si>
    <t>6-7</t>
  </si>
  <si>
    <t xml:space="preserve">СЕРИЯ: УМНЫЙ БЛОКНОТ картон.обл.,глянц.ламин.165х240 </t>
  </si>
  <si>
    <t>183465</t>
  </si>
  <si>
    <t>УМНЫЙ БЛОКНОТ. РИСУЙ, ИГРАЙ, СЧИТАЙ С ПАНДОЧКОЙ</t>
  </si>
  <si>
    <t>978-5-378-33407-0</t>
  </si>
  <si>
    <t>Серия из восьми развивающих блокнотов, в которых дети найдут увлекательные задания, головоломки, загадки и игры с любимыми героями.</t>
  </si>
  <si>
    <t>9785378334070</t>
  </si>
  <si>
    <t>b8a8fa1ed8e6a0d264133736328381cf</t>
  </si>
  <si>
    <t>162х240х2</t>
  </si>
  <si>
    <t>СЕРИЯ: ШПАРГАЛКИ ДЛЯ МАЛЫШЕЙ 210х290</t>
  </si>
  <si>
    <t>058779</t>
  </si>
  <si>
    <t>ШПАРГАЛКИ ДЛЯ МАЛЫШЕЙ. ЗНАКИ СРАВНЕНИЯ</t>
  </si>
  <si>
    <t>978-5-378-27109-2</t>
  </si>
  <si>
    <t>Познавательные шпаргалки для малышей помогут вашему ребёнку быстро запомнить алфавит,таблицу умножения,правила русского языка и многое другое. Яркий и весёлый дизайн заинтересует даже самых непослушных непосед,которые не любят много времени тратить на уроки. Шпаргалки станут отличным помощником в обучении.</t>
  </si>
  <si>
    <t>9785378271092</t>
  </si>
  <si>
    <t>14.02.2018 0:00:00</t>
  </si>
  <si>
    <t>Шпаргалки для малышей.</t>
  </si>
  <si>
    <t>210х290х1</t>
  </si>
  <si>
    <t>072926</t>
  </si>
  <si>
    <t>ШПАРГАЛКИ ДЛЯ МАЛЫШЕЙ. ОВОЩИ И ФРУКТЫ</t>
  </si>
  <si>
    <t>978-5-378-27904-3</t>
  </si>
  <si>
    <t>9785378279043</t>
  </si>
  <si>
    <t>13.10.2017 0:00:00</t>
  </si>
  <si>
    <t>РАСКРАСКИ</t>
  </si>
  <si>
    <t xml:space="preserve"> РАСКРАСКИ ПРЕМИУМ (подходит для акриловых маркеров)</t>
  </si>
  <si>
    <t>СЕРИЯ: РАСКРАСКА ДЛЯ ВДОХНОВЕНИЯ. ПРЕМИУМ 7БЦ мат.ламин, выб.лак, тиснение 227х295</t>
  </si>
  <si>
    <t>280985</t>
  </si>
  <si>
    <t>РАСКРАСКА ДЛЯ ВДОХНОВЕНИЯ. ПРЕМИУМ. Изысканная романтика</t>
  </si>
  <si>
    <t>978-5-378-36188-5</t>
  </si>
  <si>
    <t>У вас в руках не обычная раскраска, а роскошная книга с сюжетами,
которые вдохновляют любить и творить – ярко, страстно, безоглядно!
Наполняйте каждый свой день и картинки, представленные в сборнике, искренними эмоциями и сочными оттенками. Помните: палитра вашей жизни безгранична и неиссякаема!</t>
  </si>
  <si>
    <t>9785378361885</t>
  </si>
  <si>
    <t>b639910e3e4dee48299684fbf392c553</t>
  </si>
  <si>
    <t>225х295х10</t>
  </si>
  <si>
    <t>280984</t>
  </si>
  <si>
    <t>РАСКРАСКА ДЛЯ ВДОХНОВЕНИЯ. ПРЕМИУМ. Уютная эстетика</t>
  </si>
  <si>
    <t>978-5-378-36187-8</t>
  </si>
  <si>
    <t>У вас в руках не обычная раскраска, а роскошная книга с сюжетами, которые вдохновляют любить и творить – ярко, страстно, безоглядно! Наполняйте каждый свой день и картинки, представленные в сборнике, искренними эмоциями и сочными оттенками. Помните: палитра вашей жизни безгранична и неиссякаема!</t>
  </si>
  <si>
    <t>9785378361878</t>
  </si>
  <si>
    <t>8187bf0b16999ff756001c51947d08b9</t>
  </si>
  <si>
    <t>СЕРИЯ: РАСКРАСКА ПО НОМЕРАМ 100%. ПРЕМИУМ тиснение КБС 210х297</t>
  </si>
  <si>
    <t>274881</t>
  </si>
  <si>
    <t>РАСКРАСКА ПО НОМЕРАМ 100%. ПРЕМИУМ. DNK. 100% стиля</t>
  </si>
  <si>
    <t>978-5-378-36087-1</t>
  </si>
  <si>
    <t>Вы держите в руках не просто раскраску, а манифест стиля, созданный в коллаборации с дизайнерским брендом «DNK RUSSIA»! 50 сюжетов вдохновлены модными коллекциями бренда, великой историей России, рассказанной через образы её самых стильных жителей. Отправьтесь в путешествие сквозь время и моду. Ощутите магию момента, когда линии превращаются в объём, а чёрно-белый образ обретает цвет. Экспериментируйте с оттенками, создавайте свои уникальные палитры или доверьтесь готовым решениям. Откройте для себя 100% стиля, не следуйте за модой, творите её сами!</t>
  </si>
  <si>
    <t>9785378360871</t>
  </si>
  <si>
    <t>60becb1c31429c34e48cfc6c17649af2</t>
  </si>
  <si>
    <t>210х295х12</t>
  </si>
  <si>
    <t>СЕРИЯ: РАСКРАСКА ПО НОМЕРАМ ПРОФ-ПРЕСС. ПРЕМИУМ КБС 210х297</t>
  </si>
  <si>
    <t>280979</t>
  </si>
  <si>
    <t>РАСКРАСКА ПО НОМЕРАМ ПРОФ-ПРЕСС. ПРЕМИУМ. 210х290 Мировые шедевры</t>
  </si>
  <si>
    <t>978-5-378-36194-6</t>
  </si>
  <si>
    <t>Приглашаем погрузиться в мир спокойствия, медитации и гармонии. Продуманные до мелочей сюжеты созданы, чтобы вы смогли отвлечься от забот и наполниться приятными эмоциями. Плотная бумага, цветная печать и премиальное качество раскраски сделают ваше хобби ещё более комфортным и приятным. Посвятите время себе и творчеству.</t>
  </si>
  <si>
    <t>9785378361946</t>
  </si>
  <si>
    <t>210х290х4</t>
  </si>
  <si>
    <t>280978</t>
  </si>
  <si>
    <t>РАСКРАСКА ПО НОМЕРАМ ПРОФ-ПРЕСС. ПРЕМИУМ. 210х290 Новогоднее настроение</t>
  </si>
  <si>
    <t>978-5-378-36193-9</t>
  </si>
  <si>
    <t>9785378361939</t>
  </si>
  <si>
    <t>280981</t>
  </si>
  <si>
    <t>РАСКРАСКА ПО НОМЕРАМ ПРОФ-ПРЕСС. ПРЕМИУМ. 210х290 Союзмультфильм. Воспоминания из детства</t>
  </si>
  <si>
    <t>978-5-378-36182-3</t>
  </si>
  <si>
    <t>Приглашаем погрузиться в мир спокойствия, медитации и гармонии. Плотная бумага, цветная печать и премиальное качество раскраски сделают ваше хобби ещё более комфортным и приятным. А любимые герои из детства наполнят вас тёплыми воспоминаниями и приятными эмоциями. Посвятите время себе и творчеству!</t>
  </si>
  <si>
    <t>9785378361823</t>
  </si>
  <si>
    <t>280980</t>
  </si>
  <si>
    <t>РАСКРАСКА ПО НОМЕРАМ ПРОФ-ПРЕСС. ПРЕМИУМ. 210х290 Союзмультфильм. Счастливое детство</t>
  </si>
  <si>
    <t>978-5-378-36190-8</t>
  </si>
  <si>
    <t>9785378361908</t>
  </si>
  <si>
    <t>278153</t>
  </si>
  <si>
    <t>РАСКРАСКА ПО НОМЕРАМ ПРОФ-ПРЕСС. ПРЕМИУМ. Гармония и вдохновение</t>
  </si>
  <si>
    <t>978-5-378-36116-8</t>
  </si>
  <si>
    <t>Приглашаем погрузиться в мир спокойствия, медитации
и гармонии. Продуманные до мелочей сюжеты созданы, чтобы вы
смогли отвлечься от забот и наполниться приятными эмоциями.
Плотная бумага, цветная печать и премиальное качество раскраски
сделают ваше хобби ещё более комфортным и приятным.
Посвятите время себе и творчеству.</t>
  </si>
  <si>
    <t>9785378361168</t>
  </si>
  <si>
    <t>72c40dbd1f139039460da8345bb43b2a</t>
  </si>
  <si>
    <t>210х297х4</t>
  </si>
  <si>
    <t>278154</t>
  </si>
  <si>
    <t>РАСКРАСКА ПО НОМЕРАМ ПРОФ-ПРЕСС. ПРЕМИУМ. Кошечки</t>
  </si>
  <si>
    <t>978-5-378-36114-4</t>
  </si>
  <si>
    <t>9785378361144</t>
  </si>
  <si>
    <t>868dc6a4dc2204b61b37863687613c29</t>
  </si>
  <si>
    <t>278156</t>
  </si>
  <si>
    <t>РАСКРАСКА ПО НОМЕРАМ ПРОФ-ПРЕСС. ПРЕМИУМ. Про любовь</t>
  </si>
  <si>
    <t>978-5-378-36117-5</t>
  </si>
  <si>
    <t>9785378361175</t>
  </si>
  <si>
    <t>9787c448939be86c53ebc1369ca62cff</t>
  </si>
  <si>
    <t>278155</t>
  </si>
  <si>
    <t>РАСКРАСКА ПО НОМЕРАМ ПРОФ-ПРЕСС. ПРЕМИУМ. Собачки</t>
  </si>
  <si>
    <t>978-5-378-36115-1</t>
  </si>
  <si>
    <t>9785378361151</t>
  </si>
  <si>
    <t>324d1a881d652b45f9acf9670117f3bc</t>
  </si>
  <si>
    <t>СЕРИЯ: РАСКРАСКА ПО НОМЕРАМ. ПРЕМИУМ КБС 210х297</t>
  </si>
  <si>
    <t>263056</t>
  </si>
  <si>
    <t>РАСКРАСКА ПО НОМЕРАМ. ПРЕМИУМ. La Decoro. Красота и уют в доме</t>
  </si>
  <si>
    <t>978-5-378-35757-4</t>
  </si>
  <si>
    <t>Погрузитесь в мир уютных интерьеров и эстетичных локаций с этой особенной раскраской, созданной в коллаборации с российским брендом «La Decoro» — известным производителем дизайнерских кашпо. Вдохновленные эстетикой бренда и его широким ассортиментом кашпо, мы собрали 100 уникальных сюжетов, где царят гармония, стиль и уют. Превосходное качество материалов делает творческий процесс по-настоящему роскошным - формат А4, обложка с глянцевой обложкой, блок состоит из 64 листов с двусторонней цветной печатью на плотной белоснежной бумаге 160 грамм.</t>
  </si>
  <si>
    <t>9785378357574</t>
  </si>
  <si>
    <t>f4acc5c1e3af2c5d7ee5ed27d8081396</t>
  </si>
  <si>
    <t>210х297х13</t>
  </si>
  <si>
    <t>270074</t>
  </si>
  <si>
    <t>РАСКРАСКА ПО НОМЕРАМ. ПРЕМИУМ. Вдохновение и гармония</t>
  </si>
  <si>
    <t>978-5-378-36005-5</t>
  </si>
  <si>
    <t>Вы держите в руках идеальную раскраску для арт-медитации, для вашего творческого и расслабляющего хобби. На каждой странице вы увидите качественное, детальное исполнение работы, благодаря которому вы почувствуете удовольствие и безмятежность. Придумайте собственные цветовые решения или вдохновляйтесь готовой палитрой!</t>
  </si>
  <si>
    <t>9785378360055</t>
  </si>
  <si>
    <t>7118c45eaa79d75c73f6eee96f3a3ff0</t>
  </si>
  <si>
    <t>210х208х12</t>
  </si>
  <si>
    <t>267385</t>
  </si>
  <si>
    <t>РАСКРАСКА ПО НОМЕРАМ. ПРЕМИУМ. Капибара и Гусь</t>
  </si>
  <si>
    <t>978-5-378-35760-4</t>
  </si>
  <si>
    <t>Представляем пополнении серии премиум-раскрасок по номерам для арт-медитации, где каждая деталь говорит о высоком качестве и заботе о вашем комфорте! Формат А4, обложка с глянцевой ламинацией, блок состоит из 64 листов с двусторонней цветной печатью на плотной белоснежной бумаге 160 грамм, 100 тематических сюжетов, а так же ответы в цвете. Это идеальный подарок для изысканного и расслабляющего хобби!</t>
  </si>
  <si>
    <t>9785378357604</t>
  </si>
  <si>
    <t>e26027c8aad51706c0e91cd9737ae64a</t>
  </si>
  <si>
    <t>263057</t>
  </si>
  <si>
    <t>РАСКРАСКА ПО НОМЕРАМ. ПРЕМИУМ. Кошечки</t>
  </si>
  <si>
    <t>978-5-378-35758-1</t>
  </si>
  <si>
    <t>Представляем премиум-раскраски по номерам для арт-медитации, где каждая деталь говорит о высоком качестве и заботе о вашем комфорте! В коллекцию входят раскраски: «La Decoro. Красота и уют в доме» для ценителей уюта и эстетики, очаровательные «Кошечки», а скоро — «Собачки» и суперстары Трендхауса «Капибара и друзья». Формат А4, обложка с глянцевой обложкой, блок состоит из 64 листов с двусторонней цветной печатью на плотной белоснежной бумаге 160 грамм, 100 тематических сюжета, а так же ответы в цвете. Это идеальный подарок для изысканного и расслабляющего хобби!</t>
  </si>
  <si>
    <t>9785378357581</t>
  </si>
  <si>
    <t>2f8bc98b4d257187cc997a6f4d50f810</t>
  </si>
  <si>
    <t>273318</t>
  </si>
  <si>
    <t>РАСКРАСКА ПО НОМЕРАМ. ПРЕМИУМ. Кругосветное путешествие</t>
  </si>
  <si>
    <t>978-5-378-36023-9</t>
  </si>
  <si>
    <t>Вы держите в руках идеальную раскраску для арт-медитации, для вашего творческого и расслабляющего хобби. Каждый сюжет станет вашим личным билетом к самым знаменитым уголкам планеты, где залитые солнцем площади соседствуют с величественными дворцами, утопающими в зелени, а колоритные европейские улочки и загадочные руины древних цивилизаций сменяются видами на безбрежные морские просторы. Придумывайте собственные цветовые решения или вдохновляйтесь готовой палитрой!</t>
  </si>
  <si>
    <t>9785378360239</t>
  </si>
  <si>
    <t>f8e4efb6644db92d705af40389c7210a</t>
  </si>
  <si>
    <t>210х298х12</t>
  </si>
  <si>
    <t>280976</t>
  </si>
  <si>
    <t>РАСКРАСКА ПО НОМЕРАМ. ПРЕМИУМ. Новогоднее настроение</t>
  </si>
  <si>
    <t>978-5-378-36189-2</t>
  </si>
  <si>
    <t>Вы держите в руках идеальную раскраску для арт-медитации, вашего творческого и расслабляющего хобби. Окунитесь в мир уютных зимних праздников, где драгоценные минуты в кругу семьи и друзей наполняют теплом даже самые морозные вечера, а свежесть горных вершин соседствует с уютом потрескивающего камина. Предвкушение чуда, нежные объятия мягких пледов и волшебство тихих свиданий на фоне заснеженного леса сменяются душевными посиделками с самыми близкими. Истинное праздничное настроение!
Придумывайте собственные цветовые решения или вдохновляйтесь готовой палитрой!</t>
  </si>
  <si>
    <t>9785378361892</t>
  </si>
  <si>
    <t>267386</t>
  </si>
  <si>
    <t>РАСКРАСКА ПО НОМЕРАМ. ПРЕМИУМ. Про любовь</t>
  </si>
  <si>
    <t>978-5-378-35940-0</t>
  </si>
  <si>
    <t>9785378359400</t>
  </si>
  <si>
    <t>bc33d7127675d876c32c766561a1bbc7</t>
  </si>
  <si>
    <t>267384</t>
  </si>
  <si>
    <t>РАСКРАСКА ПО НОМЕРАМ. ПРЕМИУМ. Собачки</t>
  </si>
  <si>
    <t>978-5-378-35759-8</t>
  </si>
  <si>
    <t>9785378357598</t>
  </si>
  <si>
    <t>0c6a8ed33d540d9e0fb1509c6354d9cf</t>
  </si>
  <si>
    <t>СЕРИЯ: УЮТНАЯ РАСКРАСКА глянц.ламин, тиснение 213х213</t>
  </si>
  <si>
    <t>263050</t>
  </si>
  <si>
    <t>УЮТНАЯ РАСКРАСКА. ЗАБАВНЫЕ ЖИВОТНЫЕ</t>
  </si>
  <si>
    <t>978-5-378-35814-4</t>
  </si>
  <si>
    <t>Раскраски нашей новой серии — для тех, кто ценит уют и гармонию в деталях.</t>
  </si>
  <si>
    <t>9785378358144</t>
  </si>
  <si>
    <t>7b7187a231f43918e5e9e6e7cccb247a</t>
  </si>
  <si>
    <t>213х213х5</t>
  </si>
  <si>
    <t>261444</t>
  </si>
  <si>
    <t>УЮТНАЯ РАСКРАСКА. МИЛЫЕ ДРУЗЬЯ</t>
  </si>
  <si>
    <t>978-5-378-35767-3</t>
  </si>
  <si>
    <t>9785378357673</t>
  </si>
  <si>
    <t>541fd88226223bfcbae7f8a3c80a3a9a</t>
  </si>
  <si>
    <t>263051</t>
  </si>
  <si>
    <t>УЮТНАЯ РАСКРАСКА. МИЛЫЙ ДОМ</t>
  </si>
  <si>
    <t>978-5-378-35815-1</t>
  </si>
  <si>
    <t>9785378358151</t>
  </si>
  <si>
    <t>d892b575477f2d010f6d685dc7929590</t>
  </si>
  <si>
    <t>261446</t>
  </si>
  <si>
    <t>УЮТНАЯ РАСКРАСКА. МИР ДЕВЧОНОК</t>
  </si>
  <si>
    <t>978-5-378-35768-0</t>
  </si>
  <si>
    <t>9785378357680</t>
  </si>
  <si>
    <t>e76c4799685234c6d01a8d697023eea1</t>
  </si>
  <si>
    <t>213х213х4</t>
  </si>
  <si>
    <t xml:space="preserve"> РАСКРАСКИ ЭКОНОМ</t>
  </si>
  <si>
    <t xml:space="preserve">CЕРИЯ:  МОЯ МЕГА-РАСКРАСКА 16 и 24 стр. обл. целлюлоз. карт.285х320 </t>
  </si>
  <si>
    <t>113412</t>
  </si>
  <si>
    <t>МОЯ МЕГА-раскраска эконом. ДЛЯ САМЫХ МАЛЕНЬКИХ</t>
  </si>
  <si>
    <t>978-5-378-29453-4</t>
  </si>
  <si>
    <t>Моя мега-раскраска обязательно понравится маленьким художникам. Малыши найдут здесь крупные иллюстрации с забавными героями и интересными сюжетами.</t>
  </si>
  <si>
    <t>9785378294534</t>
  </si>
  <si>
    <t>285х320х2</t>
  </si>
  <si>
    <t>CЕРИЯ: АНИМЕ-РАСКРАСКИ эконом, 6 листов, мелов.обл. 170х260</t>
  </si>
  <si>
    <t>228377</t>
  </si>
  <si>
    <t>АНИМЕ-РАСКРАСКА. ВОИНЫ АНИМЕ</t>
  </si>
  <si>
    <t>978-5-378-34751-3</t>
  </si>
  <si>
    <t>9785378347513</t>
  </si>
  <si>
    <t>1432b70a68fe0011a198420151cbc2a0</t>
  </si>
  <si>
    <t>170х260х1</t>
  </si>
  <si>
    <t>215467</t>
  </si>
  <si>
    <t>АНИМЕ-РАСКРАСКА. ДЕВОЧКИ АНИМЕ</t>
  </si>
  <si>
    <t>978-5-378-34506-9</t>
  </si>
  <si>
    <t xml:space="preserve">Новая серия раскрасок создана специально для фанатов Аниме. Это 8 сборников с милыми, волшебными, загадочными и романтичными персонажами Аниме. Выбери тот, который понравится именно тебе! </t>
  </si>
  <si>
    <t>9785378345069</t>
  </si>
  <si>
    <t>46d8c13efc9453465b054110e6654b81</t>
  </si>
  <si>
    <t>228379</t>
  </si>
  <si>
    <t>АНИМЕ-РАСКРАСКА. КЕМОНОМИМИ</t>
  </si>
  <si>
    <t>978-5-378-34752-0</t>
  </si>
  <si>
    <t>9785378347520</t>
  </si>
  <si>
    <t>a79e9a44b35083a242a5bd17c3e2af23</t>
  </si>
  <si>
    <t>215468</t>
  </si>
  <si>
    <t>АНИМЕ-РАСКРАСКА. МАЛЫШКИ ЧИБИ</t>
  </si>
  <si>
    <t>978-5-378-34507-6</t>
  </si>
  <si>
    <t>9785378345076</t>
  </si>
  <si>
    <t>b485bc4711c1e6c0522e23ce7a8144c1</t>
  </si>
  <si>
    <t>215463</t>
  </si>
  <si>
    <t>АНИМЕ-РАСКРАСКА. МИР АНИМЕ</t>
  </si>
  <si>
    <t>978-5-378-34501-4</t>
  </si>
  <si>
    <t>9785378345014</t>
  </si>
  <si>
    <t>967883d71157ce30a08a0df882184d5d</t>
  </si>
  <si>
    <t>215469</t>
  </si>
  <si>
    <t>АНИМЕ-РАСКРАСКА. МОЁ АНИМЕ</t>
  </si>
  <si>
    <t>978-5-378-34503-8</t>
  </si>
  <si>
    <t>9785378345038</t>
  </si>
  <si>
    <t>1a69940c48908eefa52d3c8c68542bda</t>
  </si>
  <si>
    <t>215464</t>
  </si>
  <si>
    <t>АНИМЕ-РАСКРАСКА. МОЯ МАНГА</t>
  </si>
  <si>
    <t>978-5-378-34502-1</t>
  </si>
  <si>
    <t>9785378345021</t>
  </si>
  <si>
    <t>bde61074066a0a236e37f8707af0d15b</t>
  </si>
  <si>
    <t>228375</t>
  </si>
  <si>
    <t>АНИМЕ-РАСКРАСКА. СКАЗОЧНОЕ ФЭНТАЗИ</t>
  </si>
  <si>
    <t>978-5-378-34750-6</t>
  </si>
  <si>
    <t>9785378347506</t>
  </si>
  <si>
    <t>14aedae3cedcc3aba12481324b77363e</t>
  </si>
  <si>
    <t>CЕРИЯ: РАСКРАСКИ А4 эконом, 8 листов, мелов.обл., 195х276</t>
  </si>
  <si>
    <t>226086</t>
  </si>
  <si>
    <t>РАСКРАСКА А4 эконом. В МИРЕ ПРИКЛЮЧЕНИЙ</t>
  </si>
  <si>
    <t>978-5-378-34709-4</t>
  </si>
  <si>
    <t>В новой серии раскрасок А4 малыши найдут множество интересных сюжетов и забавных картинок для раскрашивания. Дайте ребёнку цветные карандаши или краски, и он с удовольствием и пользой проведёт время!</t>
  </si>
  <si>
    <t>9785378347094</t>
  </si>
  <si>
    <t>Раскраска эконом</t>
  </si>
  <si>
    <t>228031</t>
  </si>
  <si>
    <t>РАСКРАСКА А4 эконом. В РИТМЕ ГОРОДА</t>
  </si>
  <si>
    <t>978-5-378-34761-2</t>
  </si>
  <si>
    <t>9785378347612</t>
  </si>
  <si>
    <t>228034</t>
  </si>
  <si>
    <t>РАСКРАСКА А4 эконом. ВОЕННАЯ ТЕХНИКА</t>
  </si>
  <si>
    <t>978-5-378-34763-6</t>
  </si>
  <si>
    <t>9785378347636</t>
  </si>
  <si>
    <t>242305</t>
  </si>
  <si>
    <t>РАСКРАСКА А4 эконом. ВОЛШЕБНЫЙ МИР</t>
  </si>
  <si>
    <t>978-5-378-35282-1</t>
  </si>
  <si>
    <t>9785378352821</t>
  </si>
  <si>
    <t>171556</t>
  </si>
  <si>
    <t>РАСКРАСКА А4 эконом. ВРЕМЕНА ГОДА</t>
  </si>
  <si>
    <t>978-5-378-32256-5</t>
  </si>
  <si>
    <t>9785378322565</t>
  </si>
  <si>
    <t>108941</t>
  </si>
  <si>
    <t>РАСКРАСКА А4 эконом. ДИКИЕ ЖИВОТНЫЕ</t>
  </si>
  <si>
    <t>978-5-378-29248-6</t>
  </si>
  <si>
    <t>9785378292486</t>
  </si>
  <si>
    <t>141769</t>
  </si>
  <si>
    <t>РАСКРАСКА А4 эконом. ДЛЯ МАЛЫШЕЙ</t>
  </si>
  <si>
    <t>978-5-378-30715-9</t>
  </si>
  <si>
    <t>9785378307159</t>
  </si>
  <si>
    <t>273316</t>
  </si>
  <si>
    <t>РАСКРАСКА А4 эконом. ДЛЯ МАЛЫШЕЙ (КОТЭ)</t>
  </si>
  <si>
    <t>978-5-378-36035-2</t>
  </si>
  <si>
    <t>9785378360352</t>
  </si>
  <si>
    <t>54efe52ae9d80df686a604705493bb90</t>
  </si>
  <si>
    <t>079908</t>
  </si>
  <si>
    <t>РАСКРАСКА А4 эконом. ДЛЯ САМЫХ МАЛЕНЬКИХ</t>
  </si>
  <si>
    <t>978-5-378-28339-2</t>
  </si>
  <si>
    <t>9785378283392</t>
  </si>
  <si>
    <t>19.03.2018 0:00:00</t>
  </si>
  <si>
    <t>079909</t>
  </si>
  <si>
    <t>РАСКРАСКА А4 эконом. ЖИВОТНЫЕ</t>
  </si>
  <si>
    <t>978-5-378-28335-4</t>
  </si>
  <si>
    <t>9785378283354</t>
  </si>
  <si>
    <t>226082</t>
  </si>
  <si>
    <t>РАСКРАСКА А4 эконом. ЗАБАВНЫЕ ЗВЕРЯТА</t>
  </si>
  <si>
    <t>978-5-378-34706-3</t>
  </si>
  <si>
    <t>9785378347063</t>
  </si>
  <si>
    <t>194039</t>
  </si>
  <si>
    <t>РАСКРАСКА А4 эконом. КОТИКИ</t>
  </si>
  <si>
    <t>978-5-378-34039-2</t>
  </si>
  <si>
    <t>9785378340392</t>
  </si>
  <si>
    <t>228036</t>
  </si>
  <si>
    <t>РАСКРАСКА А4 эконом. КРАСОТА ВОСТОКА</t>
  </si>
  <si>
    <t>978-5-378-34765-0</t>
  </si>
  <si>
    <t>9785378347650</t>
  </si>
  <si>
    <t>204759</t>
  </si>
  <si>
    <t>РАСКРАСКА А4 эконом. КРИПИ ЧИБИ</t>
  </si>
  <si>
    <t>978-5-378-34282-2</t>
  </si>
  <si>
    <t>9785378342822</t>
  </si>
  <si>
    <t>194045</t>
  </si>
  <si>
    <t>РАСКРАСКА А4 эконом. КТО ЖИВЁТ В ОКЕАНЕ?</t>
  </si>
  <si>
    <t>978-5-378-34050-7</t>
  </si>
  <si>
    <t>9785378340507</t>
  </si>
  <si>
    <t>194043</t>
  </si>
  <si>
    <t>РАСКРАСКА А4 эконом. КТО ЖИВЁТ НА ФЕРМЕ?</t>
  </si>
  <si>
    <t>978-5-378-34048-4</t>
  </si>
  <si>
    <t>9785378340484</t>
  </si>
  <si>
    <t>128309</t>
  </si>
  <si>
    <t>РАСКРАСКА А4 эконом. ЛУЧШАЯ ПОДРУЖКА</t>
  </si>
  <si>
    <t>978-5-378-30101-0</t>
  </si>
  <si>
    <t>9785378301010</t>
  </si>
  <si>
    <t>273314</t>
  </si>
  <si>
    <t>РАСКРАСКА А4 эконом. МАЛЫШ ЦЫП-ЦЫП</t>
  </si>
  <si>
    <t>978-5-378-36033-8</t>
  </si>
  <si>
    <t>9785378360338</t>
  </si>
  <si>
    <t>246426</t>
  </si>
  <si>
    <t>РАСКРАСКА А4 эконом. МАМЫ И МАЛЫШИ</t>
  </si>
  <si>
    <t>978-5-378-35398-9</t>
  </si>
  <si>
    <t>9785378353989</t>
  </si>
  <si>
    <t>6e10b9945518a0cc95e056c7779f78f3</t>
  </si>
  <si>
    <t>273313</t>
  </si>
  <si>
    <t>РАСКРАСКА А4 эконом. МАСТЕР ВИТЯ И ДРУЗЬЯ</t>
  </si>
  <si>
    <t>978-5-378-36034-5</t>
  </si>
  <si>
    <t>9785378360345</t>
  </si>
  <si>
    <t>194037</t>
  </si>
  <si>
    <t>РАСКРАСКА А4 эконом. МИЛАШКИ</t>
  </si>
  <si>
    <t>978-5-378-34038-5</t>
  </si>
  <si>
    <t>9785378340385</t>
  </si>
  <si>
    <t>261439</t>
  </si>
  <si>
    <t>РАСКРАСКА А4 эконом. МИЛЫЕ ЖИВОТНЫЕ</t>
  </si>
  <si>
    <t>978-5-378-35782-6</t>
  </si>
  <si>
    <t>9785378357826</t>
  </si>
  <si>
    <t>2b521139e96f723eac4a21269ecba793</t>
  </si>
  <si>
    <t>261435</t>
  </si>
  <si>
    <t>РАСКРАСКА А4 эконом. МИЛЫЕ КОТИКИ</t>
  </si>
  <si>
    <t>978-5-378-35779-6</t>
  </si>
  <si>
    <t>9785378357796</t>
  </si>
  <si>
    <t>337946abf768f2652754202d377991ca</t>
  </si>
  <si>
    <t>115552</t>
  </si>
  <si>
    <t>РАСКРАСКА А4 эконом. МИР ДИНОЗАВРОВ</t>
  </si>
  <si>
    <t>978-5-378-29555-5</t>
  </si>
  <si>
    <t>9785378295555</t>
  </si>
  <si>
    <t>213336</t>
  </si>
  <si>
    <t>РАСКРАСКА А4 эконом. МИР ЕДИНОРОГОВ</t>
  </si>
  <si>
    <t>978-5-378-34452-9</t>
  </si>
  <si>
    <t>9785378344529</t>
  </si>
  <si>
    <t>079917</t>
  </si>
  <si>
    <t>РАСКРАСКА А4 эконом. МИР СКАЗОК</t>
  </si>
  <si>
    <t>978-5-378-28331-6</t>
  </si>
  <si>
    <t>9785378283316</t>
  </si>
  <si>
    <t>115554</t>
  </si>
  <si>
    <t>РАСКРАСКА А4 эконом. МОДНЫЕ ЗВЕРЯТА</t>
  </si>
  <si>
    <t>978-5-378-29556-2</t>
  </si>
  <si>
    <t>9785378295562</t>
  </si>
  <si>
    <t>246427</t>
  </si>
  <si>
    <t>РАСКРАСКА А4 эконом. МОИ МИЛЫЕ ПИТОМЦЫ</t>
  </si>
  <si>
    <t>978-5-378-35399-6</t>
  </si>
  <si>
    <t>9785378353996</t>
  </si>
  <si>
    <t>204757</t>
  </si>
  <si>
    <t>РАСКРАСКА А4 эконом. ПРИНЦЕССЫ</t>
  </si>
  <si>
    <t>978-5-378-34280-8</t>
  </si>
  <si>
    <t>9785378342808</t>
  </si>
  <si>
    <t>261437</t>
  </si>
  <si>
    <t>РАСКРАСКА А4 эконом. СОБАЧКИ</t>
  </si>
  <si>
    <t>978-5-378-35780-2</t>
  </si>
  <si>
    <t>9785378357802</t>
  </si>
  <si>
    <t>d005ebfa04d8937f7444e823a62ebcd9</t>
  </si>
  <si>
    <t>245136</t>
  </si>
  <si>
    <t>РАСКРАСКА А4 эконом. ТУРБОЗАВРЫ</t>
  </si>
  <si>
    <t>978-5-378-35331-6</t>
  </si>
  <si>
    <t>9785378353316</t>
  </si>
  <si>
    <t>226089</t>
  </si>
  <si>
    <t>РАСКРАСКА А4 эконом. УДИВИТЕЛЬНОЕ ПУТЕШЕСТВИЕ</t>
  </si>
  <si>
    <t>978-5-378-34711-7</t>
  </si>
  <si>
    <t>9785378347117</t>
  </si>
  <si>
    <t>204756</t>
  </si>
  <si>
    <t>РАСКРАСКА А4 эконом. ФЕРМА</t>
  </si>
  <si>
    <t>978-5-378-34279-2</t>
  </si>
  <si>
    <t>9785378342792</t>
  </si>
  <si>
    <t>CЕРИЯ: РАСКРАСКИ А5 альбомные, эконом, 8 листов, мелов.обл., 200х140</t>
  </si>
  <si>
    <t>206544</t>
  </si>
  <si>
    <t>РАСКРАСКИ А5 эконом. альбомные. АНИМЕ</t>
  </si>
  <si>
    <t>978-5-378-34327-0</t>
  </si>
  <si>
    <t>Представляем маленькие альбомные раскраски в эконом-сегменте. В каждой 16-страничной книжке, в зависимости от темы, собраны самые разные сюжеты — оживляя их красками, юный художник не потеряет интерес до самого конца раскрашивания.</t>
  </si>
  <si>
    <t>9785378343270</t>
  </si>
  <si>
    <t>206551</t>
  </si>
  <si>
    <t>РАСКРАСКИ А5 эконом. альбомные. В МИРЕ БУКАШЕК</t>
  </si>
  <si>
    <t>978-5-378-34333-1</t>
  </si>
  <si>
    <t>9785378343331</t>
  </si>
  <si>
    <t>206548</t>
  </si>
  <si>
    <t>РАСКРАСКИ А5 эконом. альбомные. ВКУСНЯШКИ</t>
  </si>
  <si>
    <t>978-5-378-34330-0</t>
  </si>
  <si>
    <t>9785378343300</t>
  </si>
  <si>
    <t>206554</t>
  </si>
  <si>
    <t>РАСКРАСКИ А5 эконом. альбомные. ДЛЯ ДЕВОЧЕК (новая)</t>
  </si>
  <si>
    <t>978-5-378-34336-2</t>
  </si>
  <si>
    <t>9785378343362</t>
  </si>
  <si>
    <t>206547</t>
  </si>
  <si>
    <t>РАСКРАСКИ А5 эконом. альбомные. КАВАЙИ</t>
  </si>
  <si>
    <t>978-5-378-34329-4</t>
  </si>
  <si>
    <t>9785378343294</t>
  </si>
  <si>
    <t>110674</t>
  </si>
  <si>
    <t>РАСКРАСКИ А5 эконом. альбомные. МОИ ИГРУШКИ</t>
  </si>
  <si>
    <t>978-5-378-29295-0</t>
  </si>
  <si>
    <t>В новой серии удобных мини-раскрасок малыши найдут множество интересных сюжетов и забавных картинок для раскрашивания.</t>
  </si>
  <si>
    <t>9785378292950</t>
  </si>
  <si>
    <t>206549</t>
  </si>
  <si>
    <t>РАСКРАСКИ А5 эконом. альбомные. НАША АРМИЯ</t>
  </si>
  <si>
    <t>978-5-378-34331-7</t>
  </si>
  <si>
    <t>9785378343317</t>
  </si>
  <si>
    <t>CЕРИЯ: РАСКРАСКИ А5 эконом ВЕСЁЛЫЕ КАРТИНКИ, 8 листов, мелов.обл., 140х200</t>
  </si>
  <si>
    <t>185663</t>
  </si>
  <si>
    <t>РАСКРАСКИ А5 эконом ВЕСЁЛЫЕ КАРТИНКИ. ВЕСЁЛОЕ ПУТЕШЕСТВИЕ</t>
  </si>
  <si>
    <t>978-5-378-33622-7</t>
  </si>
  <si>
    <t>Хотите занять ребёнка в дороге или на обеде в кафе? Возьмите с собой раскраски мини-формата «Весёлые картинки». Они не занимают много места и прекрасно помещаются в сумку или рюкзак. Интересные иллюстрации не дадут малышу заскучать, а вы сможете заняться своими делами.</t>
  </si>
  <si>
    <t>9785378336227</t>
  </si>
  <si>
    <t>185658</t>
  </si>
  <si>
    <t>РАСКРАСКИ А5 эконом ВЕСЁЛЫЕ КАРТИНКИ. ВРЕМЕНА ГОДА</t>
  </si>
  <si>
    <t>978-5-378-33618-0</t>
  </si>
  <si>
    <t>9785378336180</t>
  </si>
  <si>
    <t>185664</t>
  </si>
  <si>
    <t>РАСКРАСКИ А5 эконом ВЕСЁЛЫЕ КАРТИНКИ. ДИНОЗАВРИКИ</t>
  </si>
  <si>
    <t>978-5-378-33623-4</t>
  </si>
  <si>
    <t>9785378336234</t>
  </si>
  <si>
    <t>185666</t>
  </si>
  <si>
    <t>РАСКРАСКИ А5 эконом ВЕСЁЛЫЕ КАРТИНКИ. РОБОТЫ</t>
  </si>
  <si>
    <t>978-5-378-33625-8</t>
  </si>
  <si>
    <t>9785378336258</t>
  </si>
  <si>
    <t>CЕРИЯ: РАСКРАСКИ А5 эконом, 8 листов, мелов.обл., 140х200</t>
  </si>
  <si>
    <t>206588</t>
  </si>
  <si>
    <t>РАСКРАСКА А5 эконом. ВОЕННАЯ ТЕХНИКА</t>
  </si>
  <si>
    <t>978-5-378-34310-2</t>
  </si>
  <si>
    <t>Всеми любимая серия из 16 мини-раскрасок формата А5 в обновлённой версии с множеством трендовых сюжетов для детей младшего, дошкольного и младшего школьного возрастов поможет ребёнку развить внимание и усидчивость, воображение и творчество. Раскраски удобно взять с собой в путешествие или на прогулку, подойдут в качестве подарка на день рождения или в детский сад и школу.</t>
  </si>
  <si>
    <t>9785378343102</t>
  </si>
  <si>
    <t>111960</t>
  </si>
  <si>
    <t>РАСКРАСКА А5 эконом. ДЕВОЧКИ</t>
  </si>
  <si>
    <t>978-5-378-29316-2</t>
  </si>
  <si>
    <t>Новые раскраски удобного мини-формата для девочек и мальчиков!</t>
  </si>
  <si>
    <t>9785378293162</t>
  </si>
  <si>
    <t>111962</t>
  </si>
  <si>
    <t>РАСКРАСКА А5 эконом. ЖИВОТНЫЕ</t>
  </si>
  <si>
    <t>978-5-378-29318-6</t>
  </si>
  <si>
    <t>9785378293186</t>
  </si>
  <si>
    <t>082317</t>
  </si>
  <si>
    <t>РАСКРАСКА А5 эконом. ЗАБАВНЫЕ ЗВЕРЯТА</t>
  </si>
  <si>
    <t>978-5-378-28466-5</t>
  </si>
  <si>
    <t>В новой серии раскрасок А5 малыши найдут множество интересных сюжетов и забавных картинок для раскрашивания. А благодаря уменьшенному формату их удобно брать с собой в дорогу, чтобы занять маленьких непосед в пути.</t>
  </si>
  <si>
    <t>9785378284665</t>
  </si>
  <si>
    <t>03.05.2018 0:00:00</t>
  </si>
  <si>
    <t>082313</t>
  </si>
  <si>
    <t>РАСКРАСКА А5 эконом. КОТ В САПОГАХ</t>
  </si>
  <si>
    <t>978-5-378-28468-9</t>
  </si>
  <si>
    <t>9785378284689</t>
  </si>
  <si>
    <t>150736</t>
  </si>
  <si>
    <t>РАСКРАСКА А5 эконом. КОТИКИ</t>
  </si>
  <si>
    <t>978-5-378-31006-7</t>
  </si>
  <si>
    <t>9785378310067</t>
  </si>
  <si>
    <t>079940</t>
  </si>
  <si>
    <t>РАСКРАСКА А5 эконом. КТО ЖИВЕТ В ОКЕАНЕ</t>
  </si>
  <si>
    <t>978-5-378-28236-4</t>
  </si>
  <si>
    <t>9785378282364</t>
  </si>
  <si>
    <t>206581</t>
  </si>
  <si>
    <t>РАСКРАСКА А5 эконом. МАШИНКИ-МАЛЫШИ</t>
  </si>
  <si>
    <t>978-5-378-34305-8</t>
  </si>
  <si>
    <t>9785378343058</t>
  </si>
  <si>
    <t>206587</t>
  </si>
  <si>
    <t>РАСКРАСКА А5 эконом. МИЛЫЕ МОНСТРИКИ</t>
  </si>
  <si>
    <t>978-5-378-34309-6</t>
  </si>
  <si>
    <t>9785378343096</t>
  </si>
  <si>
    <t>128314</t>
  </si>
  <si>
    <t>РАСКРАСКА А5 эконом. НА ФЕРМЕ</t>
  </si>
  <si>
    <t>978-5-378-30096-9</t>
  </si>
  <si>
    <t>9785378300969</t>
  </si>
  <si>
    <t>150733</t>
  </si>
  <si>
    <t>РАСКРАСКА А5 эконом. ПОНИ</t>
  </si>
  <si>
    <t>978-5-378-31003-6</t>
  </si>
  <si>
    <t>9785378310036</t>
  </si>
  <si>
    <t>206576</t>
  </si>
  <si>
    <t>РАСКРАСКА А5 эконом. ПРЕКРАСНЫЕ ПРИНЦЕССЫ</t>
  </si>
  <si>
    <t>978-5-378-34302-7</t>
  </si>
  <si>
    <t>9785378343027</t>
  </si>
  <si>
    <t>079943</t>
  </si>
  <si>
    <t>РАСКРАСКА А5 эконом. РОБОТЫ</t>
  </si>
  <si>
    <t>978-5-378-28244-9</t>
  </si>
  <si>
    <t>9785378282449</t>
  </si>
  <si>
    <t>206585</t>
  </si>
  <si>
    <t>РАСКРАСКА А5 эконом. САМОЛЁТЫ</t>
  </si>
  <si>
    <t>978-5-378-34308-9</t>
  </si>
  <si>
    <t>9785378343089</t>
  </si>
  <si>
    <t>150735</t>
  </si>
  <si>
    <t>РАСКРАСКА А5 эконом. ЩЕНОЧКИ</t>
  </si>
  <si>
    <t>978-5-378-31005-0</t>
  </si>
  <si>
    <t>9785378310050</t>
  </si>
  <si>
    <t>CЕРИЯ: РАСКРАСКИ эконом ЛЮБИМАЯ РАСКРАСКА, 6 листов, мелов.обл. 170х260</t>
  </si>
  <si>
    <t>211303</t>
  </si>
  <si>
    <t>ЛЮБИМАЯ РАСКРАСКА эконом А4. ВОЛШЕБНЫЙ МИР</t>
  </si>
  <si>
    <t>978-5-378-34382-9</t>
  </si>
  <si>
    <t>Серия «Любимая раскраска» – это интересные сюжеты и милые картинки для раскрашивания на самые разные темы. Благодаря небольшому формату раскраску удобно взять с собой в дорогу.</t>
  </si>
  <si>
    <t>9785378343829</t>
  </si>
  <si>
    <t>5817c1bf13c3a51181788350cac26c7c</t>
  </si>
  <si>
    <t>168х258х2</t>
  </si>
  <si>
    <t>211306</t>
  </si>
  <si>
    <t>ЛЮБИМАЯ РАСКРАСКА эконом А4. ДИНОЗАВРЫ</t>
  </si>
  <si>
    <t>978-5-378-34385-0</t>
  </si>
  <si>
    <t>9785378343850</t>
  </si>
  <si>
    <t>1b43b7761e789f30cda12da2474d59bc</t>
  </si>
  <si>
    <t>211301</t>
  </si>
  <si>
    <t>ЛЮБИМАЯ РАСКРАСКА эконом А4. МИЛАШКИ ЧИБИ</t>
  </si>
  <si>
    <t>978-5-378-34380-5</t>
  </si>
  <si>
    <t>9785378343805</t>
  </si>
  <si>
    <t>CЕРИЯ: РАСКРАСКИ эконом НЯШКИ-РАСКРАСКИ 8 листов, мелов.обл., 165х235</t>
  </si>
  <si>
    <t>210740</t>
  </si>
  <si>
    <t>РАСКРАСКИ эконом НЯШКИ-РАСКРАСКИ. МОНСТРИКИ</t>
  </si>
  <si>
    <t>978-5-378-34401-7</t>
  </si>
  <si>
    <t>Серию ну о-о-очень няшных раскрасок пополнили четыре тематические книжки: «Единорожки», «Монстрики», «Щеночки», «Чибики». Милые картинки не оставят равнодушным ни одного ребенка – он вмиг оживит цветом всех персонажей и предметы!</t>
  </si>
  <si>
    <t>9785378344017</t>
  </si>
  <si>
    <t>165х235х2</t>
  </si>
  <si>
    <t>210741</t>
  </si>
  <si>
    <t>РАСКРАСКИ эконом НЯШКИ-РАСКРАСКИ. ЧИБИКИ</t>
  </si>
  <si>
    <t>978-5-378-34402-4</t>
  </si>
  <si>
    <t>9785378344024</t>
  </si>
  <si>
    <t>CЕРИЯ: РАСКРАСКИ эконом, 4 листа, обл.офсет, 215х290</t>
  </si>
  <si>
    <t>221322</t>
  </si>
  <si>
    <t>РАСКРАСКА эконом 4 листа 215х290. В СТИЛЕ АНИМЕ</t>
  </si>
  <si>
    <t>978-5-378-34606-6</t>
  </si>
  <si>
    <t>Представляем новые раскраски в эконом-сегменте. В каждой, в зависимости от темы, собраны самые разные сюжеты — оживляя их красками, маленький художник не потеряет интерес до конца раскрашивания.</t>
  </si>
  <si>
    <t>9785378346066</t>
  </si>
  <si>
    <t>215х290х1</t>
  </si>
  <si>
    <t>221323</t>
  </si>
  <si>
    <t>РАСКРАСКА эконом 4 листа 215х290. ГЕРОИ АНИМЕ</t>
  </si>
  <si>
    <t>978-5-378-34607-3</t>
  </si>
  <si>
    <t>9785378346073</t>
  </si>
  <si>
    <t>221321</t>
  </si>
  <si>
    <t>РАСКРАСКА эконом 4 листа 215х290. МИР АНИМЕ</t>
  </si>
  <si>
    <t>978-5-378-34605-9</t>
  </si>
  <si>
    <t>9785378346059</t>
  </si>
  <si>
    <t>221324</t>
  </si>
  <si>
    <t>РАСКРАСКА эконом 4 листа 215х290. МОЁ АНИМЕ</t>
  </si>
  <si>
    <t>978-5-378-34608-0</t>
  </si>
  <si>
    <t>9785378346080</t>
  </si>
  <si>
    <t xml:space="preserve"> СУПЕРРАСКРАСКИ</t>
  </si>
  <si>
    <t>СЕРИЯ: БОЛЬШАЯ РАСКРАСКА глянц.ламин. КБС 278х382</t>
  </si>
  <si>
    <t>188965</t>
  </si>
  <si>
    <t>БОЛЬШАЯ АНИМЕ РАСКРАСКА</t>
  </si>
  <si>
    <t>978-5-378-33819-1</t>
  </si>
  <si>
    <t xml:space="preserve">Вниманию любителей аниме! Представляем новую раскраску с самыми разными сюжетами, выдержанными по всем канонам жанра. Всего в сборнике 96 страниц – книга надолго увлечет не только фанатов японской анимации, но и тех, кто еще только знакомится с ней. Благодаря большому формату и плотным листам раскрашивать картинки легко не только карандашами или фломастерами, но и красками.  </t>
  </si>
  <si>
    <t>9785378338191</t>
  </si>
  <si>
    <t>280х382х8</t>
  </si>
  <si>
    <t>СЕРИЯ: СУПЕР  IQ  Раскраска КБС глянц.ламин. 200х280</t>
  </si>
  <si>
    <t>183490</t>
  </si>
  <si>
    <t>СУПЕР  IQ  Раскраска. ИГРАЕМ И РИСУЕМ</t>
  </si>
  <si>
    <t>978-5-378-33387-5</t>
  </si>
  <si>
    <t>Развивайте интеллект ребёнка с ранних лет с помощью наших супер IQ-раскрасок. Интересные задания превращают обучение в игру, поэтому малыш будет с удовольствием заниматься каждый день. Раскраски данной серии рассчитаны на детей разного возраста и подойдут для дошкольников.</t>
  </si>
  <si>
    <t>9785378333875</t>
  </si>
  <si>
    <t>СЕРИЯ: СУПЕР-ПУПЕР РАСКРАСКА глянц. ламин. 208х275</t>
  </si>
  <si>
    <t>154786</t>
  </si>
  <si>
    <t>СУПЕР-ПУПЕР РАСКРАСКА. ДИКИЕ ЖИВОТНЫЕ</t>
  </si>
  <si>
    <t>978-5-378-31224-5</t>
  </si>
  <si>
    <t>"Супер-пупер-раскраска" - это замечательная серия, которая станет отличным подарком для маленьких художников. В каждой раскраске много красивых, добрых, весёлых иллюстраций, выполненных на качественной бумаге. Подарите ребёнку путешествие в мир творчества!</t>
  </si>
  <si>
    <t>9785378312245</t>
  </si>
  <si>
    <t>208x275x6</t>
  </si>
  <si>
    <t>185381</t>
  </si>
  <si>
    <t>СУПЕР-ПУПЕР РАСКРАСКА. ДИНОЗАВРЫ</t>
  </si>
  <si>
    <t>978-5-378-33584-8</t>
  </si>
  <si>
    <t>Новинки в серии "Супер-пупер-раскраска!" Брошюра "Динозавры"- настоящий подарок для истиных любителей этих загадочных животных! В раскраске собраны изображения всех самых известных динозавров, только у нас они совсем не грозные, а очень милые!</t>
  </si>
  <si>
    <t>9785378335848</t>
  </si>
  <si>
    <t>154788</t>
  </si>
  <si>
    <t>СУПЕР-ПУПЕР РАСКРАСКА. ДЛЯ ДЕВОЧЕК</t>
  </si>
  <si>
    <t>978-5-378-31221-4</t>
  </si>
  <si>
    <t>9785378312214</t>
  </si>
  <si>
    <t>183508</t>
  </si>
  <si>
    <t>СУПЕР-ПУПЕР РАСКРАСКА. ДЛЯ МАЛЫШЕЙ</t>
  </si>
  <si>
    <t>978-5-378-33405-6</t>
  </si>
  <si>
    <t>Представляем новинку в серии "Супер-пупер-раскраска!" Это сборник добрых и качественных иллюстраций современных художников. В раскраске "Для малышей" собраны крупные и понятные рисунки с чёткими контурами - одно удовольствие их раскрашивать!</t>
  </si>
  <si>
    <t>9785378334056</t>
  </si>
  <si>
    <t>154787</t>
  </si>
  <si>
    <t>СУПЕР-ПУПЕР РАСКРАСКА. ДЛЯ МАЛЬЧИКОВ</t>
  </si>
  <si>
    <t>978-5-378-31222-1</t>
  </si>
  <si>
    <t>9785378312221</t>
  </si>
  <si>
    <t>154789</t>
  </si>
  <si>
    <t>СУПЕР-ПУПЕР РАСКРАСКА. ДОМАШНИЕ ЖИВОТНЫЕ</t>
  </si>
  <si>
    <t>978-5-378-31223-8</t>
  </si>
  <si>
    <t>9785378312238</t>
  </si>
  <si>
    <t>240184</t>
  </si>
  <si>
    <t>СУПЕР-ПУПЕР РАСКРАСКА. КРУТЫЕ МАЛЬЧИШКИ</t>
  </si>
  <si>
    <t>978-5-378-35206-7</t>
  </si>
  <si>
    <t>Представляем «Супер-пупер раскраску. Крутые мальчишки». Это идеальный подарок для детей, которые любят творчество! В раскраске 64 страницы с интересными иллюстрациями и захватывающими сюжетами. Каждый разворот предлагает уникальные образы смелых героев, готовых к новым свершениям. От супергероев до исследователей, от спортсменов до музыкантов! Детализированные рисунки помогут развить художественные навыки, воображение и мелкую моторику. Подарите ребёнку радость и возможность окунуться в мир творчества!</t>
  </si>
  <si>
    <t>9785378352067</t>
  </si>
  <si>
    <t>85c002dde3c93774445fc99594174167</t>
  </si>
  <si>
    <t>207600</t>
  </si>
  <si>
    <t>СУПЕР-ПУПЕР РАСКРАСКА. МИР АНИМЕ</t>
  </si>
  <si>
    <t>978-5-378-34347-8</t>
  </si>
  <si>
    <t xml:space="preserve">"Супер-пупер-раскраска" - это замечательная серия, которая станет отличным подарком для маленьких художников. В новой раскраске серии ребёнок найдёт картинки в стиле аниме, которые с удовольствием украсит яркими цветами. </t>
  </si>
  <si>
    <t>9785378343478</t>
  </si>
  <si>
    <t>183509</t>
  </si>
  <si>
    <t>СУПЕР-ПУПЕР РАСКРАСКА. МОДНЫЕ ДЕВЧОНКИ</t>
  </si>
  <si>
    <t>978-5-378-33406-3</t>
  </si>
  <si>
    <t>Представляем новинку в серии "Супер-пупер-раскраска!" Это сборник добрых и качественных иллюстраций современных художников. Раскраска "Модные девчонки" содержит иллюстрации девушек в самых разнообразных нарядах - можно пофантазировать, представить себя в каждом их них и раскрасить по своему вкусу!</t>
  </si>
  <si>
    <t>9785378334063</t>
  </si>
  <si>
    <t>185382</t>
  </si>
  <si>
    <t>СУПЕР-ПУПЕР РАСКРАСКА. РОБОТЫ И МАШИНЫ</t>
  </si>
  <si>
    <t>978-5-378-33585-5</t>
  </si>
  <si>
    <t>9785378335855</t>
  </si>
  <si>
    <t>СЕРИЯ: СУПЕРБОЛЬШАЯ РАСКРАСКА 96 стр КБС 240х300</t>
  </si>
  <si>
    <t>181512</t>
  </si>
  <si>
    <t>СУПЕРБОЛЬШАЯ РАСКРАСКА. ДЛЯ МАЛЬЧИКОВ</t>
  </si>
  <si>
    <t>978-5-378-33272-4</t>
  </si>
  <si>
    <t>На страницах новых раскрасок с большими картинками мальчишек и девчонок ждут интересные сюжеты: полёт в космос, гонки и прогулка с динозаврами, модные примерки, путешествие в сказку и спортивные соревнования... Раскрашивать будет очень интересно!</t>
  </si>
  <si>
    <t>9785378332724</t>
  </si>
  <si>
    <t>240х300х8</t>
  </si>
  <si>
    <t>ВОДНЫЕ РАСКРАСКИ мелов.обл.</t>
  </si>
  <si>
    <t>СЕРИЯ: БОЛЬШАЯ ВОДНАЯ РАСКРАСКА глянц.ламин, картон.обл, 8л 238х330 (офсет 160гр)</t>
  </si>
  <si>
    <t>202272</t>
  </si>
  <si>
    <t>БОЛЬШАЯ ВОДНАЯ РАСКРАСКА. ВОЛШЕБНЫЙ МИР</t>
  </si>
  <si>
    <t>978-5-378-34235-8</t>
  </si>
  <si>
    <t>Необычные раскраски серии "Большая водная раскраска" точно понравятся вашему ребёнку. Ведь всё, что нужно для раскрашивания, - это вода и кисточка! Намочите кисточку, немного отожмите от избытка воды, проведите по рисунку и... Картинки становятся цветными!</t>
  </si>
  <si>
    <t>9785378342358</t>
  </si>
  <si>
    <t>ff2a556adf2a768efd0c81c1779f13b8</t>
  </si>
  <si>
    <t>238х330х3</t>
  </si>
  <si>
    <t>202276</t>
  </si>
  <si>
    <t>БОЛЬШАЯ ВОДНАЯ РАСКРАСКА. ДЛЯ ДЕВОЧЕК</t>
  </si>
  <si>
    <t>978-5-378-34237-2</t>
  </si>
  <si>
    <t>9785378342372</t>
  </si>
  <si>
    <t>202277</t>
  </si>
  <si>
    <t>БОЛЬШАЯ ВОДНАЯ РАСКРАСКА. ДЛЯ МАЛЬЧИКОВ</t>
  </si>
  <si>
    <t>978-5-378-34238-9</t>
  </si>
  <si>
    <t>9785378342389</t>
  </si>
  <si>
    <t>b39bae5c3f324567474307d79d4136bd</t>
  </si>
  <si>
    <t>274574</t>
  </si>
  <si>
    <t>БОЛЬШАЯ ВОДНАЯ РАСКРАСКА. КОТЁНОК КОТЭ</t>
  </si>
  <si>
    <t>978-5-378-36073-4</t>
  </si>
  <si>
    <t>9785378360734</t>
  </si>
  <si>
    <t>3bf7faad0798088ae7b9109685d011bd</t>
  </si>
  <si>
    <t>251803</t>
  </si>
  <si>
    <t>БОЛЬШАЯ ВОДНАЯ РАСКРАСКА. ЦВЕТНЯШКИ</t>
  </si>
  <si>
    <t>978-5-378-35540-2</t>
  </si>
  <si>
    <t>9785378355402</t>
  </si>
  <si>
    <t>40d3a65799d32e4e8e13f0c2ec39f8fd</t>
  </si>
  <si>
    <t>274573</t>
  </si>
  <si>
    <t>БОЛЬШАЯ ВОДНАЯ РАСКРАСКА. ЦЫП-ЦЫП</t>
  </si>
  <si>
    <t>978-5-378-36072-7</t>
  </si>
  <si>
    <t>9785378360727</t>
  </si>
  <si>
    <t>СЕРИЯ: ВОДНАЯ РАСКРАСКА А5 мелов.обл. 6л 140х200 (офсет 160)</t>
  </si>
  <si>
    <t>228359</t>
  </si>
  <si>
    <t>ВОДНАЯ РАСКРАСКА А5. ДИКИЕ ЖИВОТНЫЕ</t>
  </si>
  <si>
    <t>978-5-378-34784-1</t>
  </si>
  <si>
    <t>Необычные водные раскраски станут отличным подарком для малышей. Просто проведи по рисунку мокрой кисточкой и он станет ярким и красочным! А благодаря маленькому формату их удобно взять с собой в путешествие.</t>
  </si>
  <si>
    <t>9785378347841</t>
  </si>
  <si>
    <t>255356</t>
  </si>
  <si>
    <t>ВОДНАЯ РАСКРАСКА А5. ДЛЯ ДЕВОЧЕК</t>
  </si>
  <si>
    <t>978-5-378-35621-8</t>
  </si>
  <si>
    <t>9785378356218</t>
  </si>
  <si>
    <t>cf200ae874633b447aed5d0a03a3cfa9</t>
  </si>
  <si>
    <t>255359</t>
  </si>
  <si>
    <t>ВОДНАЯ РАСКРАСКА А5. ДЛЯ МАЛЬЧИКОВ</t>
  </si>
  <si>
    <t>978-5-378-35623-2</t>
  </si>
  <si>
    <t>9785378356232</t>
  </si>
  <si>
    <t>228364</t>
  </si>
  <si>
    <t>ВОДНАЯ РАСКРАСКА А5. ДОМАШНИЕ ЖИВОТНЫЕ (новая)</t>
  </si>
  <si>
    <t>978-5-378-34787-2</t>
  </si>
  <si>
    <t>9785378347872</t>
  </si>
  <si>
    <t>255355</t>
  </si>
  <si>
    <t>ВОДНАЯ РАСКРАСКА А5. ЗВЕРЯТА</t>
  </si>
  <si>
    <t>978-5-378-35620-1</t>
  </si>
  <si>
    <t>9785378356201</t>
  </si>
  <si>
    <t>255357</t>
  </si>
  <si>
    <t>ВОДНАЯ РАСКРАСКА А5. МАШИНКИ</t>
  </si>
  <si>
    <t>978-5-378-35622-5</t>
  </si>
  <si>
    <t>9785378356225</t>
  </si>
  <si>
    <t>228362</t>
  </si>
  <si>
    <t>ВОДНАЯ РАСКРАСКА А5. ПРИНЦЕССЫ И ФЕИ</t>
  </si>
  <si>
    <t>978-5-378-34785-8</t>
  </si>
  <si>
    <t>9785378347858</t>
  </si>
  <si>
    <t>228361</t>
  </si>
  <si>
    <t>ВОДНАЯ РАСКРАСКА А5. ТРАНСПОРТ</t>
  </si>
  <si>
    <t>978-5-378-34786-5</t>
  </si>
  <si>
    <t>9785378347865</t>
  </si>
  <si>
    <t>СЕРИЯ: ВОДНАЯ РАСКРАСКА для малышей, глянц.мелов.обл. 6л 198х248 (офсет 160гр)</t>
  </si>
  <si>
    <t>274578</t>
  </si>
  <si>
    <t>ВОДНАЯ РАСКРАСКА для малышей. КОТЭ</t>
  </si>
  <si>
    <t>978-5-378-36081-9</t>
  </si>
  <si>
    <t>9785378360819</t>
  </si>
  <si>
    <t>328700b8df6c696c81d5eeca0ea94e95</t>
  </si>
  <si>
    <t>198х247х2</t>
  </si>
  <si>
    <t>267390</t>
  </si>
  <si>
    <t>ВОДНАЯ РАСКРАСКА для малышей. МАСТЕР ВИТЯ И МОТОР</t>
  </si>
  <si>
    <t>978-5-378-35927-1</t>
  </si>
  <si>
    <t>Представляем новую раскраску с героями популярного мультсериала «Мастер Витя и Мотор». Карандаши, фломастеры и краски – в сторону! Возьми стакан с водой, намочи кисточку и проведи ею по листу – ты увидишь, как оживают картинки!</t>
  </si>
  <si>
    <t>9785378359271</t>
  </si>
  <si>
    <t>651fcb4f64be96899f81e729209edfc7</t>
  </si>
  <si>
    <t>267391</t>
  </si>
  <si>
    <t>ВОДНАЯ РАСКРАСКА для малышей. ЦЫП-ЦЫП</t>
  </si>
  <si>
    <t>978-5-378-35928-8</t>
  </si>
  <si>
    <t>9785378359288</t>
  </si>
  <si>
    <t>34f01c06a6167473e7cc898e65410228</t>
  </si>
  <si>
    <t>СЕРИЯ: ВОДНАЯ РАСКРАСКА с кисточкой "Акватерапия" 190х230 (офсет 160гр)</t>
  </si>
  <si>
    <t>241753</t>
  </si>
  <si>
    <t>ВОДНАЯ РАСКРАСКА с кисточкой "Акватерапия". Мандалы внутренней гармонии</t>
  </si>
  <si>
    <t>978-5-378-35231-9</t>
  </si>
  <si>
    <t>Целительная сила воды известна издавна. Водная стихия дарует
жизнь и наделяет энергией. А в процессе медитативной арт-терапии
вода способна мягко и безопасно облегчить психологическую
нагрузку и улучшить эмоциональное состояние. Самое главное — специальные навыки необязательны! Достаточно лишь наполнить водой кисточку с резервуаром. Творите с удовольствием!</t>
  </si>
  <si>
    <t>9785378352319</t>
  </si>
  <si>
    <t>26.12.2024 0:00:00</t>
  </si>
  <si>
    <t>215x240x18</t>
  </si>
  <si>
    <t>241754</t>
  </si>
  <si>
    <t>ВОДНАЯ РАСКРАСКА с кисточкой "Акватерапия". Мандалы душевного равновесия</t>
  </si>
  <si>
    <t>978-5-378-35232-6</t>
  </si>
  <si>
    <t>9785378352326</t>
  </si>
  <si>
    <t>СЕРИЯ: ВОДНАЯ РАСКРАСКА с цветными элементами, глянц.ламин,картон.обл, 6л 198х248 (офсет 160)</t>
  </si>
  <si>
    <t>233239</t>
  </si>
  <si>
    <t>ВОДНАЯ РАСКРАСКА с цветными элементами. ВЕСЁЛЫЕ ГОНКИ</t>
  </si>
  <si>
    <t>978-5-378-34874-9</t>
  </si>
  <si>
    <t>Пополнение серии водных раскрасок с цветными элементами! Теперь и для мальчиков! Темы на выбор: "На стройке", "Динозаврики", "Весёлые гонки" и "Самолёты". Возьми стакан с водой, намочи кисточку и проведи ею по листу - ты увидишь, как оживают картинки!</t>
  </si>
  <si>
    <t>9785378348749</t>
  </si>
  <si>
    <t>d575948873c7e19d52841843e728a3f4</t>
  </si>
  <si>
    <t>198х246х2</t>
  </si>
  <si>
    <t>233238</t>
  </si>
  <si>
    <t>ВОДНАЯ РАСКРАСКА с цветными элементами. ДИНОЗАВРИКИ</t>
  </si>
  <si>
    <t>978-5-378-34873-2</t>
  </si>
  <si>
    <t>9785378348732</t>
  </si>
  <si>
    <t>ccb80384f688604dbea97acda695f604</t>
  </si>
  <si>
    <t>222961</t>
  </si>
  <si>
    <t>ВОДНАЯ РАСКРАСКА с цветными элементами. ПРИНЦЕССЫ</t>
  </si>
  <si>
    <t>978-5-378-34648-6</t>
  </si>
  <si>
    <t xml:space="preserve">Суперновинка! Представляем водные раскраски с цветными элементами! Возьми стакан с водой, намочи кисточку и проведи ею по листу – ты увидишь, как оживают картинки! Серия представлена 4 темами: «Милые девочки», «Феи», «Принцессы», «Волшебный мир».   </t>
  </si>
  <si>
    <t>9785378346486</t>
  </si>
  <si>
    <t>222960</t>
  </si>
  <si>
    <t>ВОДНАЯ РАСКРАСКА с цветными элементами. ФЕИ</t>
  </si>
  <si>
    <t>978-5-378-34647-9</t>
  </si>
  <si>
    <t>9785378346479</t>
  </si>
  <si>
    <t xml:space="preserve">СЕРИЯ: ВОДНЫЕ многоразовые РАСКРАСКИ. Magic КАРТИНКИ, 10 карточек, европодвес 110х177 </t>
  </si>
  <si>
    <t>233250</t>
  </si>
  <si>
    <t>ВОДНАЯ многоразовая РАСКРАСКА. Magic КАРТИНКИ. Какой это цвет?</t>
  </si>
  <si>
    <t>978-5-378-34912-8</t>
  </si>
  <si>
    <t>MAGIC картинки — это прекрасный подарок для мальчиков и девочек от одного года!
На карточки-раскраски с одной стороны нанесено специальное покрытие, благодаря чему набор становится многоразовым, а любимая игра длится дольше.
Многоразовые карточки-раскраски помогут не только развивать творческие способности и приятно проводить время, но и познавать мир, знакомиться с новыми понятиями, пополнять словарный запас.</t>
  </si>
  <si>
    <t>9785378349128</t>
  </si>
  <si>
    <t>c0bd7acaa0665306a5379739caa8e0d1</t>
  </si>
  <si>
    <t>233247</t>
  </si>
  <si>
    <t>ВОДНАЯ многоразовая РАСКРАСКА. Magic КАРТИНКИ. Кто что ест?</t>
  </si>
  <si>
    <t>978-5-378-34910-4</t>
  </si>
  <si>
    <t>9785378349104</t>
  </si>
  <si>
    <t>233251</t>
  </si>
  <si>
    <t>ВОДНАЯ многоразовая РАСКРАСКА. Magic КАРТИНКИ. Чей это домик?</t>
  </si>
  <si>
    <t>978-5-378-34913-5</t>
  </si>
  <si>
    <t>9785378349135</t>
  </si>
  <si>
    <t>233248</t>
  </si>
  <si>
    <t>ВОДНАЯ многоразовая РАСКРАСКА. Magic КАРТИНКИ. Чья это мама?</t>
  </si>
  <si>
    <t>978-5-378-34911-1</t>
  </si>
  <si>
    <t>9785378349111</t>
  </si>
  <si>
    <t>СЕРИЯ: МНОГОРАЗОВАЯ ВОДНАЯ MAGIC РАСКРАСКА гребень, глянц.лам.обл. 230x160 (мелов 170)</t>
  </si>
  <si>
    <t>242320</t>
  </si>
  <si>
    <t>МНОГОРАЗОВАЯ ВОДНАЯ MAGIC РАСКРАСКА. Для девочек</t>
  </si>
  <si>
    <t>978-5-378-35269-2</t>
  </si>
  <si>
    <t>Суперновинка! Волшебные многоразовые водные раскраски на гребне. Просто намочи кисточку водой и проведи по белой области – ты увидишь, как оживают картинки! Когда они высохнут, можешь рисовать снова, и так бесконечное множество раз!</t>
  </si>
  <si>
    <t>9785378352692</t>
  </si>
  <si>
    <t>aa413a1aeed87267868f198cbd1c4d0a</t>
  </si>
  <si>
    <t>230х165х9</t>
  </si>
  <si>
    <t>242322</t>
  </si>
  <si>
    <t>МНОГОРАЗОВАЯ ВОДНАЯ MAGIC РАСКРАСКА. Для мальчиков</t>
  </si>
  <si>
    <t>978-5-378-35270-8</t>
  </si>
  <si>
    <t>9785378352708</t>
  </si>
  <si>
    <t>d900fd2b24f811881da5a9afbe841fb9</t>
  </si>
  <si>
    <t>242323</t>
  </si>
  <si>
    <t>МНОГОРАЗОВАЯ ВОДНАЯ MAGIC РАСКРАСКА. Домашние животные</t>
  </si>
  <si>
    <t>978-5-378-35271-5</t>
  </si>
  <si>
    <t>9785378352715</t>
  </si>
  <si>
    <t>55b6e9f9aefd0a871155e8d99503abad</t>
  </si>
  <si>
    <t>17.12.2024 0:00:00</t>
  </si>
  <si>
    <t>242325</t>
  </si>
  <si>
    <t>МНОГОРАЗОВАЯ ВОДНАЯ MAGIC РАСКРАСКА. Транспорт</t>
  </si>
  <si>
    <t>978-5-378-35272-2</t>
  </si>
  <si>
    <t>9785378352722</t>
  </si>
  <si>
    <t>d09c69791041bef5947dc852eaef8229</t>
  </si>
  <si>
    <t>СЕРИЯ: МНОГОРАЗОВАЯ ВОДНАЯ РАСКРАСКА глянц.ламин, 160х230 (мелов 170)</t>
  </si>
  <si>
    <t>215061</t>
  </si>
  <si>
    <t>МНОГОРАЗОВАЯ ВОДНАЯ РАСКРАСКА. В ЛЕСУ</t>
  </si>
  <si>
    <t>978-5-378-34349-2</t>
  </si>
  <si>
    <t xml:space="preserve">Суперновинка! Волшебные раскраски, представленные 4 темами: «Домашние животные», «В лесу», «Подводный мир», «Транспорт». Просто намочи кисточку водой и води по белой области – ты увидишь, как картинки оживают! Когда они высохнут, можешь повторить. И так много-много раз! А если надоест, смело дари сестре, брату или другу: многоразовая водная раскраска порадует и развлечет не одну семью.  </t>
  </si>
  <si>
    <t>9785378343492</t>
  </si>
  <si>
    <t>d31cb023fd28af19f440776deaa71b1b</t>
  </si>
  <si>
    <t>215060</t>
  </si>
  <si>
    <t>МНОГОРАЗОВАЯ ВОДНАЯ РАСКРАСКА. ДОМАШНИЕ ЖИВОТНЫЕ</t>
  </si>
  <si>
    <t>978-5-378-34348-5</t>
  </si>
  <si>
    <t>9785378343485</t>
  </si>
  <si>
    <t>c1b4261dd29d75ea726cf2d5f046a6d1</t>
  </si>
  <si>
    <t>249500</t>
  </si>
  <si>
    <t>МНОГОРАЗОВАЯ ВОДНАЯ РАСКРАСКА. КОШЕЧКИ-СОБАЧКИ</t>
  </si>
  <si>
    <t>978-5-378-35481-8</t>
  </si>
  <si>
    <t>Суперновинка! Просто намочи кисточку водой и води по белой области – ты увидишь, как картинки оживают! Когда они высохнут, можешь повторить. И так много-много раз! А если надоест, смело дари сестре, брату или другу: многоразовая водная раскраска порадует и развлечет не одну семью.</t>
  </si>
  <si>
    <t>9785378354818</t>
  </si>
  <si>
    <t>5cadd52c8b3d49615ff257880dfc8205</t>
  </si>
  <si>
    <t>236316</t>
  </si>
  <si>
    <t>МНОГОРАЗОВАЯ ВОДНАЯ РАСКРАСКА. СИНИЙ ТРАКТОР. ДОМАШНИЕ ЖИВОТНЫЕ</t>
  </si>
  <si>
    <t>978-5-378-34923-4</t>
  </si>
  <si>
    <t>9785378349234</t>
  </si>
  <si>
    <t>4af9cc788b3b2f0e8c314094e15736a6</t>
  </si>
  <si>
    <t>236315</t>
  </si>
  <si>
    <t>МНОГОРАЗОВАЯ ВОДНАЯ РАСКРАСКА. СИНИЙ ТРАКТОР. ПОЛЕЗНЫЕ МАШИНЫ</t>
  </si>
  <si>
    <t>978-5-378-34922-7</t>
  </si>
  <si>
    <t>9785378349227</t>
  </si>
  <si>
    <t>d26fb827ceda63dad709760d91f25623</t>
  </si>
  <si>
    <t>05.11.2024 0:00:00</t>
  </si>
  <si>
    <t>215064</t>
  </si>
  <si>
    <t>МНОГОРАЗОВАЯ ВОДНАЯ РАСКРАСКА. ТРАНСПОРТ</t>
  </si>
  <si>
    <t>978-5-378-34351-5</t>
  </si>
  <si>
    <t>9785378343515</t>
  </si>
  <si>
    <t>66f965604fc942a5f427c9a33a902c86</t>
  </si>
  <si>
    <t>СЕРИЯ: МНОГОРАЗОВАЯ ВОДНАЯ РАСКРАСКА глянц.ламин, 195х276 (мелов 170)</t>
  </si>
  <si>
    <t>241759</t>
  </si>
  <si>
    <t>МНОГОРАЗОВАЯ ВОДНАЯ РАСКРАСКА А4. АКУЛА МИЛА</t>
  </si>
  <si>
    <t>978-5-378-35235-7</t>
  </si>
  <si>
    <t>9785378352357</t>
  </si>
  <si>
    <t>8265397000c564185edbfe0709a107fe</t>
  </si>
  <si>
    <t>196x275х1</t>
  </si>
  <si>
    <t>241760</t>
  </si>
  <si>
    <t>МНОГОРАЗОВАЯ ВОДНАЯ РАСКРАСКА А4. КАПИБАРА И ДРУЗЬЯ</t>
  </si>
  <si>
    <t>978-5-378-35236-4</t>
  </si>
  <si>
    <t>9785378352364</t>
  </si>
  <si>
    <t>6ee1ef71e7ba91f2a4bb24c149ed9707</t>
  </si>
  <si>
    <t>227845</t>
  </si>
  <si>
    <t>МНОГОРАЗОВАЯ ВОДНАЯ РАСКРАСКА А4. ТРАНСПОРТ</t>
  </si>
  <si>
    <t>978-5-378-34724-7</t>
  </si>
  <si>
    <t>9785378347247</t>
  </si>
  <si>
    <t>f64ab278031966234506c83f649537ad</t>
  </si>
  <si>
    <t>СЕРИЯ: МНОГОРАЗОВАЯ ВОДНАЯ РАСКРАСКА С ЧЁРНЫМ КОНТУРОМ мелов.обл. 160x230</t>
  </si>
  <si>
    <t>258306</t>
  </si>
  <si>
    <t>МНОГОРАЗОВАЯ ВОДНАЯ РАСКРАСКА С ЧЁРНЫМ КОНТУРОМ. ДИКИЕ ЖИВОТНЫЕ</t>
  </si>
  <si>
    <t>978-5-378-35667-6</t>
  </si>
  <si>
    <t>Эту раскраску можно использовать снова и снова. Для творчества не нужны ни карандаши, ни краски, ни фломастеры. Черно-белые страницы легко оживут, если провести по ним кисточкой, смоченной водой. Цветные картинки и появляющиеся, как по волшебству, персонажи увлекут малыша и заинтересуют творчеством.</t>
  </si>
  <si>
    <t>9785378356676</t>
  </si>
  <si>
    <t>51bf42b816df66493b90c347a1f72def</t>
  </si>
  <si>
    <t>258309</t>
  </si>
  <si>
    <t>МНОГОРАЗОВАЯ ВОДНАЯ РАСКРАСКА С ЧЁРНЫМ КОНТУРОМ. ДОМАШНИЕ ЖИВОТНЫЕ</t>
  </si>
  <si>
    <t>978-5-378-35669-0</t>
  </si>
  <si>
    <t>9785378356690</t>
  </si>
  <si>
    <t>9d0bd27d28a097a7c64348f630d56233</t>
  </si>
  <si>
    <t>258303</t>
  </si>
  <si>
    <t>МНОГОРАЗОВАЯ ВОДНАЯ РАСКРАСКА С ЧЁРНЫМ КОНТУРОМ. МАМЫ И МАЛЫШИ</t>
  </si>
  <si>
    <t>978-5-378-35666-9</t>
  </si>
  <si>
    <t>9785378356669</t>
  </si>
  <si>
    <t>4f9d9d3aad3120ba4c199b4cebc1b531</t>
  </si>
  <si>
    <t>258307</t>
  </si>
  <si>
    <t>МНОГОРАЗОВАЯ ВОДНАЯ РАСКРАСКА С ЧЁРНЫМ КОНТУРОМ. ТРАНСПОРТ</t>
  </si>
  <si>
    <t>978-5-378-35668-3</t>
  </si>
  <si>
    <t>9785378356683</t>
  </si>
  <si>
    <t>50499f2756ba71e79dfd58dbdfa4416a</t>
  </si>
  <si>
    <t>СЕРИЯ: МНОГОРАЗОВАЯ ВОДНАЯ РАСКРАСКА-ВИММЕЛЬБУХ ДЛЯ МАЛЬЧИКОВ глянц.ламин, 4л 195х276</t>
  </si>
  <si>
    <t>238147</t>
  </si>
  <si>
    <t>МНОГОРАЗОВАЯ ВОДНАЯ РАСКРАСКА-ВИММЕЛЬБУХ ДЛЯ МАЛЬЧИКОВ. Весёлые путешествия</t>
  </si>
  <si>
    <t>978-5-378-35116-9</t>
  </si>
  <si>
    <t>Многоразовая водная раскраска с интересным сюжетом станет прекрасным подарком для непоседливых мальчишек!
Белая страница, как по волшебству, становится яркой — стоит только взять кисточку с водой.
А теперь можно поиграть! Ведь эта раскраска  ещё и виммельбух. Выполнить задание и найти на картинке весёлого персонажа сможет самый внимательный!
Через время картинка высохнет и раскрашивать и играть можно будет снова. А детские ладошки будут оставаться чистыми всегда!</t>
  </si>
  <si>
    <t>9785378351169</t>
  </si>
  <si>
    <t>3aff1238b68ae2ed00e8b834a5b7dc61</t>
  </si>
  <si>
    <t>196х276х1</t>
  </si>
  <si>
    <t>238146</t>
  </si>
  <si>
    <t>МНОГОРАЗОВАЯ ВОДНАЯ РАСКРАСКА-ВИММЕЛЬБУХ ДЛЯ МАЛЬЧИКОВ. Забавные динозавры</t>
  </si>
  <si>
    <t>978-5-378-35115-2</t>
  </si>
  <si>
    <t>9785378351152</t>
  </si>
  <si>
    <t>fcb4007a43912b40e817524d935514ba</t>
  </si>
  <si>
    <t>238144</t>
  </si>
  <si>
    <t>МНОГОРАЗОВАЯ ВОДНАЯ РАСКРАСКА-ВИММЕЛЬБУХ ДЛЯ МАЛЬЧИКОВ. Приключения тракторов</t>
  </si>
  <si>
    <t>978-5-378-35113-8</t>
  </si>
  <si>
    <t>9785378351138</t>
  </si>
  <si>
    <t>6bca550a4f123dac01365e340441129a</t>
  </si>
  <si>
    <t>238145</t>
  </si>
  <si>
    <t>МНОГОРАЗОВАЯ ВОДНАЯ РАСКРАСКА-ВИММЕЛЬБУХ ДЛЯ МАЛЬЧИКОВ. Удивительные картинки</t>
  </si>
  <si>
    <t>978-5-378-35114-5</t>
  </si>
  <si>
    <t>9785378351145</t>
  </si>
  <si>
    <t>44231c9d895f28559e0b0049b22fb853</t>
  </si>
  <si>
    <t>СЕРИЯ: МОЯ ПЕРВАЯ ВОДНАЯ РАСКРАСКА глянц.ламин, картон.обл. 6 л 195х195 (офсет 160)</t>
  </si>
  <si>
    <t>204090</t>
  </si>
  <si>
    <t>МОЯ ПЕРВАЯ ВОДНАЯ РАСКРАСКА. ДЛЯ ДЕВОЧЕК</t>
  </si>
  <si>
    <t>978-5-378-34261-7</t>
  </si>
  <si>
    <t>Вашему маленькому художнику уже хочется взять в руки кисть, но пока сложно справиться с рисованием самостоятельно? Серия «Моя первая водная раскраска» наверняка понравится ему, ведь это полезное и увлекательное занятие, для которого понадобится только кисточка и вода! В каждой раскраске этой серии на плотных страницах ребёнок найдёт по 6 сюжетов на популярные темы («Для девочек», «Для мальчиков», «Любимые сказки», «Животные»), которые станут ещё более яркими и многоцветными, когда по ним проведут влажной кисточкой. Да, действительно! Краски вам не понадобятся, ведь узор с разнообразными и яркими оттенками заранее нанесён на рисунки по уникальной технологии.</t>
  </si>
  <si>
    <t>9785378342617</t>
  </si>
  <si>
    <t>0b0ec8c4fdddd28a3633e6d63fe74c2f</t>
  </si>
  <si>
    <t>195х195х2</t>
  </si>
  <si>
    <t>204091</t>
  </si>
  <si>
    <t>МОЯ ПЕРВАЯ ВОДНАЯ РАСКРАСКА. ДЛЯ МАЛЬЧИКОВ</t>
  </si>
  <si>
    <t>978-5-378-34262-4</t>
  </si>
  <si>
    <t>9785378342624</t>
  </si>
  <si>
    <t>c043879b15be1340b42374c42b64447a</t>
  </si>
  <si>
    <t>204092</t>
  </si>
  <si>
    <t>МОЯ ПЕРВАЯ ВОДНАЯ РАСКРАСКА. ЖИВОТНЫЕ</t>
  </si>
  <si>
    <t>978-5-378-34264-8</t>
  </si>
  <si>
    <t>9785378342648</t>
  </si>
  <si>
    <t>5f711680a749dfc9f4b1d0e228045dc3</t>
  </si>
  <si>
    <t>274571</t>
  </si>
  <si>
    <t>МОЯ ПЕРВАЯ ВОДНАЯ РАСКРАСКА. КОТЭ</t>
  </si>
  <si>
    <t>978-5-378-36080-2</t>
  </si>
  <si>
    <t>Представляем новую раскраску с героями популярного мультсериала «Котэ». Карандаши, фломастеры и краски – в сторону! Возьми стакан с водой, намочи кисточку и проведи ею по листу – ты увидишь, как оживают картинки!</t>
  </si>
  <si>
    <t>9785378360802</t>
  </si>
  <si>
    <t>248072</t>
  </si>
  <si>
    <t>МОЯ ПЕРВАЯ ВОДНАЯ РАСКРАСКА. КОШЕЧКИ-СОБАЧКИ</t>
  </si>
  <si>
    <t>978-5-378-35465-8</t>
  </si>
  <si>
    <t>Представляем новую раскраску с героями популярного мультсериала «Кошечки-Собачки». Карандаши, фломастеры и краски – в сторону! Возьми стакан с водой, намочи кисточку и проведи ею по листу – ты увидишь, как оживают картинки!</t>
  </si>
  <si>
    <t>9785378354658</t>
  </si>
  <si>
    <t>d5383ea0a98d409b483ef7b637a90d25</t>
  </si>
  <si>
    <t>204094</t>
  </si>
  <si>
    <t>МОЯ ПЕРВАЯ ВОДНАЯ РАСКРАСКА. ЛЮБИМЫЕ СКАЗКИ</t>
  </si>
  <si>
    <t>978-5-378-34263-1</t>
  </si>
  <si>
    <t>9785378342631</t>
  </si>
  <si>
    <t>bf166d7078e07ebf5b7287094528554e</t>
  </si>
  <si>
    <t>267387</t>
  </si>
  <si>
    <t>МОЯ ПЕРВАЯ ВОДНАЯ РАСКРАСКА. МАСТЕР ВИТЯ И МОТОР</t>
  </si>
  <si>
    <t>978-5-378-35925-7</t>
  </si>
  <si>
    <t>9785378359257</t>
  </si>
  <si>
    <t>3eff174945d79de957f6092ebbbab62f</t>
  </si>
  <si>
    <t>232092</t>
  </si>
  <si>
    <t>МОЯ ПЕРВАЯ ВОДНАЯ РАСКРАСКА. МИ-МИ-МИШКИ</t>
  </si>
  <si>
    <t>978-5-378-34850-3</t>
  </si>
  <si>
    <t xml:space="preserve">Представляем новые раскраски с героями популярных мультсериалов «Ми-ми-мишки» и «Синий трактор». Карандаши, фломастеры и краски – в сторону! Возьми стакан с водой, намочи кисточку и проведи ею по листу – ты увидишь, как оживают картинки! </t>
  </si>
  <si>
    <t>9785378348503</t>
  </si>
  <si>
    <t>8664387ca3e7f25872cde277f4c60535</t>
  </si>
  <si>
    <t>232091</t>
  </si>
  <si>
    <t>МОЯ ПЕРВАЯ ВОДНАЯ РАСКРАСКА. СИНИЙ ТРАКТОР</t>
  </si>
  <si>
    <t>978-5-378-34849-7</t>
  </si>
  <si>
    <t>9785378348497</t>
  </si>
  <si>
    <t>7ee9b6cc691f644a7e1acb70065e0a69</t>
  </si>
  <si>
    <t>222882</t>
  </si>
  <si>
    <t>МОЯ ПЕРВАЯ ВОДНАЯ РАСКРАСКА. ТРАНСПОРТ</t>
  </si>
  <si>
    <t>978-5-378-34632-5</t>
  </si>
  <si>
    <t>Вашему маленькому художнику уже хочется взять в руки кисть, но пока сложно справиться с рисованием самостоятельно? Серия «Моя первая водная раскраска» наверняка понравится ему, ведь это полезное и увлекательное занятие, для которого понадобится только кисточка и вода! В каждой раскраске этой серии на плотных страницах ребёнок найдёт по 6 сюжетов на популярные темы («Для девочек», «Для мальчиков», «Любимые сказки», «Животные», «Транспорт» ), которые станут ещё более яркими и многоцветными, когда по ним проведут влажной кисточкой. Да, действительно! Краски вам не понадобятся, ведь узор с разнообразными и яркими оттенками заранее нанесён на рисунки по уникальной технологии.</t>
  </si>
  <si>
    <t>9785378346325</t>
  </si>
  <si>
    <t>eccd067bbbcb74f79b74524858f75af2</t>
  </si>
  <si>
    <t>245139</t>
  </si>
  <si>
    <t>МОЯ ПЕРВАЯ ВОДНАЯ РАСКРАСКА. ТУРБОЗАВРЫ</t>
  </si>
  <si>
    <t>978-5-378-35333-0</t>
  </si>
  <si>
    <t>Представляем новую раскраску с героями популярного мультсериала «Турбозавры». Карандаши, фломастеры и краски – в сторону! Возьми стакан с водой, намочи кисточку и проведи ею по листу – ты увидишь, как оживают картинки!</t>
  </si>
  <si>
    <t>9785378353330</t>
  </si>
  <si>
    <t>f985055b4e5c636bf1c1b8de5db63eaa</t>
  </si>
  <si>
    <t>251801</t>
  </si>
  <si>
    <t>МОЯ ПЕРВАЯ ВОДНАЯ РАСКРАСКА. ЦВЕТНЯШКИ</t>
  </si>
  <si>
    <t xml:space="preserve">978-5-378-35539-6 </t>
  </si>
  <si>
    <t xml:space="preserve">9785378355396 </t>
  </si>
  <si>
    <t>9a752d5c72012cfde6d0ec7606997ee4</t>
  </si>
  <si>
    <t>267388</t>
  </si>
  <si>
    <t>МОЯ ПЕРВАЯ ВОДНАЯ РАСКРАСКА. ЦЫП-ЦЫП</t>
  </si>
  <si>
    <t>978-5-378-35926-4</t>
  </si>
  <si>
    <t>9785378359264</t>
  </si>
  <si>
    <t>d4ddbea94e19c2014ad91ce294562834</t>
  </si>
  <si>
    <t>РАСКРАСКИ АНТИСТРЕСС</t>
  </si>
  <si>
    <t>СЕРИЯ: МАНДАЛЫ. РАСКРАСКА-АНТИСТРЕСС глянц.ламин, картон.обл, КБС 210х210</t>
  </si>
  <si>
    <t>181640</t>
  </si>
  <si>
    <t>МАНДАЛЫ. РАСКРАСКА-АНТИСТРЕСС. ДЕВУШКА</t>
  </si>
  <si>
    <t>978-5-378-33292-2</t>
  </si>
  <si>
    <t>Раскрашивание мандал - глубокая практика для саморазвития и помощи себе. Настройтесь перед началом, уделив внимание комфортной обстановке. Выберите спокойное место для работы. Следите за дыханием, чтобы оно было свободным и глубоким. Во время рисования думайте о своих мечтах и целях или представляйте себе место, в котором вам максимально хорошо. Можете посвятить мандалу конкретному желанию и потом повесить её на видном месте, чтобы напоминать себе об истинных стремлениях.</t>
  </si>
  <si>
    <t>9785378332922</t>
  </si>
  <si>
    <t>210х210х3</t>
  </si>
  <si>
    <t>222330</t>
  </si>
  <si>
    <t>МАНДАЛЫ. РАСКРАСКА-АНТИСТРЕСС. ДЕНЬГИ</t>
  </si>
  <si>
    <t>978-5-378-34597-7</t>
  </si>
  <si>
    <t>Раскрашивание мандал — глубокая практика для саморазвития и помощи себе. Настройтесь перед началом, уделив внимание комфортной обстановке. Выберите спокойное место для творчества. Следите за дыханием, чтобы оно было свободным и глубоким.
Во время рисования думайте о своих мечтах и целях или представляйте себе место, в котором вам максимально хорошо. Можете посвятить мандалу конкретному желанию и потом повесить её на видном месте, чтобы напоминать себе об истинных стремлениях.</t>
  </si>
  <si>
    <t>9785378345977</t>
  </si>
  <si>
    <t>193404</t>
  </si>
  <si>
    <t>МАНДАЛЫ. РАСКРАСКА-АНТИСТРЕСС. СЧАСТЬЕ В ЛИЧНОЙ ЖИЗНИ</t>
  </si>
  <si>
    <t>978-5-378-34011-8</t>
  </si>
  <si>
    <t>Внутри брошюры собраны тематические мандалы и текстовые описания к ним. Раскрашивая рисунки, а также подключая близкие вам практики, вы сможете проработать сферу "счастье в личной жизни". 
Раскрашивание мандал — глубокая практика для саморазвития и помощи себе. Настройтесь перед началом, уделив внимание комфортной обстановке. Выберите спокойное место для работы.
Следите за дыханием, чтобы оно было свободным и глубоким. Во время рисования думайте о своих мечтах и целях или представляйте себе место, в котором вам максимально хорошо. Можете посвятить мандалу конкретному желанию и потом повесить её на видном месте, чтобы напоминать себе об истинных стремлениях.</t>
  </si>
  <si>
    <t>9785378340118</t>
  </si>
  <si>
    <t>181639</t>
  </si>
  <si>
    <t>МАНДАЛЫ. РАСКРАСКА-АНТИСТРЕСС. УЗОР</t>
  </si>
  <si>
    <t>978-5-378-33291-5</t>
  </si>
  <si>
    <t>9785378332915</t>
  </si>
  <si>
    <t>СЕРИЯ: МАНДАЛЫ. РАСКРАСКА-АНТИСТРЕСС на гребне 145х202</t>
  </si>
  <si>
    <t>259926</t>
  </si>
  <si>
    <t>МАНДАЛЫ. РАСКРАСКА-АНТИСТРЕСС. Антистресс</t>
  </si>
  <si>
    <t>978-5-378-35704-8</t>
  </si>
  <si>
    <t>Работа с мандалами — одна из практик, которая позволяет расслабиться, почувствовать свои истинные желания, увидеть настоящие стремления. К созданию своих раскрасок мы привлекли автора с психологическим образованием. Рисунки брошюр созданы в состоянии медитациии и наполнены позитивной энергетикой.
В создании раскрасок использовались разные подходы:
Психологический — как форма влияет на восприятие;
Теоретический — что означает тот или иной символ;
Интуитивный — когда образы появляются в медитации.
К каждой иллюстрации дано текстовое описание — какой смысл она несёт. Вы сможете максимально глубоко погрузиться в тему исследования себя и своего внутреннего мира.</t>
  </si>
  <si>
    <t>9785378357048</t>
  </si>
  <si>
    <t>Мартынова Инесса</t>
  </si>
  <si>
    <t>e902fe3ad868a6db76d0753ab6cfe9b5</t>
  </si>
  <si>
    <t>145х202х10</t>
  </si>
  <si>
    <t>259925</t>
  </si>
  <si>
    <t>МАНДАЛЫ. РАСКРАСКА-АНТИСТРЕСС. Женская сила</t>
  </si>
  <si>
    <t>978-5-378-35703-1</t>
  </si>
  <si>
    <t>Работа с мандалами — одна из практик, которая позволяет расслабиться, почувствовать свои истинные желания, увидеть настоящие стремления. К созданию своих раскрасок мы привлекли автора с психологическим образованием. Рисунки брошюр созданы в состоянии медитациии и наполнены позитивной энергетикой.
В создании раскрасок использовались разные подходы:
Психологический — как форма влияет на восприятие;
Теоретический — что означает тот или иной символ;
Интуитивный — когда образы появляются в медитации.
К каждой иллюстрации дано текстовое описание — какой смысл она несёт. Вы сможете максимально глубоко погрузиться в тему исследования себя и своего внутреннего мира. Кроме того, мы предлагаем вам использовать аффирмации, усиливая тем самым эффект от работы с мандалой.</t>
  </si>
  <si>
    <t>9785378357031</t>
  </si>
  <si>
    <t>f8f82719899943f84e87b0247ca3eb51</t>
  </si>
  <si>
    <t>СЕРИЯ: МАНДАЛЫ. РАСКРАСКА-АНТИСТРЕСС на гребне 200х200</t>
  </si>
  <si>
    <t>216813</t>
  </si>
  <si>
    <t>МАНДАЛЫ. РАСКРАСКА-АНТИСТРЕСС на гребне. ДЕНЕЖНЫЕ МАНДАЛЫ</t>
  </si>
  <si>
    <t>978-5-378-34495-6</t>
  </si>
  <si>
    <t>Раскрашивание мандал — глубокая практика для саморазвития и помощи себе. Настройтесь перед началом, уделив внимание комфортной обстановке. Выберите спокойное место для работы. Следите за дыханием, чтобы оно было свободным и глубоким. Во время рисования сосредоточьтесь на своих чувствах и желаниях. Чего вы хотели бы достичь? Каким делом заниматься? Какая сфера деятельности могла бы приносить вам доход? Как вы хотели бы себя чувствовать и как выглядеть? Услышьте себя, найдите внутреннюю опору, визуализируйте свой образ благополучия. Когда закончите работу с мандалой, можно повесить её на видном месте, чтобы напоминать себе об истинных стремлениях.</t>
  </si>
  <si>
    <t>9785378344956</t>
  </si>
  <si>
    <t>205х200х10</t>
  </si>
  <si>
    <t>243733</t>
  </si>
  <si>
    <t>МАНДАЛЫ. РАСКРАСКА-АНТИСТРЕСС на гребне. ЖЕНСКАЯ ЭНЕРГИЯ</t>
  </si>
  <si>
    <t xml:space="preserve">978-5-378-35328-6 </t>
  </si>
  <si>
    <t>К созданию своих раскрасок мы подошли со всей ответственностью и привлекли автора с психологическим образованием. Рисунки брошюр созданы в состоянии медитациии, наполнены позитивной энергетикой.
В создании использовались разные подходы:
Психологический – как форма влияет на восприятие;
Теоретический – что означает тот или иной символ;
Интуитивный – когда образы появляются в медитации.
К каждой иллюстрации дано текстовое описание – какой смысл она несёт. Вы сможете максимально глубоко погрузиться в тему исследования себя и своего внутреннего мира.</t>
  </si>
  <si>
    <t>9785378353286</t>
  </si>
  <si>
    <t>6840e7149b0f287eeb7f15c75f956b14</t>
  </si>
  <si>
    <t>26.11.2024 0:00:00</t>
  </si>
  <si>
    <t>238445</t>
  </si>
  <si>
    <t>МАНДАЛЫ. РАСКРАСКА-АНТИСТРЕСС на гребне. МАНДАЛЫ ДЛЯ ЛЮБВИ К СЕБЕ</t>
  </si>
  <si>
    <t>978-5-378-35128-2</t>
  </si>
  <si>
    <t>К созданию своих раскрасок мы подошли со всей ответственностью
и привлекли автора с психологическим образованием. Рисунки брошюр созданы в состоянии медитации и наполнены позитивной энергетикой.
В создании использовались разные подходы:
Психологический – как форма влияет на восприятие.
Теоретический – что означает тот или иной символ.
Интуитивный – когда образы появляются в медитации.
К каждой иллюстрации дано текстовое описание – какой смысл она несёт. Вы сможете максимально глубоко погрузиться в тему исследования себя и своего внутреннего мира.
Раскрашивание мандал – глубокая практика для саморазвития и помощи себе. Настройтесь перед началом, уделив внимание комфортной обстановке. Выберите спокойное место для работы. Следите за дыханием, чтобы оно было свободным и глубоким. Во время рисования думайте о своих мечтах и целях или представляйте себе место, в котором вам максимально хорошо. Готовые изображения можно повесить на видном месте, чтобы напоминать себе об истинных стремлениях.</t>
  </si>
  <si>
    <t>9785378351282</t>
  </si>
  <si>
    <t>322069340ed046496e1012c8d0859fc1</t>
  </si>
  <si>
    <t>267411</t>
  </si>
  <si>
    <t>МАНДАЛЫ. РАСКРАСКА-АНТИСТРЕСС на гребне. МАНДАЛЫ ДЛЯ ПЕРЕМЕН</t>
  </si>
  <si>
    <t>978-5-378-35942-4</t>
  </si>
  <si>
    <t>Новую жизнь можно начать в любой момент, когда вы поняли, что готовы. Неважно, какой будет день, месяц или год. Работа с мандалами — одна из практик, которая позволяет расслабиться, почувствовать свои истинные желания, увидеть настоящие стремления и открыться навстречу переменам. Усилить действие мандал можно при помощи аффирмаций. Духовные практики направлены на глубокую проработку внутренних установок и желаний. Подключайте все близкие вам варианты! Автор раскраски Инесса Мартынова имеет психологическое образование. Рисунки созданы в состоянии медитации и наполнены позитивной энергетикой. Лейла Джунусбаева имеет богатый опыт духовного преображения, который помогает людям исцелиться через искусство. К каждой иллюстрации дано текстовое описание смысла, который она несёт. Вы сможете максимально глубоко погрузиться в тему исследования себя и своего внутреннего мира, чтобы встать на лёгкий и спокойный путь изменений в своей жизни!</t>
  </si>
  <si>
    <t>9785378359424</t>
  </si>
  <si>
    <t>29c0f0e911d1fbf35e3cd02f0d93e0b4</t>
  </si>
  <si>
    <t>267410</t>
  </si>
  <si>
    <t>МАНДАЛЫ. РАСКРАСКА-АНТИСТРЕСС на гребне. МАНДАЛЫ ПЕРЕЗАГРУЗКИ</t>
  </si>
  <si>
    <t>978-5-378-35941-7</t>
  </si>
  <si>
    <t>Новую жизнь можно начать в любой момент, когда вы поняли, что готовы. Неважно, какой будет день, месяц или год. Работа с мандалами — одна из практик, которая позволяет расслабиться, почувствовать свои истинные желания, увидеть настоящие стремления. Усилить действие мандал можно при помощи аффирмаций. Духовные практики направлены на глубокую проработку внутренних установок и желаний. Подключайте все близкие вам варианты! Автор раскрасок имеет психологическое образование. Рисунки брошюр созданы в состоянии медитациии и наполнены позитивной энергетикой. К каждой иллюстрации дано текстовое описание смысла, который она несёт. Вы сможете максимально глубоко погрузиться в тему исследования себя и своего внутреннего мира, чтобы встать на лёгкий и спокойный путь к своей новой жизни!</t>
  </si>
  <si>
    <t>9785378359417</t>
  </si>
  <si>
    <t>216814</t>
  </si>
  <si>
    <t>МАНДАЛЫ. РАСКРАСКА-АНТИСТРЕСС на гребне. МАНДАЛЫ ПРОТИВ ВЫГОРАНИЯ</t>
  </si>
  <si>
    <t>978-5-378-34496-3</t>
  </si>
  <si>
    <t>9785378344963</t>
  </si>
  <si>
    <t>238446</t>
  </si>
  <si>
    <t>МАНДАЛЫ. РАСКРАСКА-АНТИСТРЕСС на гребне. МАНДАЛЫ ПРОТИВ ТРЕВОЖНОСТИ</t>
  </si>
  <si>
    <t>978-5-378-35129-9</t>
  </si>
  <si>
    <t>9785378351299</t>
  </si>
  <si>
    <t>0c3df530a5602cd2b92803aff6d4d801</t>
  </si>
  <si>
    <t>243734</t>
  </si>
  <si>
    <t>МАНДАЛЫ. РАСКРАСКА-АНТИСТРЕСС на гребне. ОСОЗНАННОЕ ПИТАНИЕ</t>
  </si>
  <si>
    <t xml:space="preserve">978-5-378-35329-3 </t>
  </si>
  <si>
    <t>К созданию этой раскраски мы привлекли автора с опытом духовного преображения, чья работа помогает людям открыть их внутренние миры и исцелиться через искусство. Раскрашивание мандал — полезная практика, призванная помочь лучше узнать себя, начать ценить здоровье, гармонию души и тела, проработать важные желания и цели. К каждой иллюстрации дано текстовое описание — какой смысл она несёт. Вы сможете максимально глубоко погрузиться в тему исследования себя и своего внутреннего мира.</t>
  </si>
  <si>
    <t>9785378353293</t>
  </si>
  <si>
    <t>Джунусбаева Лейла</t>
  </si>
  <si>
    <t>5764812ddc7c490f57b711c4bf30f5ca</t>
  </si>
  <si>
    <t>246456</t>
  </si>
  <si>
    <t>МАНДАЛЫ. РАСКРАСКА-АНТИСТРЕСС на гребне. РАЗВИТИЕ ТАЛАНТА</t>
  </si>
  <si>
    <t>978-5-378-35424-5</t>
  </si>
  <si>
    <t>9785378354245</t>
  </si>
  <si>
    <t>ce2ff19cfac71ef3acf3c84bc7ec6acd</t>
  </si>
  <si>
    <t>246454</t>
  </si>
  <si>
    <t>МАНДАЛЫ. РАСКРАСКА-АНТИСТРЕСС на гребне. СИЛА МОЕГО РОДА</t>
  </si>
  <si>
    <t>978-5-378-35423-8</t>
  </si>
  <si>
    <t>9785378354238</t>
  </si>
  <si>
    <t>161bf65b3309dbec6f55003bfb14b712</t>
  </si>
  <si>
    <t>СЕРИЯ: РАСКРАСКА АНТИСТРЕСС "Арт-терапия" на гребне, твёрд.задняя обл.215х215</t>
  </si>
  <si>
    <t>218632</t>
  </si>
  <si>
    <t>РАСКРАСКА АНТИСТРЕСС "Арт-терапия" ВОЛШЕБНЫЕ МАНДАЛЫ</t>
  </si>
  <si>
    <t>978-5-378-34546-5</t>
  </si>
  <si>
    <t>Арт-терапия - это серия раскрасок в стиле антистресс, к которой можно обращаться в любых состояниях, ведь это один из методов практической психологии, который работает деликатно и экологично. Здесь не столько важны навыки рисования, сколько важен процесс, мысли и намерения, с которыми вы подбираете цвета, выводите линии,как вы реагируете на получающуюся иллюстрацию.
Серия раскрасок размером 215х215 мм включает в себя четыре темы: «Волшебные мандалы. Слушай своё сердце...», «Философия хюгге. Простые удовольствия жизни бесценны...», «Красота фауны. Живи здесь и сейчас...»,«Разнообразие флоры. Почувствуй безмятежность...». Каждая тема олицетворяет определённую атмосферу и эстетику, а от фраз веет спокойствием и настроением.</t>
  </si>
  <si>
    <t>9785378345465</t>
  </si>
  <si>
    <t>1d50d2b2d3ab07df0c9f7989b1590961</t>
  </si>
  <si>
    <t>215х220х10</t>
  </si>
  <si>
    <t>СЕРИЯ: РАСКРАСКА АНТИСТРЕСС на гребне, твёрд.задняя обл.210х275</t>
  </si>
  <si>
    <t>176656</t>
  </si>
  <si>
    <t>РАСКРАСКА АНТИСТРЕСС на гребне. ЛЕНИВЫЕ ЖИВОТНЫЕ</t>
  </si>
  <si>
    <t>978-5-378-32899-4</t>
  </si>
  <si>
    <t>Творческие занятия спасают от повседневной рутины и хорошо разгружают мозг. Раскраски-антистресс помогут найти простые решения сложным ситуациям и зарядиться вдохновением для выполнения любых дел. Раскрашивать иллюстрации очень удобно благодаря креплению с гребнем и подложке из твердого картона.</t>
  </si>
  <si>
    <t>9785378328994</t>
  </si>
  <si>
    <t>176655</t>
  </si>
  <si>
    <t>РАСКРАСКА АНТИСТРЕСС на гребне. НА КОНФЕРЕНЦИИ В ZOOM</t>
  </si>
  <si>
    <t>978-5-378-32898-7</t>
  </si>
  <si>
    <t>9785378328987</t>
  </si>
  <si>
    <t>176654</t>
  </si>
  <si>
    <t>РАСКРАСКА АНТИСТРЕСС на гребне. ОТДЫХ МЕЧТЫ</t>
  </si>
  <si>
    <t>978-5-378-32897-0</t>
  </si>
  <si>
    <t>9785378328970</t>
  </si>
  <si>
    <t>176653</t>
  </si>
  <si>
    <t>РАСКРАСКА АНТИСТРЕСС на гребне. ЦВЕТЫ ПРОКРАСТИНАЦИИ</t>
  </si>
  <si>
    <t>978-5-378-32896-3</t>
  </si>
  <si>
    <t>9785378328963</t>
  </si>
  <si>
    <t>СЕРИЯ: РАСКРАСКА-АНТИСТРЕСС "Зентанглы" на гребне, мат.ламин 145х203</t>
  </si>
  <si>
    <t>249532</t>
  </si>
  <si>
    <t>РАСКРАСКА-АНТИСТРЕСС "Зентанглы" Магия линий</t>
  </si>
  <si>
    <t>978-5-378-35497-9</t>
  </si>
  <si>
    <t>Зентангл — это особый вид арт-терапии, который способен не только помочь вам расслабиться, но также развивать творческое мышление. Попробуйте сами! Создавая зентанглы, вы наполняете свою жизнь удивительными абстрактными произведениями искусства. Они служат своего рода перезагрузкой мозга, позволяя почувствовать себя отдохнувшим и полным сил. Развивая навыки рисования, вы улучшаете зрительно-моторную координацию и обретаете уверенность в своих силах. К тому же для этого занятия не нужно специального оборудования — достаточно ручки и нашей раскраски.</t>
  </si>
  <si>
    <t>9785378354979</t>
  </si>
  <si>
    <t>55bc4d7cc2ce9c8391336a0c7cec4c7c</t>
  </si>
  <si>
    <t>150х200х10</t>
  </si>
  <si>
    <t>249530</t>
  </si>
  <si>
    <t>РАСКРАСКА-АНТИСТРЕСС "Зентанглы" Мир спокойствия</t>
  </si>
  <si>
    <t>978-5-378-35496-2</t>
  </si>
  <si>
    <t>9785378354962</t>
  </si>
  <si>
    <t>СЕРИЯ: РАСКРАСКА-АНТИСТРЕСС 245х245</t>
  </si>
  <si>
    <t>154705</t>
  </si>
  <si>
    <t>РАСКРАСКА-АНТИСТРЕСС 245х245. ВДОХНОВЛЯЮЩИЕ ФРАЗЫ</t>
  </si>
  <si>
    <t>978-5-378-31175-0</t>
  </si>
  <si>
    <t>Каждая страница раскрасок - это новая вдохновляющая и мотивирующая фраза в сочетании с приятной иллюстрацией. Процесс раскрашивания превращается в своеобразное таинство и погружение во внутренний мир, свои мечты и цели. Вы сможете расслабиться и пофантазировать! А чудесные иллюстрации талантливых художников подарят эстетическое наслаждение!</t>
  </si>
  <si>
    <t>9785378311750</t>
  </si>
  <si>
    <t>245х245х3</t>
  </si>
  <si>
    <t>СЕРИЯ: РАСКРАСКА-АНТИСТРЕСС глянц.ламин.карт.обл КБС 242х300</t>
  </si>
  <si>
    <t>190572</t>
  </si>
  <si>
    <t>РАСКРАСКА-АНТИСТРЕСС. ЗНАКИ ЗОДИАКА</t>
  </si>
  <si>
    <t>978-5-378-33920-4</t>
  </si>
  <si>
    <t>В этой большой антистресс-раскраске 48 страниц с изображениями всех 12 знаков зодиака и изящными девушками, олицетворяющими их. Закрашивание симметричных линий и повторяющихся деталей поможет сосредоточиться на творческом процессе и отвлечься от тревожных мыслей или расслабиться после трудного дня.</t>
  </si>
  <si>
    <t>9785378339204</t>
  </si>
  <si>
    <t>242х300х5</t>
  </si>
  <si>
    <t>192034</t>
  </si>
  <si>
    <t>РАСКРАСКА-АНТИСТРЕСС. КАРТЫ ТАРО</t>
  </si>
  <si>
    <t>978-5-378-33930-3</t>
  </si>
  <si>
    <t>Раскраска-антистресс "Карты Таро" - идеальный подарок как для себя, так и для друзей и знакомых! Замечательные атмосферные иллюстрации на страницах раскраски помогут снизить уровень стресса и тревоги, отдохнуть, полностью погрузившись в творчество.</t>
  </si>
  <si>
    <t>9785378339303</t>
  </si>
  <si>
    <t>СЕРИЯ: РАСКРАСКА-АНТИСТРЕСС. TOTAL BLACK глянц.ламин. 208х276</t>
  </si>
  <si>
    <t>192325</t>
  </si>
  <si>
    <t>РАСКРАСКА-АНТИСТРЕСС TOTAL BLACK. КОТЫ</t>
  </si>
  <si>
    <t>978-5-378-33943-3</t>
  </si>
  <si>
    <t>Представляем антистресс-раскраски нового уровня! Стильный чёрный фон страниц позволяет выделить самое главное! Не отвлекайся на суету: есть рисунок, ты и твоя фантазия. Твори!</t>
  </si>
  <si>
    <t>9785378339433</t>
  </si>
  <si>
    <t>208х276х5</t>
  </si>
  <si>
    <t>СЕРИЯ: РАСКРАСКА-АНТИСТРЕСС. ДЕВУШКИ на гребне 145х203</t>
  </si>
  <si>
    <t>258337</t>
  </si>
  <si>
    <t>РАСКРАСКА-АНТИСТРЕСС. ДЕВУШКИ. Girls &amp; Cats</t>
  </si>
  <si>
    <t>978-5-378-35664-5</t>
  </si>
  <si>
    <t>Представляем вам серию "Раскраски - Красивые Девушки" — идеальный подарок для любителей творчества и искусства! Каждая раскраска включает в себя 48 страниц с изящными и детальными изображениями девушек. Раскраски-антистресс идеальное решение для тех, кто ищет способ расслабиться и отвлечься от повседневной суеты! Используйте их не только как отличный способ провести время, но и как подарок для близких. Дарите радость и возможность окунуться в мир творчества вашим друзьям или родным!</t>
  </si>
  <si>
    <t>9785378356645</t>
  </si>
  <si>
    <t>1da07ae770eeb3fb0c6536cd5f113163</t>
  </si>
  <si>
    <t>267367</t>
  </si>
  <si>
    <t>РАСКРАСКА-АНТИСТРЕСС. ДЕВУШКИ. Girls&amp;Dogs</t>
  </si>
  <si>
    <t>978-5-378-35938-7</t>
  </si>
  <si>
    <t>9785378359387</t>
  </si>
  <si>
    <t>b98641d0f90101ee12498cecd6c28630</t>
  </si>
  <si>
    <t>267366</t>
  </si>
  <si>
    <t>РАСКРАСКА-АНТИСТРЕСС. ДЕВУШКИ. Девушка в кокошнике</t>
  </si>
  <si>
    <t>978-5-378-35937-0</t>
  </si>
  <si>
    <t>9785378359370</t>
  </si>
  <si>
    <t>251717</t>
  </si>
  <si>
    <t>РАСКРАСКА-АНТИСТРЕСС. ДЕВУШКИ. Песнь дракона</t>
  </si>
  <si>
    <t>978-5-378-35537-2</t>
  </si>
  <si>
    <t>Погрузитесь в мир творчества и релаксации с новинками серии "Раскраски. Девушки". В коллекцию входят две захватывающие антистресс раскраски: "Фэнтези девушки" и "Песнь дракона". Каждая брошюра содержит 48 страниц с детализированными иллюстрациями, которые перенесут вас в волшебные миры, полные загадок. Раскраски на гребне, для большего удобства при раскрашивании. Листы достаточной плотности позволяют раскрашивать картинки как карандашами, так и фломастерами. Наши раскраски — это прекрасный подарок на любой праздник!</t>
  </si>
  <si>
    <t>9785378355372</t>
  </si>
  <si>
    <t>РАСКРАСКИ С ГЛАЗКАМИ</t>
  </si>
  <si>
    <t>СЕРИЯ: РАСКРАСКА с глазками А5 глянц.ламин.165х230</t>
  </si>
  <si>
    <t>158945</t>
  </si>
  <si>
    <t>РАСКРАСКА с глазками А5. ДИКИЕ ЖИВОТНЫЕ</t>
  </si>
  <si>
    <t>978-5-378-31510-9</t>
  </si>
  <si>
    <t>Раскрашивать персонажей с глазками всегда весело и интересно! На страницах новых раскрасок удобного формата каждый малыш найдёт то, что ему по душе: животных, фей, машинки, роботов и многое другое!</t>
  </si>
  <si>
    <t>9785378315109</t>
  </si>
  <si>
    <t>ef1b11e307a15ad47c89f81b538a1962</t>
  </si>
  <si>
    <t>165х230х4</t>
  </si>
  <si>
    <t>158941</t>
  </si>
  <si>
    <t>РАСКРАСКА с глазками А5. ДЛЯ МАЛЫШЕЙ</t>
  </si>
  <si>
    <t>978-5-378-31506-2</t>
  </si>
  <si>
    <t>9785378315062</t>
  </si>
  <si>
    <t>ba7f7c241cdf63ec529746d0d2e63436</t>
  </si>
  <si>
    <t>158944</t>
  </si>
  <si>
    <t>РАСКРАСКА с глазками А5. ТРАНСПОРТ</t>
  </si>
  <si>
    <t>978-5-378-315093</t>
  </si>
  <si>
    <t>9785378315093</t>
  </si>
  <si>
    <t>74c8b474ffb14d8b98f7c2bc057f5b84</t>
  </si>
  <si>
    <t>СЕРИЯ: АНИМЕ РАСКРАСКА глянц. ламин. картон.обл. 242х300</t>
  </si>
  <si>
    <t>218645</t>
  </si>
  <si>
    <t>РАСКРАСКА АНИМЕ. ГЕРОИ МАНГИ</t>
  </si>
  <si>
    <t>978-5-378-34564-9</t>
  </si>
  <si>
    <t>Новые раскраски понравятся как настоящим фанатам жанра аниме, так и тем, кто пока что не знаком с ним. Почувствуйте себя причастным к созданию удивительного мира. Оживляйте картинки цветом, придумывайте истории про героев и смотрите мультфильмы всей семьей.</t>
  </si>
  <si>
    <t>9785378345649</t>
  </si>
  <si>
    <t>117b0bc124887f501dc6fea3c8861601</t>
  </si>
  <si>
    <t>242х300х4</t>
  </si>
  <si>
    <t>218644</t>
  </si>
  <si>
    <t>РАСКРАСКА АНИМЕ. МАЛЫШКИ ЧИБИ</t>
  </si>
  <si>
    <t>978-5-378-34563-2</t>
  </si>
  <si>
    <t>9785378345632</t>
  </si>
  <si>
    <t>dfd2087e163da75590d2dcb4ccd5be52</t>
  </si>
  <si>
    <t>181504</t>
  </si>
  <si>
    <t>РАСКРАСКА АНИМЕ. МИР ОТАКУ</t>
  </si>
  <si>
    <t>978-5-378-33286-1</t>
  </si>
  <si>
    <t>9785378332861</t>
  </si>
  <si>
    <t>181505</t>
  </si>
  <si>
    <t>РАСКРАСКА АНИМЕ. МОЭ-ПЕРСОНАЖИ</t>
  </si>
  <si>
    <t>978-5-378-33287-8</t>
  </si>
  <si>
    <t>9785378332878</t>
  </si>
  <si>
    <t>СЕРИЯ: КАРМАННАЯ РАСКРАСКА + карандаши, в индивидуальной коробке</t>
  </si>
  <si>
    <t>082350</t>
  </si>
  <si>
    <t>КАРМАННАЯ РАСКРАСКА. ДЛЯ МАЛЬЧИКОВ</t>
  </si>
  <si>
    <t>978-5-378-28614-0</t>
  </si>
  <si>
    <t>"Карманная раскраска" станет отличным помощником родителям, которые отправляются в дорогу с детьми. Теперь не придётся брать с собой книжку с раскрасками и цветные карандаши - потому что всё это умещается в компактной коробке "Карманной раскраски"! Внутри каждой коробки находятся тематическая раскраска с заданиями и набор карандашей. Оборот раскраски заламинирован - поэтому её легко раскрашивать на любой поверхности, даже просто на коленях. Интересные задания обязательно увлекут ребёнка и помогут скоротать время в очереди, на вокзале или в транспорте.</t>
  </si>
  <si>
    <t>9785378286140</t>
  </si>
  <si>
    <t>Карманная раскраска</t>
  </si>
  <si>
    <t>200Х1000</t>
  </si>
  <si>
    <t>082353</t>
  </si>
  <si>
    <t>КАРМАННАЯ РАСКРАСКА. РОБОТЫ</t>
  </si>
  <si>
    <t>978-5-378-28616-4</t>
  </si>
  <si>
    <t>9785378286164</t>
  </si>
  <si>
    <t>СЕРИЯ: КРУТЫЕ РАСКРАСКИ глянц. ламин. картон.обл.195х276</t>
  </si>
  <si>
    <t>212781</t>
  </si>
  <si>
    <t>КРУТЫЕ РАСКРАСКИ. ВОЕННАЯ ТЕХНИКА</t>
  </si>
  <si>
    <t>978-5-378-34408-6</t>
  </si>
  <si>
    <t>Новая серия «Крутые раскраски» для мальчиков - это 4 раскраски по 24 картинки на популярные темы: «Гонки», «Военная техника», «Самолёты» и Машины-роботы». Раскрашивание станет увлекательным и успокаивающим занятием после шумных активных игр, будет способствовать развитию ребёнка, его ассоциативного мышления, внимания, художественного вкуса и усидчивости, поможет научиться правильно держать карандаш. А ещё поможет найти и порадовать друзей! Ведь такие крутые сюжеты - тачки, самолёты, роботы и многое другое - захочется раскрашивать и обсуждать всем вместе!</t>
  </si>
  <si>
    <t>9785378344086</t>
  </si>
  <si>
    <t>084d8d809122ef716e37e3decd504aac</t>
  </si>
  <si>
    <t>212778</t>
  </si>
  <si>
    <t>КРУТЫЕ РАСКРАСКИ. ГОНКИ</t>
  </si>
  <si>
    <t>978-5-378-34409-3</t>
  </si>
  <si>
    <t>9785378344093</t>
  </si>
  <si>
    <t>212779</t>
  </si>
  <si>
    <t>КРУТЫЕ РАСКРАСКИ. МАШИНЫ-РОБОТЫ</t>
  </si>
  <si>
    <t>978-5-378-34411-6</t>
  </si>
  <si>
    <t>9785378344116</t>
  </si>
  <si>
    <t>212780</t>
  </si>
  <si>
    <t>КРУТЫЕ РАСКРАСКИ. САМОЛЁТЫ</t>
  </si>
  <si>
    <t>978-5-378-34410-9</t>
  </si>
  <si>
    <t>9785378344109</t>
  </si>
  <si>
    <t>СЕРИЯ: ЛЁГКАЯ РАСКРАСКА на гребне 145х203</t>
  </si>
  <si>
    <t>267371</t>
  </si>
  <si>
    <t>ЛЁГКАЯ РАСКРАСКА на гребне. ЗАБАВНЫЙ АНТИСТРЕСС</t>
  </si>
  <si>
    <t>978-5-378-35920-2</t>
  </si>
  <si>
    <t>Представляем идеальный формат снятия стресса: 48 простых и красивых иллюстраций, каждая из которых создана, чтобы её раскрасить всего за 15 минут. Это ваш личный ритуал для перезагрузки после школы или работы. Удобный формат позволяет брать раскраску с собой всегда, а универсальные рисунки понравятся и взрослым, и детям.</t>
  </si>
  <si>
    <t>9785378359202</t>
  </si>
  <si>
    <t>c65c14d5e3dacdc7dd8e8a0fde653e6c</t>
  </si>
  <si>
    <t>150х203х13</t>
  </si>
  <si>
    <t>267370</t>
  </si>
  <si>
    <t>ЛЁГКАЯ РАСКРАСКА на гребне. МИЛЫЕ КАРТИНКИ</t>
  </si>
  <si>
    <t>978-5-378-35919-6</t>
  </si>
  <si>
    <t>9785378359196</t>
  </si>
  <si>
    <t>СЕРИЯ: МАСТЕР-КЛАСС ДЛЯ НОВИЧКОВ глянц. ламин. картон.обл.195х280</t>
  </si>
  <si>
    <t>228272</t>
  </si>
  <si>
    <t>МАСТЕР-КЛАСС ДЛЯ НОВИЧКОВ. Рисуем аниме. Девчонки</t>
  </si>
  <si>
    <t>978-5-378-34747-6</t>
  </si>
  <si>
    <t>Перед тобой уникальное пособие по созданию девчонок в стиле аниме. Доступные инструкции и простые схемы, важные советы и полезные упражнения - совсем скоро ты научишься не только рисовать лица и фигуры героинь, но и сможешь придумать для них уникальные повседневные или волшебные образы.</t>
  </si>
  <si>
    <t>9785378347476</t>
  </si>
  <si>
    <t>195х280х4</t>
  </si>
  <si>
    <t>228273</t>
  </si>
  <si>
    <t>МАСТЕР-КЛАСС ДЛЯ НОВИЧКОВ. Рисуем аниме. Шаг за шагом</t>
  </si>
  <si>
    <t>978-5-378-34748-3</t>
  </si>
  <si>
    <t>Ты творческая натура и любишь японскую анимацию? Тогда это то, что нужно! Представляем пособие по созданию персонажей в стиле аниме. Доступные пошаговые инструкции, простые схемы и полезные советы - совсем скоро ты научишься не только рисовать лица и фигуры героев, но и сможешь придумать для них уникальные повседневные или волшебные образы.</t>
  </si>
  <si>
    <t>9785378347483</t>
  </si>
  <si>
    <t>СЕРИЯ: МОЯ РАСКРАСКА глянц. ламин. картон.обл.195х276</t>
  </si>
  <si>
    <t>207705</t>
  </si>
  <si>
    <t>МОЯ РАСКРАСКА А4 чёрная. АНИМЕ</t>
  </si>
  <si>
    <t>978-5-378-34352-2</t>
  </si>
  <si>
    <t>Цвет настроения ЧЁРНЫЙ? Раскрашиваем своё настроение во все цвета радуги! Благодаря крупным изображениям раскраски подойдут как для малышей, так и для мальчишек и девчонок постарше.</t>
  </si>
  <si>
    <t>9785378343522</t>
  </si>
  <si>
    <t>79558e4a81b8961236ef92ee30e75dd1</t>
  </si>
  <si>
    <t>Моя раскраска</t>
  </si>
  <si>
    <t>130937</t>
  </si>
  <si>
    <t>МОЯ РАСКРАСКА А4 чёрная. В ЗООПАРКЕ</t>
  </si>
  <si>
    <t>978-5-378-30153-9</t>
  </si>
  <si>
    <t>9785378301539</t>
  </si>
  <si>
    <t>8ae39ee87e5b1fd9a2dbd46c34519a34</t>
  </si>
  <si>
    <t>207707</t>
  </si>
  <si>
    <t>МОЯ РАСКРАСКА А4 чёрная. ВОЛШЕБНАЯ СТРАНА</t>
  </si>
  <si>
    <t>978-5-378-34354-6</t>
  </si>
  <si>
    <t>9785378343546</t>
  </si>
  <si>
    <t>1ad50c1a5b04d5005c107d3ccae24a61</t>
  </si>
  <si>
    <t>093122</t>
  </si>
  <si>
    <t>МОЯ РАСКРАСКА А4 чёрная. ДИНОЗАВРИКИ</t>
  </si>
  <si>
    <t>978-5-378-28815-1</t>
  </si>
  <si>
    <t>9785378288151</t>
  </si>
  <si>
    <t>207708</t>
  </si>
  <si>
    <t>МОЯ РАСКРАСКА А4 чёрная. КАВАЙИ</t>
  </si>
  <si>
    <t>978-5-378-34355-3</t>
  </si>
  <si>
    <t>9785378343553</t>
  </si>
  <si>
    <t>8e3318ffec553addfa3500491b7db654</t>
  </si>
  <si>
    <t>130938</t>
  </si>
  <si>
    <t>МОЯ РАСКРАСКА А4 чёрная. КЛАССНЫЕ ДЕВЧОНКИ</t>
  </si>
  <si>
    <t>978-5-378-30154-6</t>
  </si>
  <si>
    <t>9785378301546</t>
  </si>
  <si>
    <t>6e0b186ba25fb4e9d1e817b031ff20c2</t>
  </si>
  <si>
    <t>130939</t>
  </si>
  <si>
    <t>МОЯ РАСКРАСКА А4 чёрная. КОСМИЧЕСКИЙ ПОЛЁТ</t>
  </si>
  <si>
    <t>978-5-378-30155-3</t>
  </si>
  <si>
    <t>9785378301553</t>
  </si>
  <si>
    <t>9a2c953a561795b77e8b3ea7459ac663</t>
  </si>
  <si>
    <t>093125</t>
  </si>
  <si>
    <t>МОЯ РАСКРАСКА А4 чёрная. МИЛЫЕ ПОДРУГИ</t>
  </si>
  <si>
    <t>978-5-378-28813-7</t>
  </si>
  <si>
    <t>9785378288137</t>
  </si>
  <si>
    <t>6e67c0a3fc9d8e570f845a5f3af96299</t>
  </si>
  <si>
    <t>130940</t>
  </si>
  <si>
    <t>МОЯ РАСКРАСКА А4 чёрная. МОНСТРИКИ</t>
  </si>
  <si>
    <t>978-5-378-30156-0</t>
  </si>
  <si>
    <t>9785378301560</t>
  </si>
  <si>
    <t>59943a896e5e78e7dac39b162a2e00bb</t>
  </si>
  <si>
    <t>125887</t>
  </si>
  <si>
    <t>МОЯ РАСКРАСКА А4 чёрная. СКАЗОЧНЫЙ МИР</t>
  </si>
  <si>
    <t>978-5-378-29929-4</t>
  </si>
  <si>
    <t>9785378299294</t>
  </si>
  <si>
    <t>a948c54ff3365d02186ed99d2c4b0df1</t>
  </si>
  <si>
    <t>СЕРИЯ: ОЧЕНЬ БОЛЬШАЯ РАСКРАСКА  430х1000, в индивидуальной коробке</t>
  </si>
  <si>
    <t>075651</t>
  </si>
  <si>
    <t>ОЧЕНЬ БОЛЬШАЯ РАСКРАСКА. ЗАБАВНЫЕ ЗВЕРЯТА</t>
  </si>
  <si>
    <t>978-5-378-27997-5</t>
  </si>
  <si>
    <t>Эта раскраска-плакат станет отличным развлечением для всей семьи: её могут раскрашивать одновременно несколько человек! На ней изображены забавные зверята, о которых можно придумывать собственные истории, что превратит раскрашивание в увлекательную игру. Когда картинка будет полностью раскрашена, можно повесить её на стену и любоваться своим творением!</t>
  </si>
  <si>
    <t>9785378279975</t>
  </si>
  <si>
    <t>15.02.2018 0:00:00</t>
  </si>
  <si>
    <t>460х50х50</t>
  </si>
  <si>
    <t>СЕРИЯ: ПОСМОТРИ И РАСКРАСЬ А4 мелов.обл. 195х276</t>
  </si>
  <si>
    <t>222345</t>
  </si>
  <si>
    <t>ПОСМОТРИ И РАСКРАСЬ А4. ДИКИЕ ЖИВОТНЫЕ</t>
  </si>
  <si>
    <t>978-5-378-34618-9</t>
  </si>
  <si>
    <t>9785378346189</t>
  </si>
  <si>
    <t>11c9fe80f9c83a467c6ec8aef97c9c34</t>
  </si>
  <si>
    <t>220586</t>
  </si>
  <si>
    <t>ПОСМОТРИ И РАСКРАСЬ А4. ДЛЯ ДЕВЧОНОК</t>
  </si>
  <si>
    <t>978-5-378-34582-3</t>
  </si>
  <si>
    <t>Детские раскраски «Посмотри и раскрась» помогут малышам развивать мелкую моторику, внимание и воображение. Раскраски удобного формата, каждая содержит цветной пример для раскрашивания, что делает процесс творчества более интересным и легким для детей.
Ребёнку нужно просто посмотреть на картинку с цветным образцом и повторить. Таким образом, дети могут не только наслаждаться раскрашиванием, но и учиться повторять цветовые сочетания, формы и детали изображений.
В раскраске «Для девчонок» мы собрали милые иллюстрации, которые понравятся маленьким принцессам.
Эти раскраски отлично подойдут для детей дошкольного возраста, помогут им развивать свои творческие способности, ведь иногда совсем не обязательно повторять цвета точь-в-точь, как на картинке, полёт фантазии только приветствуется. Наши раскраски — это прекрасный подарок для ребёнка!</t>
  </si>
  <si>
    <t>9785378345823</t>
  </si>
  <si>
    <t>5fb7f073580c62dfecc5d80fab7ae6c4</t>
  </si>
  <si>
    <t>220587</t>
  </si>
  <si>
    <t>ПОСМОТРИ И РАСКРАСЬ А4. ДЛЯ МАЛЬЧИШЕК</t>
  </si>
  <si>
    <t>978-5-378-34583-0</t>
  </si>
  <si>
    <t>Детские раскраски «Посмотри и раскрась» помогут малышам развивать мелкую моторику, внимание и воображение. Раскраски удобного формата, каждая содержит цветной пример для раскрашивания, что делает процесс творчества более интересным и легким для детей.
Ребёнку нужно просто посмотреть на картинку с цветным образцом и повторить. Таким образом, дети могут не только наслаждаться раскрашиванием, но и учиться повторять цветовые сочетания, формы и детали изображений.
В раскраске «Для мальчишек» мы собрали озорные иллюстрации, которые понравятся неугомонным мальчишкам.
Эти раскраски отлично подойдут для детей дошкольного возраста, помогут им развивать свои творческие способности, ведь иногда совсем не обязательно повторять цвета точь-в-точь, как на картинке, полёт фантазии только приветствуется. Наши раскраски — это прекрасный подарок для ребёнка!</t>
  </si>
  <si>
    <t>9785378345830</t>
  </si>
  <si>
    <t>a9bb450d35c12caac22ad5498fa756fd</t>
  </si>
  <si>
    <t>220588</t>
  </si>
  <si>
    <t>ПОСМОТРИ И РАСКРАСЬ А4. МИЛЫЕ ЖИВОТНЫЕ</t>
  </si>
  <si>
    <t>978-5-378-34584-7</t>
  </si>
  <si>
    <t>Детские раскраски «Посмотри и раскрась» помогут малышам развивать мелкую моторику, внимание и воображение. Раскраски удобного формата, каждая содержит цветной пример для раскрашивания, что делает процесс творчества более интересным и легким для детей.
Ребёнку нужно просто посмотреть на картинку с цветным образцом и повторить. Таким образом, дети могут не только наслаждаться раскрашиванием, но и учиться повторять цветовые сочетания, формы и детали изображений.
В раскраске «Милые животные» мы собрали весёлые иллюстрации, которые понравятся всем деткам. 
Эти раскраски отлично подойдут для детей дошкольного возраста, помогут им развивать свои творческие способности, ведь иногда совсем не обязательно повторять цвета точь-в-точь, как на картинке, полёт фантазии только приветствуется. Наши раскраски — это прекрасный подарок для ребёнка!</t>
  </si>
  <si>
    <t>9785378345847</t>
  </si>
  <si>
    <t>0138a39817d8a1f09a39468bf120d5f2</t>
  </si>
  <si>
    <t>СЕРИЯ: РАСКРАСКА - ГИГАНТ в индивид.коробке 680х1010</t>
  </si>
  <si>
    <t>176553</t>
  </si>
  <si>
    <t>РАСКРАСКА-ГИГАНТ. ВЕСЁЛЫЙ ГОРОД</t>
  </si>
  <si>
    <t>978-5-378-32884-0</t>
  </si>
  <si>
    <t>"Раскраска-гигант" - настоящее приключение для всей семьи. Благодаря размеру картинку смогут раскрашивать сразу несколько человек. Ламинированная основа позволит делать это даже на ковре. С помощью клеевых креплений раскрашенный плакат удобно повесить на стену и любоваться своим шедевром! Вместе с персонажами раскраски вы можете окунуться в удивительный мир космоса, динозавров, милых зверят или отправиться в путешествие вокруг света. "Раскраска-гигант" надолго увлечёт и ребёнка, и родителей.</t>
  </si>
  <si>
    <t>9785378328840</t>
  </si>
  <si>
    <t>690х65х65</t>
  </si>
  <si>
    <t>176548</t>
  </si>
  <si>
    <t>РАСКРАСКА-ГИГАНТ. ВОЛШЕБНЫЙ МИР ЕДИНОРОГОВ</t>
  </si>
  <si>
    <t>978-5-378-32886-4</t>
  </si>
  <si>
    <t>9785378328864</t>
  </si>
  <si>
    <t>159123</t>
  </si>
  <si>
    <t>РАСКРАСКА-ГИГАНТ. ДИНОЗАВРИКИ</t>
  </si>
  <si>
    <t>978-5-378-31550-5</t>
  </si>
  <si>
    <t>9785378315505</t>
  </si>
  <si>
    <t>159122</t>
  </si>
  <si>
    <t>РАСКРАСКА-ГИГАНТ. КАРТА МИРА</t>
  </si>
  <si>
    <t>978-5-378-31551-2</t>
  </si>
  <si>
    <t>9785378315512</t>
  </si>
  <si>
    <t>159120</t>
  </si>
  <si>
    <t>РАСКРАСКА-ГИГАНТ. КОСМОС</t>
  </si>
  <si>
    <t>978-5-378-31549-9</t>
  </si>
  <si>
    <t>9785378315499</t>
  </si>
  <si>
    <t>176551</t>
  </si>
  <si>
    <t>РАСКРАСКА-ГИГАНТ. МИР МАШИН</t>
  </si>
  <si>
    <t>978-5-378-32887-1</t>
  </si>
  <si>
    <t>9785378328871</t>
  </si>
  <si>
    <t>159118</t>
  </si>
  <si>
    <t>РАСКРАСКА-ГИГАНТ. ОЗОРНЫЕ ЗВЕРЯТА</t>
  </si>
  <si>
    <t>978-5-378-31548-2</t>
  </si>
  <si>
    <t>9785378315482</t>
  </si>
  <si>
    <t>176549</t>
  </si>
  <si>
    <t>РАСКРАСКА-ГИГАНТ. ФЕРМА</t>
  </si>
  <si>
    <t>978-5-378-32885-7</t>
  </si>
  <si>
    <t>9785378328857</t>
  </si>
  <si>
    <t>СЕРИЯ: РАСКРАСКА - СТРАШИЛКА мелов.обл. 165х235</t>
  </si>
  <si>
    <t>206374</t>
  </si>
  <si>
    <t>РАСКРАСКА - СТРАШИЛКА. МИЛЫЕ СТРАШИЛКИ</t>
  </si>
  <si>
    <t>978-5-378-34291-4</t>
  </si>
  <si>
    <t xml:space="preserve">Могут ли монстры быть ну о-о-очень милыми? Конечно, если это персонажи наших новых раскрасок: «Ужасные милашки», «Милые страшилки», «Страшные няшки», «Няшные монстры». Ребенок не останется равнодушным – он вмиг оживит цветом всех героев!  </t>
  </si>
  <si>
    <t>9785378342914</t>
  </si>
  <si>
    <t>165х235х1</t>
  </si>
  <si>
    <t>206375</t>
  </si>
  <si>
    <t>РАСКРАСКА - СТРАШИЛКА. НЯШНЫЕ МОНСТРЫ</t>
  </si>
  <si>
    <t>978-5-378-34292-1</t>
  </si>
  <si>
    <t>9785378342921</t>
  </si>
  <si>
    <t>206376</t>
  </si>
  <si>
    <t>РАСКРАСКА - СТРАШИЛКА. СТРАШНЫЕ НЯШКИ</t>
  </si>
  <si>
    <t>978-5-378-34293-8</t>
  </si>
  <si>
    <t>9785378342938</t>
  </si>
  <si>
    <t>206373</t>
  </si>
  <si>
    <t>РАСКРАСКА - СТРАШИЛКА. УЖАСНЫЕ МИЛАШКИ</t>
  </si>
  <si>
    <t>978-5-378-34290-7</t>
  </si>
  <si>
    <t>9785378342907</t>
  </si>
  <si>
    <t>СЕРИЯ: РАСКРАСКА "100 КАРТИНОК ПО НОМЕРАМ" на гребне 190х190</t>
  </si>
  <si>
    <t>256213</t>
  </si>
  <si>
    <t>РАСКРАСКА. 100 КАРТИНОК ПО НОМЕРАМ. В МИРЕ ПРИКЛЮЧЕНИЙ</t>
  </si>
  <si>
    <t>978-5-378-35584-6</t>
  </si>
  <si>
    <t>Раскраски по номерам не дадут скучать вашему ребёнку, ведь его ждут 100 интересных картинок разного уровня сложности. Каждой цифре соответствует определённый цвет, указанный на странице. Раскраски по номерам помогут детям развить мелкую моторику, внимательность и аккуратность, а также позволят провести время весело и с пользой.</t>
  </si>
  <si>
    <t>9785378355846</t>
  </si>
  <si>
    <t>61e1bd8688082dd22ce42c835de102ad</t>
  </si>
  <si>
    <t>200х190х11</t>
  </si>
  <si>
    <t>256214</t>
  </si>
  <si>
    <t>РАСКРАСКА. 100 КАРТИНОК ПО НОМЕРАМ. В МИРЕ ЧУДЕС</t>
  </si>
  <si>
    <t>978-5-378-35585-3</t>
  </si>
  <si>
    <t>9785378355853</t>
  </si>
  <si>
    <t>6e38232982268ed7f9296909ff165171</t>
  </si>
  <si>
    <t>200х190х15</t>
  </si>
  <si>
    <t>СЕРИЯ: РАСКРАСКА "100 КАРТИНОК" на гребне 195х297</t>
  </si>
  <si>
    <t>238150</t>
  </si>
  <si>
    <t>РАСКРАСКА 100 КАРТИНОК. АНИМЕ</t>
  </si>
  <si>
    <t>978-5-378-34950-0</t>
  </si>
  <si>
    <t>Количество страниц для рисования, множество сюжетов и героев в раскраске "100 картинок" определённо вызовут восторг у ребёнка. Творчество развивает мелкую моторику, концентрацию внимания, снижает уровень эмоционального возбуждения у детей, способствует подготовке руки к письму. А ещё это очень интересно и увлекательно!</t>
  </si>
  <si>
    <t>9785378349500</t>
  </si>
  <si>
    <t>dffa98b6976b8c50c93a0603a6fc2ccd</t>
  </si>
  <si>
    <t>200х297х10</t>
  </si>
  <si>
    <t>238152</t>
  </si>
  <si>
    <t>РАСКРАСКА 100 КАРТИНОК. ДЛЯ ДЕВОЧЕК</t>
  </si>
  <si>
    <t>978-5-378-34951-7</t>
  </si>
  <si>
    <t>9785378349517</t>
  </si>
  <si>
    <t>31868aa16702f39591dbdeb1f3eb4e11</t>
  </si>
  <si>
    <t>238153</t>
  </si>
  <si>
    <t>РАСКРАСКА 100 КАРТИНОК. ДЛЯ МАЛЬЧИКОВ</t>
  </si>
  <si>
    <t>978-5-378-34952-4</t>
  </si>
  <si>
    <t>9785378349524</t>
  </si>
  <si>
    <t>5d80042aa7945f18a70ef8a29e523362</t>
  </si>
  <si>
    <t>270088</t>
  </si>
  <si>
    <t>РАСКРАСКА 100 КАРТИНОК. КАПИБАРА И ГУСЬ</t>
  </si>
  <si>
    <t>978-5-378-35963-9</t>
  </si>
  <si>
    <t>9785378359639</t>
  </si>
  <si>
    <t>46b65fe27626557dc51c30c8cde596a0</t>
  </si>
  <si>
    <t>260223</t>
  </si>
  <si>
    <t>РАСКРАСКА 100 КАРТИНОК. КОТИКИ</t>
  </si>
  <si>
    <t>978-5-378-35734-5</t>
  </si>
  <si>
    <t>9785378357345</t>
  </si>
  <si>
    <t>5420917ba58243c86d29218b53c41b4c</t>
  </si>
  <si>
    <t>270089</t>
  </si>
  <si>
    <t>РАСКРАСКА 100 КАРТИНОК. МАСТЕР ВИТЯ И МОТОР</t>
  </si>
  <si>
    <t>978-5-378-35964-6</t>
  </si>
  <si>
    <t>9785378359646</t>
  </si>
  <si>
    <t>260224</t>
  </si>
  <si>
    <t>РАСКРАСКА 100 КАРТИНОК. СОБАЧКИ</t>
  </si>
  <si>
    <t>978-5-378-35735-2</t>
  </si>
  <si>
    <t>9785378357352</t>
  </si>
  <si>
    <t>0f068397afd2adde928e116169168fcb</t>
  </si>
  <si>
    <t>СЕРИЯ: РАСКРАСКА "50 КАРТИНОК" глянц.ламин. 160х230</t>
  </si>
  <si>
    <t>233227</t>
  </si>
  <si>
    <t>РАСКРАСКА 50 КАРТИНОК. ДЛЯ ДЕВОЧЕК</t>
  </si>
  <si>
    <t>978-5-378-34900-5</t>
  </si>
  <si>
    <t>В новой серии мини-раскрасок ещё больше интересных сюжетов и милых картинок для раскрашивания. Дайте ребёнку цветные карандаши или краски, и он с удовольствием и пользой проведёт время!</t>
  </si>
  <si>
    <t>9785378349005</t>
  </si>
  <si>
    <t>482c4a181241d6179f0b12709f0d6588</t>
  </si>
  <si>
    <t>161x230x4</t>
  </si>
  <si>
    <t>233228</t>
  </si>
  <si>
    <t>РАСКРАСКА 50 КАРТИНОК. ДЛЯ МАЛЬЧИКОВ</t>
  </si>
  <si>
    <t>978-5-378-34901-2</t>
  </si>
  <si>
    <t>9785378349012</t>
  </si>
  <si>
    <t>ce1d0b5ef2b2fa8ca0ae9b181ce7ff46</t>
  </si>
  <si>
    <t>273706</t>
  </si>
  <si>
    <t>РАСКРАСКА 50 КАРТИНОК. КОТЭ</t>
  </si>
  <si>
    <t>978-5-378-36071-0</t>
  </si>
  <si>
    <t>9785378360710</t>
  </si>
  <si>
    <t>dbbf9379bf23fb9b7f17d764313d1cea</t>
  </si>
  <si>
    <t>233229</t>
  </si>
  <si>
    <t>РАСКРАСКА 50 КАРТИНОК. СИНИЙ ТРАКТОР</t>
  </si>
  <si>
    <t>978-5-378-34902-9</t>
  </si>
  <si>
    <t>9785378349029</t>
  </si>
  <si>
    <t>40d3e782f6d1ec5794674db5032e5871</t>
  </si>
  <si>
    <t>СЕРИЯ: РАСКРАСКА "Fashion Аниме" глянц.ламин.,картон.обл. 195х276</t>
  </si>
  <si>
    <t>213342</t>
  </si>
  <si>
    <t>РАСКРАСКА Fashion Аниме. Girl style</t>
  </si>
  <si>
    <t>978-5-378-34475-8</t>
  </si>
  <si>
    <t>Для современных и модных! Представляем новую серию раскрасок FASHION со стильными аниме-персонажами, образы которых разделены на четыре темы: Girl style, Magic style, School style,Your style. Вдохновляйтесь героями японской анимации и оживляйте их красками!</t>
  </si>
  <si>
    <t>9785378344758</t>
  </si>
  <si>
    <t>408267b6fbe8d370cd5b66fcec44056e</t>
  </si>
  <si>
    <t>213344</t>
  </si>
  <si>
    <t>РАСКРАСКА Fashion Аниме. Magic style</t>
  </si>
  <si>
    <t>978-5-378-34476-5</t>
  </si>
  <si>
    <t>9785378344765</t>
  </si>
  <si>
    <t>213346</t>
  </si>
  <si>
    <t>РАСКРАСКА Fashion Аниме. School style</t>
  </si>
  <si>
    <t>978-5-378-34477-2</t>
  </si>
  <si>
    <t>9785378344772</t>
  </si>
  <si>
    <t>213348</t>
  </si>
  <si>
    <t>РАСКРАСКА Fashion Аниме. Your style</t>
  </si>
  <si>
    <t>978-5-378-34478-9</t>
  </si>
  <si>
    <t>9785378344789</t>
  </si>
  <si>
    <t>СЕРИЯ: РАСКРАСКА "АНИМЕ 16+" глянц.ламин, картон.обл. 197х255</t>
  </si>
  <si>
    <t>228408</t>
  </si>
  <si>
    <t>РАСКРАСКА АНИМЕ 16+  В современном ритме</t>
  </si>
  <si>
    <t>978-5-378-34718-6</t>
  </si>
  <si>
    <t>Новая серия раскрасок создана для подростков, которые являются не только фанатами жанра аниме, ведут активный образ жизни, следят за трендами, но и увлекаются творчеством! В серии 4 брошюры на скрепке , в каждой из которых по 32 сюжета с иллюстрациями от талантливых художниц, передавших атмосферу и настроение дружбы и романтики, разных граней современного ритма, фантастических миров и параллельных вселенных, а так же особый стиль популярной игры Genshin Impact. Каждая страница приглашает вас проявить креативность и создать собственные шедевры, наполняя яркими цветами волшебные сцены и персонажей.</t>
  </si>
  <si>
    <t>9785378347186</t>
  </si>
  <si>
    <t>05b24864951b2a1a6d35ca05f419839e</t>
  </si>
  <si>
    <t>14.11.2024 0:00:00</t>
  </si>
  <si>
    <t>197х255х3</t>
  </si>
  <si>
    <t>228406</t>
  </si>
  <si>
    <t>РАСКРАСКА АНИМЕ 16+  В стиле Genshin Impact</t>
  </si>
  <si>
    <t>978-5-378-34717-9</t>
  </si>
  <si>
    <t>9785378347179</t>
  </si>
  <si>
    <t>bc9978c4c3ebd93c77c98ea38d9dd201</t>
  </si>
  <si>
    <t>228411</t>
  </si>
  <si>
    <t>РАСКРАСКА АНИМЕ 16+  Любовь и дружба</t>
  </si>
  <si>
    <t>978-5-378-34719-3</t>
  </si>
  <si>
    <t>9785378347193</t>
  </si>
  <si>
    <t>dd42c8d5520f15f837bbb5bdeebf9a40</t>
  </si>
  <si>
    <t>228413</t>
  </si>
  <si>
    <t>РАСКРАСКА АНИМЕ 16+  Мир фэнтези</t>
  </si>
  <si>
    <t>978-5-378-34720-9</t>
  </si>
  <si>
    <t>9785378347209</t>
  </si>
  <si>
    <t>48590bf20c58f19aa4331d109a2d5344</t>
  </si>
  <si>
    <t>СЕРИЯ: РАСКРАСКА "АНИМЕ" глянц.ламин. картон.обл. КБС 242х300</t>
  </si>
  <si>
    <t>209666</t>
  </si>
  <si>
    <t>РАСКРАСКА АНИМЕ. АНИМЕШНАЯ РАСКРАСКА</t>
  </si>
  <si>
    <t>978-5-378-34391-1</t>
  </si>
  <si>
    <t>Встречайте нашу «Анимешную раскраску». Если вы, также как и мы, обожаете аниме и следите за трендами, то эта раскраска точно придется вам по душе. Большой формат, детальные и интересные иллюстрации, яркая обложка — все это понравится как взрослым, так и детям. Внутри вы найдете эльфов, дерзких фей, загадочных потусторонних духов и многих других представителей фантастического мира. "Анимешная раскраска" от издательства "Проф -Пресс" - это идеальный выбор для всех поклонников аниме. Спешите приобрести новинку!</t>
  </si>
  <si>
    <t>9785378343911</t>
  </si>
  <si>
    <t>eeb91fad7ddf3b03b03fe4934536d783</t>
  </si>
  <si>
    <t>196784</t>
  </si>
  <si>
    <t>РАСКРАСКА АНИМЕ. К-РОР РАСКРАСКА</t>
  </si>
  <si>
    <t>978-5-378-34093-4</t>
  </si>
  <si>
    <t>Встречайте наши невероятные новинки! Аниме-раскраска с самыми милыми чибиками. Трогательные, озорные, просто очаровательные герои ждут вас на страницах этой раскраски. А для любителей Кореи и всего, что с ней связано мы выпустили K-pop раскраску! Иллюстрации с айдолами, трейни, вокалистами, танцорами, лидерами и макне не оставят тебя равнодушным! Скорее приобретай и наслаждайся!</t>
  </si>
  <si>
    <t>9785378340934</t>
  </si>
  <si>
    <t>209667</t>
  </si>
  <si>
    <t>РАСКРАСКА АНИМЕ. КИБЕРПАНК</t>
  </si>
  <si>
    <t>978-5-378-34392-8</t>
  </si>
  <si>
    <t>Представляем вашему вниманию аниме-новинку — Раскраску "Аниме киберпанк". Эта раскраска обещает стать настоящим хитом среди любителей японской анимации и эстетики киберпанка.  Большой формат, детальные и интересные иллюстрации, яркая обложка — все это понравится как взрослым, так и детям. Роботы, люди и андроиды на страницах перенесут вас в мир будущего! Новинка от издательства "Проф - Пресс" - это идеальный способ хорошо провести время.</t>
  </si>
  <si>
    <t>9785378343928</t>
  </si>
  <si>
    <t>225057</t>
  </si>
  <si>
    <t>РАСКРАСКА АНИМЕ. ЛЮБИМЫЕ АЗИАТСКИЕ БЛЮДА</t>
  </si>
  <si>
    <t>978-5-378-34659-2</t>
  </si>
  <si>
    <t xml:space="preserve">«Аниме раскраски» издательства "Проф Пресс" - это серия красивых раскрасок большого формата, каждая из которых содержит 32 страницы. Иллюстрации выполнены в стиле аниме, с яркими и интересными картинками, которые помогут вам расслабиться и насладиться процессом творчества.
 Раскраска «Любимые азиатские блюда»погрузит вас в прекрасный мир гастрономического чуда — онигири, суши, рамён и многие другие вкусности, возможно, пробудят в вас кулинарный талант.
Эта анимешная раскраска не только поможет вам снять стресс и расслабиться, но и погрузит в увлекательный мир фантазии и креатива. Раскраска будет прекрасным подарком не только детям, но и взрослым. </t>
  </si>
  <si>
    <t>9785378346592</t>
  </si>
  <si>
    <t>225059</t>
  </si>
  <si>
    <t>РАСКРАСКА АНИМЕ. ЛЮБИМЫЕ ПИТОМЦЫ</t>
  </si>
  <si>
    <t>978-5-378-34658-5</t>
  </si>
  <si>
    <t xml:space="preserve">«Аниме раскраски» издательства "Проф Пресс" - это серия красивых раскрасок большого формата, каждая из которых содержит 32 страницы. Иллюстрации выполнены в стиле аниме, с яркими и интересными картинками, которые помогут вам расслабиться и насладиться процессом творчества.
Раскраска «Любимые питомцы» — наши четвероногие и пернатые друзья. Невероятное количество милоты на страницах заставит вас улыбнуться даже в самый пасмурный день.
Эта анимешная раскраска не только поможет вам снять стресс и расслабиться, но и погрузит в увлекательный мир фантазии и креатива. Раскраска будет прекрасным подарком не только детям, но и взрослым.  </t>
  </si>
  <si>
    <t>9785378346585</t>
  </si>
  <si>
    <t>196785</t>
  </si>
  <si>
    <t>РАСКРАСКА АНИМЕ. МИЛЫЕ ЧИБИ</t>
  </si>
  <si>
    <t>978-5-378-34094-1</t>
  </si>
  <si>
    <t>Встречайте наши невероятные новинки! Аниме-раскраска с самыми милыми чибиками. Трогательные, озорные, просто очаровательные герои ждут вас на страницах этой раскраски. А для любителей Кореи и всего, что с ней связано мы выпустить K-pop раскраску! Иллюстрации с айдолами, трейни, вокалистами, танцорами, лидерами и макне не оставят тебя равнодушным! Скорее приобретай и наслаждайся!</t>
  </si>
  <si>
    <t>9785378340941</t>
  </si>
  <si>
    <t>СЕРИЯ: РАСКРАСКА "АНИМЕ" глянц.ламин. мелов.обл. 140х200</t>
  </si>
  <si>
    <t>222975</t>
  </si>
  <si>
    <t>РАСКРАСКА 140х200. В ШКОЛЕ АНИМЕ</t>
  </si>
  <si>
    <t>978-5-378-34636-3</t>
  </si>
  <si>
    <t xml:space="preserve">Представляем раскраски с сюжетами, соответствующими всем канонам стиля аниме. Они надолго увлекут не только фанатов японской анимации, но и тех, кто еще только знакомится с ней. Благодаря мини-формату их легко уместить даже в самой маленькой сумочке, а значит, не нужно придумывать, чем занять себя в свободное время, например в поездке.  </t>
  </si>
  <si>
    <t>9785378346363</t>
  </si>
  <si>
    <t>СЕРИЯ: РАСКРАСКА "ВИТРАЖИ" глянц.ламин. картон.обл КБС 242х300</t>
  </si>
  <si>
    <t>223892</t>
  </si>
  <si>
    <t>РАСКРАСКА ВИТРАЖИ. БОГИНИ СВЕТА</t>
  </si>
  <si>
    <t>978-5-378-34680-6</t>
  </si>
  <si>
    <t>Создайте свою коллекцию витражей с новой серией раскрасок. Необходимо просто выбрать подходящий сюжет, заполнить цветом пространство между контурами витража и ваш собственный шедевр готов! Раскраска поможет расслабиться и насладиться процессом созидания. прекрасный способ снять стресс и развить свои творческие способности!</t>
  </si>
  <si>
    <t>9785378346806</t>
  </si>
  <si>
    <t>a56192151ef5cb59e4083a22d72b7101</t>
  </si>
  <si>
    <t>235х300х3</t>
  </si>
  <si>
    <t>223894</t>
  </si>
  <si>
    <t>РАСКРАСКА ВИТРАЖИ. ЧАРУЮЩИЕ МАНДАЛЫ</t>
  </si>
  <si>
    <t>978-5-378-34682-0</t>
  </si>
  <si>
    <t>9785378346820</t>
  </si>
  <si>
    <t>dc6ba20b667daab518d304a64d55d30d</t>
  </si>
  <si>
    <t>СЕРИЯ: РАСКРАСКА "ВОЛШЕБНЫЕ ЖИВОТНЫЕ" 200х275</t>
  </si>
  <si>
    <t>152311</t>
  </si>
  <si>
    <t>РАСКРАСКА ВОЛШЕБНЫЕ ЖИВОТНЫЕ. ВОЛШЕБНЫЕ ЗВЕРЯТА</t>
  </si>
  <si>
    <t>978-5-378-31012-8</t>
  </si>
  <si>
    <t>В этой серии раскрасок вы найдёте весёлые и фантастические сюжеты! Коты, собаки, панды и другие животные с рожками поднимут настроение и докажут, что фантазия безгранична! Напечатанные на плотной белой бумаге, картинки комфортно раскрашивать как карандашами, так и фломастерами.</t>
  </si>
  <si>
    <t>9785378310128</t>
  </si>
  <si>
    <t>200х285х3</t>
  </si>
  <si>
    <t>СЕРИЯ: РАСКРАСКА "МАСТЕРСКАЯ КРАСОТЫ"  глян.ламин.обл 195х276</t>
  </si>
  <si>
    <t>130946</t>
  </si>
  <si>
    <t>РАСКРАСКА. МАСТЕРСКАЯ КРАСОТЫ. НИКА</t>
  </si>
  <si>
    <t>978-5-378-30174-4</t>
  </si>
  <si>
    <t>Новая серия раскрасок "Мастерская красоты" обязательно понравится юным модницам, которые любят фантазировать и рисовать! У героини каждой раскраски уже есть имя, ей можно раскрашивать наряды, добавлять к ним детали и аксессуары, делать причёску, макияж и стильный маникюр, придумывать имя питомцу и многое другое! Попробовать себя в роли стилиста будет интересно каждой девчонке!</t>
  </si>
  <si>
    <t>9785378301744</t>
  </si>
  <si>
    <t>СЕРИЯ: РАСКРАСКА "МИР АНИМЕ" глянц.ламин. картон.обл. 195х286</t>
  </si>
  <si>
    <t>226092</t>
  </si>
  <si>
    <t>РАСКРАСКА МИР АНИМЕ. ДЕВОЧКИ &amp; МАЛЬЧИКИ</t>
  </si>
  <si>
    <t>978-5-378-34712-4</t>
  </si>
  <si>
    <t>Представляем раскраски с сюжетами, соответствующими всем канонам стиля аниме. Они надолго увлекут не только фанатов японской анимации, но и тех, кто еще только знакомится с ней. Почувствуйте себя причастным к созданию удивительного мира.</t>
  </si>
  <si>
    <t>9785378347124</t>
  </si>
  <si>
    <t>7433a9b93bb7a78d6decbb5796e9d655</t>
  </si>
  <si>
    <t>195х286х2</t>
  </si>
  <si>
    <t>226093</t>
  </si>
  <si>
    <t>РАСКРАСКА МИР АНИМЕ. МОДНИЦЫ</t>
  </si>
  <si>
    <t>978-5-378-34713-1</t>
  </si>
  <si>
    <t>9785378347131</t>
  </si>
  <si>
    <t>7c6a86ce468ddc63682340551661520e</t>
  </si>
  <si>
    <t>226095</t>
  </si>
  <si>
    <t>РАСКРАСКА МИР АНИМЕ. СУПЕРГЕРОИНИ</t>
  </si>
  <si>
    <t>978-5-378-34714-8</t>
  </si>
  <si>
    <t>9785378347148</t>
  </si>
  <si>
    <t>9c70b8b1f40c3c4182967ed4c3f0f485</t>
  </si>
  <si>
    <t>226096</t>
  </si>
  <si>
    <t>РАСКРАСКА МИР АНИМЕ. ШКОЛЬНИКИ</t>
  </si>
  <si>
    <t>978-5-378-34715-5</t>
  </si>
  <si>
    <t>9785378347155</t>
  </si>
  <si>
    <t>1a7901feb789afe5d5559b2ea1327583</t>
  </si>
  <si>
    <t>СЕРИЯ: РАСКРАСКА "РАЗУКРАШКА" глянц.ламин.мел.обл. 197х275</t>
  </si>
  <si>
    <t>206955</t>
  </si>
  <si>
    <t>РАЗУКРАШКА. ДИНОЗАВРЫ</t>
  </si>
  <si>
    <t>978-5-378-34339-3</t>
  </si>
  <si>
    <t>Прекрасная серия раскрасок "Разукрашка" идеально подойдет для маленьких художников. Милые животные, любимые игрушки и красивые герои помогут весело провести время, развить терпение, аккуратность и внимательность. Благодаря удобному формату раскраску можно брать с собой в путешествие. Ребёнку точно понравится такой подарок!</t>
  </si>
  <si>
    <t>9785378343393</t>
  </si>
  <si>
    <t>197х275х2</t>
  </si>
  <si>
    <t>192385</t>
  </si>
  <si>
    <t>РАЗУКРАШКА. ДЛЯ ДЕВОЧЕК</t>
  </si>
  <si>
    <t>978-5-378-33954-9</t>
  </si>
  <si>
    <t>9785378339549</t>
  </si>
  <si>
    <t>192387</t>
  </si>
  <si>
    <t>РАЗУКРАШКА. ДЛЯ МАЛЬЧИКОВ</t>
  </si>
  <si>
    <t>978-5-378-33955-6</t>
  </si>
  <si>
    <t>9785378339556</t>
  </si>
  <si>
    <t>250939</t>
  </si>
  <si>
    <t>РАЗУКРАШКА. ДОМАШНИЕ ЖИВОТНЫЕ</t>
  </si>
  <si>
    <t>978-5-378-35527-3</t>
  </si>
  <si>
    <t>9785378355273</t>
  </si>
  <si>
    <t>bc9549bd377bb37c59e237cea0ffe33c</t>
  </si>
  <si>
    <t>206956</t>
  </si>
  <si>
    <t>РАЗУКРАШКА. КОШЕЧКИ И СОБАЧКИ</t>
  </si>
  <si>
    <t>978-5-378-34340-9</t>
  </si>
  <si>
    <t>9785378343409</t>
  </si>
  <si>
    <t>213668</t>
  </si>
  <si>
    <t>РАЗУКРАШКА. ЛЮБИМЫЕ ЖИВОТНЫЕ новые</t>
  </si>
  <si>
    <t>978-5-378-34449-9</t>
  </si>
  <si>
    <t>9785378344499</t>
  </si>
  <si>
    <t>206953</t>
  </si>
  <si>
    <t>РАЗУКРАШКА. МОДНИЦЫ</t>
  </si>
  <si>
    <t>978-5-378-34338-6</t>
  </si>
  <si>
    <t>9785378343386</t>
  </si>
  <si>
    <t>206952</t>
  </si>
  <si>
    <t>РАЗУКРАШКА. МОНСТРИКИ</t>
  </si>
  <si>
    <t>978-5-378-34337-9</t>
  </si>
  <si>
    <t>9785378343379</t>
  </si>
  <si>
    <t>СЕРИЯ: РАСКРАСКА А5 глянц.ламин,картон.обл.140х210</t>
  </si>
  <si>
    <t>240158</t>
  </si>
  <si>
    <t>РАСКРАСКА А5. ДИКИЕ ЖИВОТНЫЕ</t>
  </si>
  <si>
    <t>978-5-378-35177-0</t>
  </si>
  <si>
    <t>В новой серии мини-раскрасок найдется множество интересных сюжетов и милых картинок для раскрашивания. Дайте ребёнку цветные карандаши или краски, и он с удовольствием и пользой проведёт время!</t>
  </si>
  <si>
    <t>9785378351770</t>
  </si>
  <si>
    <t>2988c8000ee9b5448068f4bf3359cc21</t>
  </si>
  <si>
    <t>140х210х2</t>
  </si>
  <si>
    <t>240159</t>
  </si>
  <si>
    <t>РАСКРАСКА А5. ДОМАШНИЕ ЖИВОТНЫЕ</t>
  </si>
  <si>
    <t>978-5-378-35178-7</t>
  </si>
  <si>
    <t>9785378351787</t>
  </si>
  <si>
    <t>c095449bb017dfa8e0f6a8fc3588ff1a</t>
  </si>
  <si>
    <t>240160</t>
  </si>
  <si>
    <t>РАСКРАСКА А5. ПРИНЦЕССЫ</t>
  </si>
  <si>
    <t>978-5-378-35179-4</t>
  </si>
  <si>
    <t>9785378351794</t>
  </si>
  <si>
    <t>e76a6f5549c68f9fdc10b3ceb6972b1d</t>
  </si>
  <si>
    <t>240161</t>
  </si>
  <si>
    <t>РАСКРАСКА А5. ТРАНСПОРТ</t>
  </si>
  <si>
    <t>978-5-378-35180-0</t>
  </si>
  <si>
    <t>9785378351800</t>
  </si>
  <si>
    <t>b28e39c6472d004ae47991622c12753e</t>
  </si>
  <si>
    <t>СЕРИЯ: РАСКРАСКА В КОРЕЙСКОМ СТИЛЕ мат.ламин, выб.лак, картон.обл. КБС 195х260</t>
  </si>
  <si>
    <t>261526</t>
  </si>
  <si>
    <t>РАСКРАСКА В КОРЕЙСКОМ СТИЛЕ. И пришла любовь...</t>
  </si>
  <si>
    <t>978-5-378-35776-5</t>
  </si>
  <si>
    <t>Окунитесь в атмосферу корейского уюта и романтики с антистресс-раскраской «И пришла любовь...»! В новой раскраске серии «Раскраска в корейском стиле» 64 страницы с детализированными иллюстрациями. Перенеситесь на живописные улочки Кореи, насладитесь умиротворяющими пейзажами и изящными образами девушек, милыми парочками и общей атмосферой любви. В раскраске:
- Плотные листы - подходят для карандашей, фломастеров и маркеров.
- Фразы на корейском с переводом - погружение в язык и культуру.
Подарите себе или близким минуты спокойствия и вдохновения!</t>
  </si>
  <si>
    <t>9785378357765</t>
  </si>
  <si>
    <t>Ким Су Мин</t>
  </si>
  <si>
    <t>f14afe5faf915fd767ab10d5d55cca12</t>
  </si>
  <si>
    <t>196х260х6</t>
  </si>
  <si>
    <t>263125</t>
  </si>
  <si>
    <t>РАСКРАСКА В КОРЕЙСКОМ СТИЛЕ. Милые зверята</t>
  </si>
  <si>
    <t>978-5-378-35817-5</t>
  </si>
  <si>
    <t>Погрузитесь в атмосферу уюта и милостей с антистресс-раскраской «Милые зверята»! В новой раскраске серии «Раскраска в корейском стиле»  64 страницы с детализированными иллюстрациями. Окунитесь в уютное путешествие с нежностью и добротой. Забавные проделки, трогательные сюжеты и море милоты в лучших традициях эстетики. 
В раскраске:
- Плотные листы - подходят для карандашей, фломастеров и маркеров.
- Фразы на корейском с переводом - погружение в язык и культуру.
Подарите себе или близким минуты спокойствия и вдохновения!</t>
  </si>
  <si>
    <t>9785378358175</t>
  </si>
  <si>
    <t>Ким Юн Су</t>
  </si>
  <si>
    <t>5691d97b0c8f3d0fab3f326ae60f7ac1</t>
  </si>
  <si>
    <t>253331</t>
  </si>
  <si>
    <t>РАСКРАСКА В КОРЕЙСКОМ СТИЛЕ. Уютная Корея</t>
  </si>
  <si>
    <t>978-5-378-35578-5</t>
  </si>
  <si>
    <t>Погрузитесь в мир творчества и релаксации с новинками серии "Раскраска в корейском стиле". В коллекцию входят две прекрасные антистресс раскраски: "Чудесные мгновения" и "Уютная Корея". Каждая брошюра содержит 64 страницы с детализированными иллюстрациями корейских улочек, умиротворяющих пейзажей и прекрасных девушек. Листы достаточной плотности позволяют раскрашивать картинки как карандашами, так и фломастерами. К милым иллюстрациям добавлены фразы на корейском языке с переводом, чтобы вы могли оценить красоту корейского языка.
Раскраски для души — это прекрасный подарок на любой праздник!</t>
  </si>
  <si>
    <t>9785378355785</t>
  </si>
  <si>
    <t>9ec3224616713074d824f60f64d486dd</t>
  </si>
  <si>
    <t>253329</t>
  </si>
  <si>
    <t>РАСКРАСКА В КОРЕЙСКОМ СТИЛЕ. Чудесные мгновения</t>
  </si>
  <si>
    <t>978-5-378-35577-8</t>
  </si>
  <si>
    <t>9785378355778</t>
  </si>
  <si>
    <t>90a9f303fb83f64b6234655c11ae5b0d</t>
  </si>
  <si>
    <t>СЕРИЯ: РАСКРАСКА ДЛЯ БОЛЬШИХ МАРКЕРОВ картон.обл. 195х276</t>
  </si>
  <si>
    <t>243736</t>
  </si>
  <si>
    <t>РАСКРАСКА ДЛЯ БОЛЬШИХ МАРКЕРОВ. Для самых маленьких</t>
  </si>
  <si>
    <t>978-5-378-35312-5</t>
  </si>
  <si>
    <t>Раскраска с цветными иллюстрациями создана специально для больших точечных маркеров, но также подойдёт для рисования пальчиками, карандашами и фломастерами! На каждой странице есть белые кружочки, которые необходимо аккуратно закрасить соответствующим цветом, благодаря чему ребёнок активно тренирует мелкую моторику, логику, аккуратность и учится запоминать цвета.</t>
  </si>
  <si>
    <t>9785378353125</t>
  </si>
  <si>
    <t>01b948c65f653d7ddfd07c688f3b447b</t>
  </si>
  <si>
    <t>195x276x3</t>
  </si>
  <si>
    <t>243737</t>
  </si>
  <si>
    <t>РАСКРАСКА ДЛЯ БОЛЬШИХ МАРКЕРОВ. Любимые животные</t>
  </si>
  <si>
    <t>978-5-378-35313-2</t>
  </si>
  <si>
    <t>9785378353132</t>
  </si>
  <si>
    <t>СЕРИЯ: РАСКРАСКА ДЛЯ ДЕВЧОНОК обл - мелов.бум.195х275</t>
  </si>
  <si>
    <t>124223</t>
  </si>
  <si>
    <t>РАСКРАСКА ДЛЯ ДЕВЧОНОК. КОРОЛЕВА ТАНЦЕВ</t>
  </si>
  <si>
    <t>978-5-378-29887-7</t>
  </si>
  <si>
    <t>Раскрашивание развивает фантазию и художественный вкус ребёнка. В раскраске «Королева танцев» юную художницу ждут прекрасные танцовщицы в красивых платьях и интересных па. Бери скорее карандаш в руки - давай творить!</t>
  </si>
  <si>
    <t>9785378298877</t>
  </si>
  <si>
    <t>121296</t>
  </si>
  <si>
    <t>РАСКРАСКА ДЛЯ ДЕВЧОНОК. МОДНИЦА</t>
  </si>
  <si>
    <t>978-5-378-29711-5</t>
  </si>
  <si>
    <t>Новую серию раскрасок для девочек открывают две брошюры. "Принцесса" удивит прелестными платьями, а "Модница" разнообразием нарядов. Каждый из сюжетов этих раскрасок хочется немедленно оживить яркими красками!</t>
  </si>
  <si>
    <t>9785378297115</t>
  </si>
  <si>
    <t>123638</t>
  </si>
  <si>
    <t>РАСКРАСКА ДЛЯ ДЕВЧОНОК. НЕВЕСТА</t>
  </si>
  <si>
    <t>978-5-378-29807-5</t>
  </si>
  <si>
    <t>Перед вами долгожданные новинки серии "Раскраски для девчонок"! Брошюра "Невеста" посвящена самому красивому празднику, о котором мечтает каждая девочка. Роскошные наряды гостей и молодожёнов, необычные аксессуары, цветочные композиции теперь можно раскрасить по своему вкусу. "Питомцы принцесс" - это милая брошюра о дружбе девочек с настоящими и фантастическими животными.</t>
  </si>
  <si>
    <t>9785378298075</t>
  </si>
  <si>
    <t>124222</t>
  </si>
  <si>
    <t>РАСКРАСКА ДЛЯ ДЕВЧОНОК. САМАЯ МОДНАЯ</t>
  </si>
  <si>
    <t>978-5-378-29880-8</t>
  </si>
  <si>
    <t>Раскрашивание развивает фантазию и художественный вкус ребёнка. С раскраской «Самая модная» юная художница почувствует себя настоящим дизайнером одежды! Бери скорее карандаш в руки - давай творить!</t>
  </si>
  <si>
    <t>9785378298808</t>
  </si>
  <si>
    <t>124221</t>
  </si>
  <si>
    <t>РАСКРАСКА ДЛЯ ДЕВЧОНОК. СОВРЕМЕННЫЕ ДЕВЧОНКИ</t>
  </si>
  <si>
    <t>978-5-378-29888-4</t>
  </si>
  <si>
    <t>Раскрашивание развивает фантазию и художественный вкус ребёнка. С раскраской «Современные девчонки» никому не будет скучно: можно покататься на самокате, а можно пообедать в любимом азиатском кафе. Бери скорее карандаш в руки - давай творить!</t>
  </si>
  <si>
    <t>9785378298884</t>
  </si>
  <si>
    <t>124220</t>
  </si>
  <si>
    <t>РАСКРАСКА ДЛЯ ДЕВЧОНОК. СПОРТИВНЫЕ ДЕВЧОНКИ</t>
  </si>
  <si>
    <t>978-5-378-29825-9</t>
  </si>
  <si>
    <t>9785378298259</t>
  </si>
  <si>
    <t>СЕРИЯ: РАСКРАСКА для мальчиков. СОВРЕМЕННЫЕ СУПЕРГЕРОИ глянц.ламин. 235х330</t>
  </si>
  <si>
    <t>200985</t>
  </si>
  <si>
    <t>РАСКРАСКА для мальчиков. СОВРЕМЕННЫЕ СУПЕРГЕРОИ. Военная авиация и корабли</t>
  </si>
  <si>
    <t>978-5-378-34186-3</t>
  </si>
  <si>
    <t xml:space="preserve">В воздухе, море, на земле и даже в космосе - место отваге, смелости, верности долгу и Отчизне есть везде! Победители, защитники, герои - они отстаивают честь Родины на любых рубежах. Это солдаты, спасатели, покорители космических просторов. Ими гордятся страна и соотечественники, их духу завидует весь мир, их стойкость поражает и не оставляет сомнений: они умеют идти только вперёд, только побеждать! Раскраски новой серии посвящены современным героям.  Для самых юных художников подойдут фантазийные "Космические воины", ребятам постарше будут понятны раскраски "Военная авиация и корабли", "Солдаты-победители" и "Герои среди нас" - важно с детства понимать, что "герой" - не просто слово, а цена, которой достигается это звание, порой очень высока. </t>
  </si>
  <si>
    <t>9785378341863</t>
  </si>
  <si>
    <t>ced8404bc5b4e14688b0d23c2752eb2a</t>
  </si>
  <si>
    <t>235x330x4</t>
  </si>
  <si>
    <t>229266</t>
  </si>
  <si>
    <t>РАСКРАСКА для мальчиков. СОВРЕМЕННЫЕ СУПЕРГЕРОИ. Военная мощь России</t>
  </si>
  <si>
    <t>978-5-378-34792-6</t>
  </si>
  <si>
    <t>Раскраска «Военная мощь России» посвящена всем тем, кто отстаивает честь нашей Родины. На её страницах ребят ждёт самая новейшая боевая техника, находящаяся на вооружении Российской Федерации.
Солдаты, танки, автоматы, подводные лодки, самолёты и вертолёты — мы собрали в этой брошюре всё, что так нравится мальчишкам!</t>
  </si>
  <si>
    <t>9785378347926</t>
  </si>
  <si>
    <t>213694</t>
  </si>
  <si>
    <t>РАСКРАСКА для мальчиков. СОВРЕМЕННЫЕ СУПЕРГЕРОИ. День Победы</t>
  </si>
  <si>
    <t>978-5-378-34479-6</t>
  </si>
  <si>
    <t xml:space="preserve">В воздухе, море, на земле и даже в космосе - место отваге, смелости, верности долгу и Отчизне есть везде! Победители, защитники, герои - они отстаивают честь Родины на любых рубежах. Это солдаты, спасатели, покорители космических просторов. Ими гордятся страна и соотечественники, их духу завидует весь мир, их стойкость поражает и не оставляет сомнений: они умеют идти только вперёд, только побеждать! Раскраски новой серии посвящены современным героям. </t>
  </si>
  <si>
    <t>9785378344796</t>
  </si>
  <si>
    <t>213693</t>
  </si>
  <si>
    <t>РАСКРАСКА для мальчиков. СОВРЕМЕННЫЕ СУПЕРГЕРОИ. Ракетчики и артиллерия</t>
  </si>
  <si>
    <t>978-5-378-34473-4</t>
  </si>
  <si>
    <t>9785378344734</t>
  </si>
  <si>
    <t>200988</t>
  </si>
  <si>
    <t>РАСКРАСКА для мальчиков. СОВРЕМЕННЫЕ СУПЕРГЕРОИ. Солдаты-победители</t>
  </si>
  <si>
    <t>978-5-378-34185-6</t>
  </si>
  <si>
    <t>9785378341856</t>
  </si>
  <si>
    <t>224707</t>
  </si>
  <si>
    <t>РАСКРАСКА для мальчиков. СОВРЕМЕННЫЕ СУПЕРГЕРОИ. Спасатели и пожарные</t>
  </si>
  <si>
    <t>978-5-378-34692-9</t>
  </si>
  <si>
    <t>Раскраска «Спасатели и пожарные» - это история в картинках о представителях одних из самых сложных и почётных профессий. Ими гордятся Россия и россияне, их духу завидует весь мир, их стойкость поражает! Что бы не случилось, они всегда придут на помощь и выполнят свой профессиональный и человеческий долг.
Рисунки – качественные, детализированные и эмоциональные, юные художники смогут рассмотреть нюансы и проникнуться силой духа мужественных людей.
Раскраску можно взять с собой в садик или красить дома, также она отлично подойдёт в качестве подарка мальчишкам и поможет сформировать в системе ценностей малыша верные приоритеты и уважение к людям непростых профессий.</t>
  </si>
  <si>
    <t>9785378346929</t>
  </si>
  <si>
    <t>213692</t>
  </si>
  <si>
    <t>РАСКРАСКА для мальчиков. СОВРЕМЕННЫЕ СУПЕРГЕРОИ. Спецназ</t>
  </si>
  <si>
    <t>978-5-378-34472-7</t>
  </si>
  <si>
    <t>9785378344727</t>
  </si>
  <si>
    <t>213695</t>
  </si>
  <si>
    <t>РАСКРАСКА для мальчиков. СОВРЕМЕННЫЕ СУПЕРГЕРОИ. Танкисты</t>
  </si>
  <si>
    <t>978-5-378-34480-2</t>
  </si>
  <si>
    <t>9785378344802</t>
  </si>
  <si>
    <t>СЕРИЯ: РАСКРАСКА ДЛЯ МАРКЕРОВ глян.ламин. 196х240</t>
  </si>
  <si>
    <t>270092</t>
  </si>
  <si>
    <t>РАСКРАСКА ДЛЯ МАРКЕРОВ. КОРЕЙСКАЯ ЭСТЕТИКА</t>
  </si>
  <si>
    <t>978-5-378-35991-2</t>
  </si>
  <si>
    <t>Серия "Раскраска для маркеров" созданы для настоящего творчества. вы можете смело раскрашивать иллюстрации любыми материалами - от спиртовых маркеров до гелевых ручек. Плотная бумага позволит раскрашивать иллюстрацию в несколько слоев и и при этом не бояться, что страница порвется. А Благодаря специальной защитной подложке, которую вы можете положить под раскрашиваемую страницу, чернила маркеров не проступают насквозь и не пачкают следующие страницы. Все изображения односторонние — вы можете смело использовать спиртовые маркеры, не переживая за «оборотку». Никаких лишних пятен, только чистый и яркий результат.</t>
  </si>
  <si>
    <t>9785378359912</t>
  </si>
  <si>
    <t>bbc875fd3e7c0ce59217568a54a9dd32</t>
  </si>
  <si>
    <t>195х240х5</t>
  </si>
  <si>
    <t>270095</t>
  </si>
  <si>
    <t>РАСКРАСКА ДЛЯ МАРКЕРОВ. МАГИЧЕСКАЯ АКАДЕМИЯ</t>
  </si>
  <si>
    <t>978-5-378-35993-6</t>
  </si>
  <si>
    <t>9785378359936</t>
  </si>
  <si>
    <t>196х240х4</t>
  </si>
  <si>
    <t>270091</t>
  </si>
  <si>
    <t>РАСКРАСКА ДЛЯ МАРКЕРОВ. МИР СЛАДОСТЕЙ</t>
  </si>
  <si>
    <t>978-5-378-35992-9</t>
  </si>
  <si>
    <t>9785378359929</t>
  </si>
  <si>
    <t>270093</t>
  </si>
  <si>
    <t>РАСКРАСКА ДЛЯ МАРКЕРОВ. СЧАСТЛИВЫЙ СССР</t>
  </si>
  <si>
    <t>978-5-378-35994-3</t>
  </si>
  <si>
    <t>9785378359943</t>
  </si>
  <si>
    <t>СЕРИЯ: РАСКРАСКА ДЛЯ МАРКЕРОВ глянц. ламин. картон.обл. 213х213</t>
  </si>
  <si>
    <t>228370</t>
  </si>
  <si>
    <t>РАСКРАСКА ДЛЯ МАРКЕРОВ. Герои в стиле Genshin Impact</t>
  </si>
  <si>
    <t>978-5-378-34781-0</t>
  </si>
  <si>
    <t>Новая серия «Аниме-раскраски для маркеров» создана не только для фанатов жанра аниме и творчества, но и для тех, кто следит за трендами! В серии 4 раскраски по 24 картинки на трендовые темы. В каждой их четырёх раскрасок по 24 иллюстрации, в том числе в стиле популярной игры, с очаровательными  персонажами с ушками и хвостами и чудесными фантазийными сюжетами, окутанных тайной... Создайте свою собственную цветовую палитру и дайте волю фантазии, раскрашивая страницы новой серии раскрасок в стиле аниме! Разнообразие и динамизм современной жизни.</t>
  </si>
  <si>
    <t>9785378347810</t>
  </si>
  <si>
    <t>90ab1e31511ae54d24d94be937b78d45</t>
  </si>
  <si>
    <t>228372</t>
  </si>
  <si>
    <t>РАСКРАСКА ДЛЯ МАРКЕРОВ. Современные девчонки</t>
  </si>
  <si>
    <t>978-5-378-34783-4</t>
  </si>
  <si>
    <t>9785378347834</t>
  </si>
  <si>
    <t>b447af0e8a1c0efe00d333a376c25535</t>
  </si>
  <si>
    <t>СЕРИЯ: РАСКРАСКА ДЛЯ ТОЧЕЧНЫХ МАРКЕРОВ глянц.ламин.,картон.обл. 195х276</t>
  </si>
  <si>
    <t>243723</t>
  </si>
  <si>
    <t>РАСКРАСКА ДЛЯ ТОЧЕЧНЫХ МАРКЕРОВ. ДЛЯ ДЕВОЧЕК</t>
  </si>
  <si>
    <t>978-5-378-35310-1</t>
  </si>
  <si>
    <t>В данной раскраске собраны яркие занимательные картинки, предназначенные для раскрашивания точечными маркерами. Это увлекательное занятие поможет ребёнку развить мелкую моторику и творческие способности. Каждая страница содержит красочные иллюстрации, способные превратиться в настоящие шедевры в руках юных художников!</t>
  </si>
  <si>
    <t>9785378353101</t>
  </si>
  <si>
    <t>3f1d6290c3379ea249d0298352b9404d</t>
  </si>
  <si>
    <t>243724</t>
  </si>
  <si>
    <t>РАСКРАСКА ДЛЯ ТОЧЕЧНЫХ МАРКЕРОВ. ДЛЯ МАЛЬЧИКОВ</t>
  </si>
  <si>
    <t>978-5-378-35311-8</t>
  </si>
  <si>
    <t>9785378353118</t>
  </si>
  <si>
    <t>СЕРИЯ: РАСКРАСКА ДЛЯ ФАНАТОВ выб.лак. КБС 242х300</t>
  </si>
  <si>
    <t>192081</t>
  </si>
  <si>
    <t>РАСКРАСКА ДЛЯ ФАНАТОВ. ДЛЯ ФАНАТОВ АНИМЕ</t>
  </si>
  <si>
    <t>978-5-378-33881-8</t>
  </si>
  <si>
    <t>Серию «Раскраска для фанатов» составили четыре тематических сборника: для любителей аниме, единорогов, динозавров и, конечно, котиков. В каждой 80-страничной раскраске, в зависимости от направления, собраны самые разные сюжеты — оживляя их красками, юный художник не потеряет интерес до самого конца книжки.</t>
  </si>
  <si>
    <t>9785378338818</t>
  </si>
  <si>
    <t>242х300х6</t>
  </si>
  <si>
    <t>192084</t>
  </si>
  <si>
    <t>РАСКРАСКА ДЛЯ ФАНАТОВ. ДЛЯ ФАНАТОВ ДИНОЗАВРОВ</t>
  </si>
  <si>
    <t>978-5-378-33883-2</t>
  </si>
  <si>
    <t>9785378338832</t>
  </si>
  <si>
    <t>СЕРИЯ: РАСКРАСКА на гребне, глянц.ламин 145х203</t>
  </si>
  <si>
    <t>258314</t>
  </si>
  <si>
    <t>РАСКРАСКА на гребне. КОТИКИ</t>
  </si>
  <si>
    <t>978-5-378-35691-1</t>
  </si>
  <si>
    <t>9785378356911</t>
  </si>
  <si>
    <t>d3fde6462e1f4f5d4d58740c221b3d83</t>
  </si>
  <si>
    <t>258315</t>
  </si>
  <si>
    <t>РАСКРАСКА на гребне. СОБАЧКИ</t>
  </si>
  <si>
    <t>978-5-378-35692-8</t>
  </si>
  <si>
    <t>9785378356928</t>
  </si>
  <si>
    <t>f17696161f49e495829fc1a1c615bd43</t>
  </si>
  <si>
    <t>СЕРИЯ: РАСКРАСКА НАОБОРОТ на гребне мат. ламин. картон.обл.145х203</t>
  </si>
  <si>
    <t>273272</t>
  </si>
  <si>
    <t>РАСКРАСКА НАОБОРОТ. ЖИВОТНЫЕ</t>
  </si>
  <si>
    <t>978-5-378-36053-6</t>
  </si>
  <si>
    <t>«Раскраска наоборот» подарит вам необычный и вдохновляющий творческий опыт.
На её страницах — акварельные фоны в мягких пастельных тонах и белые контуры, словно намёк на изображение. Всё просто: возьмите ручку, линер или маркер, обведите линии — и наблюдайте, как картина оживает прямо под вашей рукой. Без выбора цветов. Без спешки. Только форма, внимание и удовольствие от процесса. Эта книга — идеальный способ расслабиться, замедлиться и насладиться моментом осознанного творчества.</t>
  </si>
  <si>
    <t>9785378360536</t>
  </si>
  <si>
    <t>5cc4d9c723ccccaef64309ee33605cfc</t>
  </si>
  <si>
    <t>273273</t>
  </si>
  <si>
    <t>РАСКРАСКА НАОБОРОТ. МОМЕНТЫ СПОКОЙСТВИЯ</t>
  </si>
  <si>
    <t>978-5-378-36052-9</t>
  </si>
  <si>
    <t>«Раскраска наоборот» подарит вам необычный и вдохновляющий творческий опыт. На её страницах — акварельные фоны в мягких пастельных тонах и белые контуры, словно намёк на изображение. Всё просто: возьмите ручку, линер или маркер, обведите линии — и наблюдайте, как картина оживает прямо под вашей рукой. Без выбора цветов. Без спешки. Только форма, внимание и удовольствие от процесса. Эта книга — идеальный способ расслабиться, замедлиться и насладиться моментом осознанного творчества.</t>
  </si>
  <si>
    <t>9785378360529</t>
  </si>
  <si>
    <t>1d67ca199f95a246dbd028d0bfbad12d</t>
  </si>
  <si>
    <t>264419</t>
  </si>
  <si>
    <t>РАСКРАСКА НАОБОРОТ. РИСУЙ ПО КОНТУРУ</t>
  </si>
  <si>
    <t>978-5-378-35866-3</t>
  </si>
  <si>
    <t>9785378358663</t>
  </si>
  <si>
    <t>0eb70e76c97643662bd4204c891b28cb</t>
  </si>
  <si>
    <t>264418</t>
  </si>
  <si>
    <t>РАСКРАСКА НАОБОРОТ. СОЗДАВАЙ УЗОРЫ!</t>
  </si>
  <si>
    <t>978-5-378-35867-0</t>
  </si>
  <si>
    <t>«Раскраска наоборот» — это пространство для тихого творчества. На каждой странице — цветные акварельные пятна, кляксы и формы без контура. Ты можешь обводить их, добавлять узоры, искать образы или просто следовать движению руки. Здесь нет правил и нужных решений! Только ты, цвет и линия, которая появляется именно так, как хочется тебе.</t>
  </si>
  <si>
    <t>9785378358670</t>
  </si>
  <si>
    <t>4290ce2c7c4c415ec287c6d5bd1a0d77</t>
  </si>
  <si>
    <t>СЕРИЯ: РАСКРАСКА ПО НОМЕРАМ  целл.карт. 195х275</t>
  </si>
  <si>
    <t>062804</t>
  </si>
  <si>
    <t>РАСКРАСКА  ПО НОМЕРАМ. ВЕСЁЛЫЙ ЗООПАРК</t>
  </si>
  <si>
    <t>978-5-378-27238-9</t>
  </si>
  <si>
    <t>Раскраски по номерам помогут провести время интересно и с пользой. Каждой цифре в раскраске соответствует определённый цвет, указанный на обложке. Подберите карандаши или фломастеры нужных цветов - и за дело! Превращая чёрно-белые картинки в цветные изображения при помощи цветного кода, ребёнок развивает аккуратность, внимательность, усидчивость и повторяет цифры.</t>
  </si>
  <si>
    <t>9785378272389</t>
  </si>
  <si>
    <t>a856b6d97ef1acf3fd40db3acf6de667</t>
  </si>
  <si>
    <t>Раскраска по номерам</t>
  </si>
  <si>
    <t>255360</t>
  </si>
  <si>
    <t>РАСКРАСКА  ПО НОМЕРАМ. ВОЛШЕБНАЯ ВСЕЛЕННАЯ</t>
  </si>
  <si>
    <t>978-5-378-35614-0</t>
  </si>
  <si>
    <t>Серия раскрасок по номерам создана для детей, подростков и взрослых. Каждая страница разделена на ячейки с номерками, обозначающими определенные оттенки. 25 цветных карандашей — и вы уже погрузились в творчество. Прекрасный результат гарантирован! В процессе раскрашивания можно как развлечься и интересно провести время, так и расслабиться и отвлечься от суеты.</t>
  </si>
  <si>
    <t>9785378356140</t>
  </si>
  <si>
    <t>9451fa9d46c48813c3f7abe1ae89278d</t>
  </si>
  <si>
    <t>062803</t>
  </si>
  <si>
    <t>РАСКРАСКА  ПО НОМЕРАМ. ВОЛШЕБНЫЙ ЦИРК</t>
  </si>
  <si>
    <t>978-5-378-27237-2</t>
  </si>
  <si>
    <t>9785378272372</t>
  </si>
  <si>
    <t>8f536191f8d43a1bd12896c2e483d262</t>
  </si>
  <si>
    <t>136535</t>
  </si>
  <si>
    <t>РАСКРАСКА  ПО НОМЕРАМ. ДИНОЗАВРЫ</t>
  </si>
  <si>
    <t>978-5-378-30533-9</t>
  </si>
  <si>
    <t>9785378305339</t>
  </si>
  <si>
    <t>bde9f6fb959e9ebfc65279a65f270356</t>
  </si>
  <si>
    <t>062801</t>
  </si>
  <si>
    <t>РАСКРАСКА  ПО НОМЕРАМ. ДЛЯ ДЕВОЧЕК</t>
  </si>
  <si>
    <t>978-5-378-27240-2</t>
  </si>
  <si>
    <t>9785378272402</t>
  </si>
  <si>
    <t>4658c209f1ad2e13740a6ef9a1051c88</t>
  </si>
  <si>
    <t>136536</t>
  </si>
  <si>
    <t>РАСКРАСКА  ПО НОМЕРАМ. ДЛЯ СМЕЛЫХ МАЛЬЧИШЕК</t>
  </si>
  <si>
    <t>978-5-378-30536-0</t>
  </si>
  <si>
    <t>9785378305360</t>
  </si>
  <si>
    <t>8a013a390fc8798b340ab74071b8d955</t>
  </si>
  <si>
    <t>136539</t>
  </si>
  <si>
    <t>РАСКРАСКА  ПО НОМЕРАМ. ДЛЯ ТВОРЧЕСКИХ ДЕВЧОНОК</t>
  </si>
  <si>
    <t>978-5-378-30534-6</t>
  </si>
  <si>
    <t>9785378305346</t>
  </si>
  <si>
    <t>b2bb331c994ef82cd16d3ffe67c15d15</t>
  </si>
  <si>
    <t>255363</t>
  </si>
  <si>
    <t>РАСКРАСКА  ПО НОМЕРАМ. ЗАГАДОЧНЫЙ МИР</t>
  </si>
  <si>
    <t>978-5-378-35617-1</t>
  </si>
  <si>
    <t>9785378356171</t>
  </si>
  <si>
    <t>9d788171df0659f402e175fc57cbe28b</t>
  </si>
  <si>
    <t>136538</t>
  </si>
  <si>
    <t>РАСКРАСКА  ПО НОМЕРАМ. МИР ТРАНСПОРТА</t>
  </si>
  <si>
    <t>978-5-378-30535-3</t>
  </si>
  <si>
    <t>9785378305353</t>
  </si>
  <si>
    <t>255362</t>
  </si>
  <si>
    <t>РАСКРАСКА  ПО НОМЕРАМ. ТАИНСТВЕННАЯ МАНГА</t>
  </si>
  <si>
    <t>978-5-378-35616-4</t>
  </si>
  <si>
    <t>9785378356164</t>
  </si>
  <si>
    <t>255361</t>
  </si>
  <si>
    <t>РАСКРАСКА  ПО НОМЕРАМ. УДИВИТЕЛЬНЫЕ ОБРАЗЫ</t>
  </si>
  <si>
    <t>978-5-378-35615-7</t>
  </si>
  <si>
    <t>9785378356157</t>
  </si>
  <si>
    <t>062802</t>
  </si>
  <si>
    <t>РАСКРАСКА ПО НОМЕРАМ. ДЛЯ МАЛЬЧИКОВ</t>
  </si>
  <si>
    <t>978-5-378-27239-6</t>
  </si>
  <si>
    <t>9785378272396</t>
  </si>
  <si>
    <t>e52607739e232f667e055434e066cdcc</t>
  </si>
  <si>
    <t>СЕРИЯ: РАСКРАСКА ПО НОМЕРАМ мелов.обл. 12 стр. 195х275</t>
  </si>
  <si>
    <t>218828</t>
  </si>
  <si>
    <t>РАСКРАСКА ПО НОМЕРАМ. ДИНОЗАВРЫ</t>
  </si>
  <si>
    <t>978-5-378-34553-3</t>
  </si>
  <si>
    <t>Серия раскрасок по номерам позволит провести время весело и с пользой. Каждой цифре соответствует определённый цвет, указанный на странице. Раскраски по номерам помогут детям развить внимательность, усидчивость и аккуратность.</t>
  </si>
  <si>
    <t>9785378345533</t>
  </si>
  <si>
    <t>7d21202c330b026bc07369548c7f0c03</t>
  </si>
  <si>
    <t>218825</t>
  </si>
  <si>
    <t>РАСКРАСКА ПО НОМЕРАМ. ДЛЯ ДЕВОЧЕК</t>
  </si>
  <si>
    <t>978-5-378-34556-4</t>
  </si>
  <si>
    <t>9785378345564</t>
  </si>
  <si>
    <t>218824</t>
  </si>
  <si>
    <t>978-5-378-34555-7</t>
  </si>
  <si>
    <t>9785378345557</t>
  </si>
  <si>
    <t>218827</t>
  </si>
  <si>
    <t>РАСКРАСКА ПО НОМЕРАМ. ЗВЕРЯТА</t>
  </si>
  <si>
    <t>978-5-378-34554-0</t>
  </si>
  <si>
    <t>9785378345540</t>
  </si>
  <si>
    <t>СЕРИЯ: РАСКРАСКА С БРАСЛЕТИКАМИ в пакете, мелов.обл. 197х275</t>
  </si>
  <si>
    <t>196787</t>
  </si>
  <si>
    <t>РАСКРАСКА С БРАСЛЕТИКАМИ. ВОЛШЕБНИЦЫ</t>
  </si>
  <si>
    <t>978-5-378-34089-7</t>
  </si>
  <si>
    <t>Наши раскраски несомненно порадуют маленькую художницу! В модной серии представлены иллюстрации на любой вкус. Любительницам животных придутся по вкусу картинки с милыми зверятами. Те, кто обожает волшебство, придут в восторг от фей. И, конечно, наши картинки стильных девчонок понравятся абсолютно всем! 
А какая модная серия может обойтись без аксессуаров? Именно поэтому в каждую раскраску мы положили в подарок два ярких и модных браслета, чтобы маленькая принцесса смогла дополнить ими любой свой образ!</t>
  </si>
  <si>
    <t>9785378340897</t>
  </si>
  <si>
    <t>ad4737f48b1d506d32169820edb5556a</t>
  </si>
  <si>
    <t>197х275х10</t>
  </si>
  <si>
    <t>196788</t>
  </si>
  <si>
    <t>РАСКРАСКА С БРАСЛЕТИКАМИ. МОДНИЦЫ</t>
  </si>
  <si>
    <t>978-5-378-34090-3</t>
  </si>
  <si>
    <t>9785378340903</t>
  </si>
  <si>
    <t>445707d6759c14e9d3455567b5f8437f</t>
  </si>
  <si>
    <t>196790</t>
  </si>
  <si>
    <t>РАСКРАСКА С БРАСЛЕТИКАМИ. МОДНЫЕ ЗВЕРЯТА</t>
  </si>
  <si>
    <t>978-5-378-34091-0</t>
  </si>
  <si>
    <t>9785378340910</t>
  </si>
  <si>
    <t>99e61d1ba6cc5fd78632bd3ffd64fb50</t>
  </si>
  <si>
    <t>196791</t>
  </si>
  <si>
    <t>РАСКРАСКА С БРАСЛЕТИКАМИ. ТОЛЬКО ДЛЯ СТИЛЬНЫХ ДЕВЧОНОК</t>
  </si>
  <si>
    <t>978-5-378-34092-7</t>
  </si>
  <si>
    <t>9785378340927</t>
  </si>
  <si>
    <t>8f4177c6fbe54844fddbe2b7645c68f2</t>
  </si>
  <si>
    <t>СЕРИЯ: РАСКРАСКА С ГЛИТТЕРОМ 215х215 КБС</t>
  </si>
  <si>
    <t>102923</t>
  </si>
  <si>
    <t>РАСКРАСКА С ГЛИТТЕРОМ. ТРАНСПОРТ</t>
  </si>
  <si>
    <t>978-5-378-28998-1</t>
  </si>
  <si>
    <t>Раскрашиваем с улыбкой! Оригинальные раскраски этой серии подойдут для малышей, которые впервые берут в руки карандаши. С блестящим рельефным контуром им будет легко раскрашивать картинки, не выходя за границы. Крупные рисунки, знакомые предметы и милые персонажи обязательно понравятся юным художникам! Идеально для мальчишек и девчонок от двух лет .</t>
  </si>
  <si>
    <t>9785378289981</t>
  </si>
  <si>
    <t>СЕРИЯ: РАСКРАСКА С КАРАНДАШАМИ в пакете 195х280</t>
  </si>
  <si>
    <t>187341</t>
  </si>
  <si>
    <t>РАСКРАСКА С КАРАНДАШАМИ. ВЕСЁЛЫЕ КАНИКУЛЫ</t>
  </si>
  <si>
    <t>978-5-378-33779-8</t>
  </si>
  <si>
    <t>Раскраски с карандашами - лучшие спутники малыша на прогулке и в путешествии. Они не дадут заскучать и порадуют интересными картинками.</t>
  </si>
  <si>
    <t>9785378337798</t>
  </si>
  <si>
    <t>195х280х10</t>
  </si>
  <si>
    <t>187342</t>
  </si>
  <si>
    <t>РАСКРАСКА С КАРАНДАШАМИ. ДИКИЕ ЖИВОТНЫЕ</t>
  </si>
  <si>
    <t>978-5-378-33780-4</t>
  </si>
  <si>
    <t>9785378337804</t>
  </si>
  <si>
    <t>187343</t>
  </si>
  <si>
    <t>РАСКРАСКА С КАРАНДАШАМИ. ЛЮБИМЫЕ ЗВЕРУШКИ</t>
  </si>
  <si>
    <t>978-5-378-33781-1</t>
  </si>
  <si>
    <t>9785378337811</t>
  </si>
  <si>
    <t>187344</t>
  </si>
  <si>
    <t>РАСКРАСКА С КАРАНДАШАМИ. НА ДРУГОЙ ПЛАНЕТЕ</t>
  </si>
  <si>
    <t>978-5-378-33782-8</t>
  </si>
  <si>
    <t>9785378337828</t>
  </si>
  <si>
    <t>СЕРИЯ: РАСКРАСКА С КОНСТРУКТОРОМ в пакете, картон.обл. 215х310</t>
  </si>
  <si>
    <t>233199</t>
  </si>
  <si>
    <t>РАСКРАСКА С КОНСТРУКТОРОМ. КОТ</t>
  </si>
  <si>
    <t>978-5-378-34895-4</t>
  </si>
  <si>
    <t>Брошюры новой серии «Раскраска с конструктором» - настоящая находка для юных художников, любителей компьютерных игр и фанатов конструкторов! Предлагаем сразу несколько видов занятий под одной обложкой: раскрашивайте персонажей, выполняйте задания, собирайте героя из конструктора и используйте в собственных играх!
С нашими раскрасками точно не заскучаешь, а ещё они помогут развить навыки счёта, мелкую моторику, воображение и логическое мышление.</t>
  </si>
  <si>
    <t>9785378348954</t>
  </si>
  <si>
    <t>3fd72342498b639068f36d7703373297</t>
  </si>
  <si>
    <t>240x317x25</t>
  </si>
  <si>
    <t>233202</t>
  </si>
  <si>
    <t>РАСКРАСКА С КОНСТРУКТОРОМ. КРОЛИК</t>
  </si>
  <si>
    <t>978-5-378-34896-1</t>
  </si>
  <si>
    <t>9785378348961</t>
  </si>
  <si>
    <t>714970c4d270590ce1794858cf4be5e4</t>
  </si>
  <si>
    <t>233200</t>
  </si>
  <si>
    <t>РАСКРАСКА С КОНСТРУКТОРОМ. ПОПУГАЙ</t>
  </si>
  <si>
    <t>978-5-378-34897-8</t>
  </si>
  <si>
    <t>9785378348978</t>
  </si>
  <si>
    <t>d6b34c6fd6f7b45f18eecee0defbe8c7</t>
  </si>
  <si>
    <t>233201</t>
  </si>
  <si>
    <t>РАСКРАСКА С КОНСТРУКТОРОМ. СОБАКА</t>
  </si>
  <si>
    <t>978-5-378-34898-5</t>
  </si>
  <si>
    <t>9785378348985</t>
  </si>
  <si>
    <t>1395d688e52e4a20d335a7f906e0439c</t>
  </si>
  <si>
    <t>СЕРИЯ: РАСКРАСКА С МАШИНКОЙ в пакете, мелов.обл. 197х275</t>
  </si>
  <si>
    <t>212024</t>
  </si>
  <si>
    <t>РАСКРАСКА С МАШИНКАМИ. ГОНОЧНЫЕ МАШИНЫ</t>
  </si>
  <si>
    <t>9785-378-34427-7</t>
  </si>
  <si>
    <t>Раскраска с машинкой - отличный подарок для каждого мальчишки, увлекающегося транспортом. Интересные раскраски и инерционная машинка в комплекте доставят радость любому читателю! Такой комплект подойдет юному художнику и порадует разнообразными картинками для творческих занятий. В серии представлены 4 вида раскрасок, в которых вы найдете разные машинки и картинки для раскрашивания: роботы, специальный транспорт, спортивные автомобили и многое другое!</t>
  </si>
  <si>
    <t>9785378344277</t>
  </si>
  <si>
    <t>536de2d6005733edc4a5246f6ec1c026</t>
  </si>
  <si>
    <t>195х275х15</t>
  </si>
  <si>
    <t>199418</t>
  </si>
  <si>
    <t>РАСКРАСКА С МАШИНКАМИ. КРУТЫЕ ТАЧКИ</t>
  </si>
  <si>
    <t>978-5-378-34128-3</t>
  </si>
  <si>
    <t xml:space="preserve">Раскраска с машинкой - отличный подарок для каждого мальчишки, увлекающегося транспортом. Интересные раскраски и инерционная машинка в комплекте доставят радость любому читателю! Такой комплект подойдет юному художнику и порадует разнообразными картинками для творческих занятий. В серии представлены 4 вида раскрасок, в которых вы найдете разные машинки и картинки для раскрашивания: роботы, специальный транспорт, спортивные автомобили и многое другое! </t>
  </si>
  <si>
    <t>9785378341283</t>
  </si>
  <si>
    <t>b1d5c0e3dbd037c06d0d4923ddccc652</t>
  </si>
  <si>
    <t>199419</t>
  </si>
  <si>
    <t>РАСКРАСКА С МАШИНКАМИ. МАШИНКИ И РОБОТЫ</t>
  </si>
  <si>
    <t>978-5-378-34129-0</t>
  </si>
  <si>
    <t>9785378341290</t>
  </si>
  <si>
    <t>2c19f9c3df9b7d44638cda61b3ff1f51</t>
  </si>
  <si>
    <t>212025</t>
  </si>
  <si>
    <t>РАСКРАСКА С МАШИНКАМИ. МЕГАТАЧКИ</t>
  </si>
  <si>
    <t>9785-378-34428-4</t>
  </si>
  <si>
    <t>9785378344284</t>
  </si>
  <si>
    <t>332a66f494f4db741c02698f2077e176</t>
  </si>
  <si>
    <t>199417</t>
  </si>
  <si>
    <t>РАСКРАСКА С МАШИНКАМИ. ПОЕХАЛИ!</t>
  </si>
  <si>
    <t>978-5-378-34127-6</t>
  </si>
  <si>
    <t>9785378341276</t>
  </si>
  <si>
    <t>07699c15209e1c07e8996658fb06debf</t>
  </si>
  <si>
    <t>212026</t>
  </si>
  <si>
    <t>РАСКРАСКА С МАШИНКАМИ. СПОРТИВНЫЕ МАШИНЫ</t>
  </si>
  <si>
    <t>9785-378-34429-1</t>
  </si>
  <si>
    <t>9785378344291</t>
  </si>
  <si>
    <t>0ebac0441ca15d39d90c7570bee5a6bd</t>
  </si>
  <si>
    <t>212027</t>
  </si>
  <si>
    <t>РАСКРАСКА С МАШИНКАМИ. СУПЕРКАРЫ</t>
  </si>
  <si>
    <t>9785-378-34430-7</t>
  </si>
  <si>
    <t>9785378344307</t>
  </si>
  <si>
    <t>b723f3c6aa1e6d730845ed06eb59f2b7</t>
  </si>
  <si>
    <t>199416</t>
  </si>
  <si>
    <t>РАСКРАСКА С МАШИНКАМИ. ТРАНСПОРТ</t>
  </si>
  <si>
    <t>978-5-378-34126-9</t>
  </si>
  <si>
    <t>9785378341269</t>
  </si>
  <si>
    <t>40ecb213795869112fa5c4a3fc2306a5</t>
  </si>
  <si>
    <t>СЕРИЯ: РАСКРАСКА С МЕЛКАМИ в пакете, картон.обл. глянц.ламин.165х230</t>
  </si>
  <si>
    <t>185091</t>
  </si>
  <si>
    <t>РАСКРАСКА С МЕЛКАМИ. ВОЛШЕБНЫЙ МИР</t>
  </si>
  <si>
    <t>978-5-378-33542-8</t>
  </si>
  <si>
    <t>Представляем новую серию раскрасок для малышей в комплекте с восковыми мелками. Наборы представлены в четырёх темах: «Машинки», «Монстрики», «Волшебный мир» и «Домашние животные», в каждом – 16-страничные книжки с крупными черно-белыми картинками – для удобства раскрашивания мелками.</t>
  </si>
  <si>
    <t>9785378335428</t>
  </si>
  <si>
    <t>26829218f7fad5c56fefa78ec7ee5fae</t>
  </si>
  <si>
    <t>165х230х12</t>
  </si>
  <si>
    <t>202737</t>
  </si>
  <si>
    <t>РАСКРАСКА С МЕЛКАМИ. ДИКИЕ ЖИВОТНЫЕ</t>
  </si>
  <si>
    <t>978-5-378-34241-9</t>
  </si>
  <si>
    <t>Серию раскрасок с восковыми мелками пополнили четыре новинки: «Для девочек», «Для мальчиков», «Дикие животные» и «Подводный мир». Каждая картинка – из крупных элементов и с толстым контуром: всё для удобства раскрашивания мелками!</t>
  </si>
  <si>
    <t>9785378342419</t>
  </si>
  <si>
    <t>202736</t>
  </si>
  <si>
    <t>РАСКРАСКА С МЕЛКАМИ. ДЛЯ ДЕВОЧЕК</t>
  </si>
  <si>
    <t>978-5-378-34240-2</t>
  </si>
  <si>
    <t>9785378342402</t>
  </si>
  <si>
    <t>202738</t>
  </si>
  <si>
    <t>РАСКРАСКА С МЕЛКАМИ. ДЛЯ МАЛЬЧИКОВ</t>
  </si>
  <si>
    <t>978-5-378-34242-6</t>
  </si>
  <si>
    <t>9785378342426</t>
  </si>
  <si>
    <t>185092</t>
  </si>
  <si>
    <t>РАСКРАСКА С МЕЛКАМИ. ДОМАШНИЕ ЖИВОТНЫЕ</t>
  </si>
  <si>
    <t>978-5-378-33543-5</t>
  </si>
  <si>
    <t>9785378335435</t>
  </si>
  <si>
    <t>202739</t>
  </si>
  <si>
    <t>РАСКРАСКА С МЕЛКАМИ. ПОДВОДНЫЙ МИР</t>
  </si>
  <si>
    <t>978-5-378-34243-3</t>
  </si>
  <si>
    <t>9785378342433</t>
  </si>
  <si>
    <t>СЕРИЯ: РАСКРАСКА С ПЛАКАТОМ  8 листов, обл.мел.картон, глян.ламин, 235х330 (офсет 100гр)</t>
  </si>
  <si>
    <t>223844</t>
  </si>
  <si>
    <t>РАСКРАСКА С ПЛАКАТОМ. ВЕЛИКАЯ АРМИЯ</t>
  </si>
  <si>
    <t>978-5-378-34675-2</t>
  </si>
  <si>
    <t>Воспитание патриотизма и мужества в подрастающем поколении — задача, стоящая перед родителями и педагогами. В процессе рисования в этой раскраске дети познакомятся с современной техникой и сценами из военных учений Российской армии.
Отличительной особенностью серии является наличие большого плаката в каждой раскраске. Он объединит за творческим процессом целую компанию юных художников, а потом станет украшением школьного класса во время тематического мероприятия.</t>
  </si>
  <si>
    <t>9785378346752</t>
  </si>
  <si>
    <t>0ad9339f7117aa3ab38c3f400d058620</t>
  </si>
  <si>
    <t>223843</t>
  </si>
  <si>
    <t>РАСКРАСКА С ПЛАКАТОМ. ДОБЛЕСТНАЯ АРМИЯ</t>
  </si>
  <si>
    <t>978-5-378-34676-9</t>
  </si>
  <si>
    <t>9785378346769</t>
  </si>
  <si>
    <t>a7cdbfe4d28899dda116d86f2fa97244</t>
  </si>
  <si>
    <t>223841</t>
  </si>
  <si>
    <t>РАСКРАСКА С ПЛАКАТОМ. НАША ГОРДОСТЬ</t>
  </si>
  <si>
    <t>978-5-378-34677-6</t>
  </si>
  <si>
    <t>9785378346776</t>
  </si>
  <si>
    <t>6f3efa1f441507f287f84ea3b888e7e8</t>
  </si>
  <si>
    <t>223840</t>
  </si>
  <si>
    <t>РАСКРАСКА С ПЛАКАТОМ. СОВРЕМЕННАЯ АРМИЯ</t>
  </si>
  <si>
    <t>978-5-378-34678-3</t>
  </si>
  <si>
    <t>9785378346783</t>
  </si>
  <si>
    <t>73204cd7b5b392ce00ea221ad0da224d</t>
  </si>
  <si>
    <t>СЕРИЯ: РАСКРАСКА С ПРОПИСЬЮ глянц.ламин. картон.обл.195х275</t>
  </si>
  <si>
    <t>154876</t>
  </si>
  <si>
    <t>РАСКРАСКА С ПРОПИСЬЮ. ДЛЯ МАЛЬЧИКОВ</t>
  </si>
  <si>
    <t>978-5-378-31236-8</t>
  </si>
  <si>
    <t>Раскраска с прописью поможет ребёнку развить мелкую моторику и подготовить руку к письму. На каждой странице книги — иллюстрация-раскраска и поле для отработки несложных графических элементов с цветными образцами.</t>
  </si>
  <si>
    <t>9785378312368</t>
  </si>
  <si>
    <t>04.06.2021 0:00:00</t>
  </si>
  <si>
    <t>СЕРИЯ: РАСКРАСКА С РОБОТОМ в пакете, картон.обл. 220х310</t>
  </si>
  <si>
    <t>238450</t>
  </si>
  <si>
    <t>РАСКРАСКА С РОБОТОМ. КРУТЫЕ РОБОТЫ</t>
  </si>
  <si>
    <t>978-5-378-35143-5</t>
  </si>
  <si>
    <t>Новая серия «Раскраска с роботом» создана специально для мальчишек! На страницах его ждут суперкрутые роботы! Крупные иллюстрации персонажей со множеством деталей точно понравятся юным художникам. А игрушка робот, которая прилагается к каждой раскраске, станет прекрасным дополнением, которое порадует ребенка!</t>
  </si>
  <si>
    <t>9785378351435</t>
  </si>
  <si>
    <t>90ac81a06bb838ce405de5ad8d2d1b48</t>
  </si>
  <si>
    <t>240х310х30</t>
  </si>
  <si>
    <t>238448</t>
  </si>
  <si>
    <t>РАСКРАСКА С РОБОТОМ. МИР РОБОТОВ</t>
  </si>
  <si>
    <t>978-5-378-35145-9</t>
  </si>
  <si>
    <t>9785378351459</t>
  </si>
  <si>
    <t>00963442af9426ef436c9a30bd9e1f3d</t>
  </si>
  <si>
    <t>238451</t>
  </si>
  <si>
    <t>РАСКРАСКА С РОБОТОМ. СУПЕР РОБОТЫ</t>
  </si>
  <si>
    <t>978-5-378-35144-2</t>
  </si>
  <si>
    <t>9785378351442</t>
  </si>
  <si>
    <t>8c636e3873937c8e788d3de4bc453c12</t>
  </si>
  <si>
    <t>238449</t>
  </si>
  <si>
    <t>РАСКРАСКА С РОБОТОМ. УДИВИТЕЛЬНЫЕ РОБОТЫ</t>
  </si>
  <si>
    <t>978-5-378-35142-8</t>
  </si>
  <si>
    <t>9785378351428</t>
  </si>
  <si>
    <t>e304c6cf889309b6719fd76e895e08c5</t>
  </si>
  <si>
    <t>СЕРИЯ: РАСКРАСКА С СОЛНЕЧНЫМИ ОЧКАМИ в пакете, картон.обл. 195х276</t>
  </si>
  <si>
    <t>233255</t>
  </si>
  <si>
    <t>РАСКРАСКА С СОЛНЕЧНЫМИ ОЧКАМИ. БУДЬ В ТРЕНДЕ</t>
  </si>
  <si>
    <t>978-5-378-34905-0</t>
  </si>
  <si>
    <t>Новая серия «Раскраска с солнечными очками» создана специально для юных модниц! На страницах их ждут стильные образы, необычные наряды и аксессуары! Крупные иллюстрации персонажей со множеством деталей точно понравятся маленьким художникам и будущим дизайнерам. А цветные солнечные очки, которые прилагаются к каждой раскраске, станут прекрасным аксессуаром, который дополнит любой образ и порадует ребёнка!</t>
  </si>
  <si>
    <t>9785378349050</t>
  </si>
  <si>
    <t>210x283x30</t>
  </si>
  <si>
    <t>233254</t>
  </si>
  <si>
    <t>РАСКРАСКА С СОЛНЕЧНЫМИ ОЧКАМИ. НА СТИЛЕ</t>
  </si>
  <si>
    <t>978-5-378-34904-3</t>
  </si>
  <si>
    <t>9785378349043</t>
  </si>
  <si>
    <t>233256</t>
  </si>
  <si>
    <t>РАСКРАСКА С СОЛНЕЧНЫМИ ОЧКАМИ. СОЗДАЙ СВОЙ СТИЛЬ</t>
  </si>
  <si>
    <t>978-5-378-34906-7</t>
  </si>
  <si>
    <t>9785378349067</t>
  </si>
  <si>
    <t>233253</t>
  </si>
  <si>
    <t>РАСКРАСКА С СОЛНЕЧНЫМИ ОЧКАМИ. СУПЕРМОДНИЦЫ</t>
  </si>
  <si>
    <t>978-5-378-34907-4</t>
  </si>
  <si>
    <t>9785378349074</t>
  </si>
  <si>
    <t>СЕРИЯ: РАСКРАСКА С ФИНГЕРБОРДОМ в пакете, картон.обл. 215х310</t>
  </si>
  <si>
    <t>233205</t>
  </si>
  <si>
    <t>РАСКРАСКА С ФИНГЕРБОРДОМ. ВЕСЕЛИМСЯ С ДРУЗЬЯМИ</t>
  </si>
  <si>
    <t>978-5-378-34876-3</t>
  </si>
  <si>
    <t>Перед вами серия "Раскраска с фингербордом" для активных детей. Эта раскраска состоит из 16 современных и стильных иллюстраций, которые вдохновят вашего ребенка на творчество и увлекут в мир красок и фантазии. Но это ещё не всё. Приятный бонус для маленьких художников - в каждую раскраску вложен фингерборд! С помощью этой забавной игрушки ребёнок сможет развивать ловкость рук и креативные навыки, а также весело проводить время с друзьями. Благодаря фингерборду для скуки не найдётся места.
Наши раскраски с фингербордом - это прекрасный подарок на любой праздник!</t>
  </si>
  <si>
    <t>9785378348763</t>
  </si>
  <si>
    <t>240x314x20</t>
  </si>
  <si>
    <t>233208</t>
  </si>
  <si>
    <t>РАСКРАСКА С ФИНГЕРБОРДОМ. КРУТЫЕ ПРИКЛЮЧЕНИЯ</t>
  </si>
  <si>
    <t>978-5-378-34878-7</t>
  </si>
  <si>
    <t>9785378348787</t>
  </si>
  <si>
    <t>СЕРИЯ: РАСКРАСКА С ФЛОМАСТЕРАМИ в пакете 195х276</t>
  </si>
  <si>
    <t>185015</t>
  </si>
  <si>
    <t>РАСКРАСКА С ФЛОМАСТЕРАМИ. КОСМИЧЕСКИЕ ПРИШЕЛЬЦЫ</t>
  </si>
  <si>
    <t>978-5-378-33535-0</t>
  </si>
  <si>
    <t>На страницах новых раскрасок каждый малыш найдёт то, что ему по душе: животных, динозавров, пришельцев и разных других персонажей! В комплект входит набор фломастеров.</t>
  </si>
  <si>
    <t>9785378335350</t>
  </si>
  <si>
    <t>СЕРИЯ: РАСКРАСКА С ЦВЕТНЫМ ФОНОМ мелов.обл 195х276</t>
  </si>
  <si>
    <t>227857</t>
  </si>
  <si>
    <t>РАСКРАСКА С ЦВЕТНЫМ ФОНОМ. ВДОХНОВЛЯЮЩАЯ МАНГА</t>
  </si>
  <si>
    <t>978-5-378-34759-9</t>
  </si>
  <si>
    <t>Серия раскрасок с цветным фоном в популярном стиле Аниме заинтересует девочек всех возрастов. Юные художницы раскроют свой творческий потенциал, научатся подбирать цветовую гамму и сочетать оттенки. С такой раскраской рисунки получатся яркими и красочными!</t>
  </si>
  <si>
    <t>9785378347599</t>
  </si>
  <si>
    <t>09cc0bcfb4efa3a09e7f6dffa04850a9</t>
  </si>
  <si>
    <t>227854</t>
  </si>
  <si>
    <t>РАСКРАСКА С ЦВЕТНЫМ ФОНОМ. ТОКИЙСКИЙ СТИЛЬ</t>
  </si>
  <si>
    <t>978-5-378-34757-5</t>
  </si>
  <si>
    <t>9785378347575</t>
  </si>
  <si>
    <t>aacf05b8d751eb25d7bb1363aa3b8e1e</t>
  </si>
  <si>
    <t>227860</t>
  </si>
  <si>
    <t>РАСКРАСКА С ЦВЕТНЫМ ФОНОМ. ФАНТАЗИЙНОЕ АНИМЕ</t>
  </si>
  <si>
    <t>978-5-378-34760-5</t>
  </si>
  <si>
    <t>9785378347605</t>
  </si>
  <si>
    <t>b199c16c3259be1c8cb37731297f0aa6</t>
  </si>
  <si>
    <t>227855</t>
  </si>
  <si>
    <t>РАСКРАСКА С ЦВЕТНЫМ ФОНОМ. ЭСТЕТИКА ВОСТОКА</t>
  </si>
  <si>
    <t>978-5-378-34758-2</t>
  </si>
  <si>
    <t>9785378347582</t>
  </si>
  <si>
    <t>af1cee42ffacb7168c31b220d50d3a3d</t>
  </si>
  <si>
    <t>СЕРИЯ: РАСКРАСКА ТОЛЬКО ДЛЯ МАЛЬЧИКОВ глянц.ламин. 195х275</t>
  </si>
  <si>
    <t>135799</t>
  </si>
  <si>
    <t>РАСКРАСКА ТОЛЬКО ДЛЯ МАЛЬЧИКОВ. В КОСМОСЕ</t>
  </si>
  <si>
    <t>978-5-378-30399-1</t>
  </si>
  <si>
    <t>На страницах новых раскрасок мальчишек ждут удивительные роботы, забавные динозавры и монстрики, а также космические приключения! Раскрашивать точно будет нескучно!</t>
  </si>
  <si>
    <t>9785378303991</t>
  </si>
  <si>
    <t>150769</t>
  </si>
  <si>
    <t>РАСКРАСКА ТОЛЬКО ДЛЯ МАЛЬЧИКОВ. ВОЕННАЯ ТЕХНИКА</t>
  </si>
  <si>
    <t>978-5-378-30998-6</t>
  </si>
  <si>
    <t>9785378309986</t>
  </si>
  <si>
    <t>150766</t>
  </si>
  <si>
    <t>РАСКРАСКА ТОЛЬКО ДЛЯ МАЛЬЧИКОВ. ГОНКИ</t>
  </si>
  <si>
    <t>978-5-378-30995-5</t>
  </si>
  <si>
    <t>9785378309955</t>
  </si>
  <si>
    <t>135802</t>
  </si>
  <si>
    <t>РАСКРАСКА ТОЛЬКО ДЛЯ МАЛЬЧИКОВ. ДИНОЗАВРИКИ</t>
  </si>
  <si>
    <t>978-5-378-30397-7</t>
  </si>
  <si>
    <t>9785378303977</t>
  </si>
  <si>
    <t>150768</t>
  </si>
  <si>
    <t>РАСКРАСКА ТОЛЬКО ДЛЯ МАЛЬЧИКОВ. МИР ПРИКЛЮЧЕНИЙ</t>
  </si>
  <si>
    <t>978-5-378-30997-9</t>
  </si>
  <si>
    <t>9785378309979</t>
  </si>
  <si>
    <t>135800</t>
  </si>
  <si>
    <t>РАСКРАСКА ТОЛЬКО ДЛЯ МАЛЬЧИКОВ. МОНСТРИКИ</t>
  </si>
  <si>
    <t>978-5-378-30398-4</t>
  </si>
  <si>
    <t>9785378303984</t>
  </si>
  <si>
    <t>135804</t>
  </si>
  <si>
    <t>РАСКРАСКА ТОЛЬКО ДЛЯ МАЛЬЧИКОВ. РОБОТЫ</t>
  </si>
  <si>
    <t>978-5-378-30396-0</t>
  </si>
  <si>
    <t>9785378303960</t>
  </si>
  <si>
    <t>СЕРИЯ: РАСКРАСКА-СТИКЕРБУК на гребне 142х202</t>
  </si>
  <si>
    <t>260215</t>
  </si>
  <si>
    <t>РАСКРАСКА-СТИКЕРБУК. КАПИБАРА И ДРУЗЬЯ</t>
  </si>
  <si>
    <t>978-5-378-35713-0</t>
  </si>
  <si>
    <t>Не просто наклейки... Не просто раскраска... Новая раскраска-стикербук! Сначала раскрась, потом наклей! Целых 12 листов творчества и удовольствия!</t>
  </si>
  <si>
    <t>9785378357130</t>
  </si>
  <si>
    <t>ab64e538661a165e9d39def10f5057d9</t>
  </si>
  <si>
    <t>150х203х7</t>
  </si>
  <si>
    <t>270086</t>
  </si>
  <si>
    <t>РАСКРАСКА-СТИКЕРБУК. ТУРБОЗАВРЫ</t>
  </si>
  <si>
    <t>978-5-378-35961-5</t>
  </si>
  <si>
    <t>9785378359615</t>
  </si>
  <si>
    <t>71249d3c638efa8e9955cef4d59cdca1</t>
  </si>
  <si>
    <t>150х202х7</t>
  </si>
  <si>
    <t>270087</t>
  </si>
  <si>
    <t>РАСКРАСКА-СТИКЕРБУК. ЦВЕТНЯШКИ</t>
  </si>
  <si>
    <t>978-5-378-35962-2</t>
  </si>
  <si>
    <t>9785378359622</t>
  </si>
  <si>
    <t>СЕРИЯ: РАСКРАСКА-СТИКЕРБУК на гребне 160х220</t>
  </si>
  <si>
    <t>253341</t>
  </si>
  <si>
    <t>РАСКРАСКА СТИКЕРБУК на гребне. ДЛЯ ДЕВОЧЕК</t>
  </si>
  <si>
    <t>978-5-378-35590-7</t>
  </si>
  <si>
    <t>Стикербук с раскрасками включает в себя разнообразные наклейки, что делает его отличным выбором для занятия рукоделием и развития креативности.
Набор позволит ребенку провести время с удовольствием, развивая воображение и фантазию. Подарите своему ребенку возможность окунуться в мир творчества с этим чудесным блокнотом!
В наборе более 150 наклеек на разнообразные тематики, которые можно раскрасить и наклеить на телефон, планшет или блокнот.</t>
  </si>
  <si>
    <t>9785378355907</t>
  </si>
  <si>
    <t>fa0e7d5a716ee86926b8836db997fd72</t>
  </si>
  <si>
    <t>165х200х10</t>
  </si>
  <si>
    <t>253342</t>
  </si>
  <si>
    <t>РАСКРАСКА СТИКЕРБУК на гребне. ДЛЯ МАЛЬЧИКОВ</t>
  </si>
  <si>
    <t>978-5-378-35591-4</t>
  </si>
  <si>
    <t>9785378355914</t>
  </si>
  <si>
    <t>591d8aa3d4bf784e4660d20140b0dbdc</t>
  </si>
  <si>
    <t>253339</t>
  </si>
  <si>
    <t>РАСКРАСКА СТИКЕРБУК на гребне. КАПИБАРЫ И ИХ ДРУЗЬЯ</t>
  </si>
  <si>
    <t>978-5-378-35592-1</t>
  </si>
  <si>
    <t>9785378355921</t>
  </si>
  <si>
    <t>8823470fc5dbd37bcc130100ef4ae369</t>
  </si>
  <si>
    <t>253337</t>
  </si>
  <si>
    <t>РАСКРАСКА СТИКЕРБУК на гребне. КОТИКИ И ВСЕ ВСЕ ВСЕ</t>
  </si>
  <si>
    <t>978-5-378-35593-8</t>
  </si>
  <si>
    <t>9785378355938</t>
  </si>
  <si>
    <t>d2ae8bc3ab3e97348c8d18291001e760</t>
  </si>
  <si>
    <t>СЕРИЯ: РИСУЕМ ПАЛЬЧИКАМИ 245х242</t>
  </si>
  <si>
    <t>041972</t>
  </si>
  <si>
    <t>РИСУЕМ ПАЛЬЧИКАМИ. ЗООПАРК</t>
  </si>
  <si>
    <t>978-5-378-26222-9</t>
  </si>
  <si>
    <t>Рисовать пальчиками не только веселое, но и полезное занятие! При помощи раскрасок этой серии ваш малыш сможет развить мелкую моторику рук и свои творческие способности. Маленький художник с удовольствием будет раскрашивать крупные картинки с цветным контуром. А занятия превратятся в увлекательную игру, которая доставит ему много радости!</t>
  </si>
  <si>
    <t>9785378262229</t>
  </si>
  <si>
    <t>07.04.2017 0:00:00</t>
  </si>
  <si>
    <t>Рисуем пальчиками</t>
  </si>
  <si>
    <t>245х242х3</t>
  </si>
  <si>
    <t>СЕРИЯ: РИСУЕМ ПАЛЬЧИКАМИ А4 карт.обл. глянц.ламин. 195х276</t>
  </si>
  <si>
    <t>249496</t>
  </si>
  <si>
    <t>РИСУЕМ ПАЛЬЧИКАМИ А4. ДОМАШНИЕ ЖИВОТНЫЕ</t>
  </si>
  <si>
    <t>978-5-378-35501-3</t>
  </si>
  <si>
    <t>В новой серии раскрасок представлены картинки с цветным контуром, закончить которые ребенок сможет собственными пальчиками. Оживлять героев цветом таким способом полезно для развития мелкой моторики и координации движений.</t>
  </si>
  <si>
    <t>9785378355013</t>
  </si>
  <si>
    <t>360241b7c9b98c0e6cefedcc76b2e3ee</t>
  </si>
  <si>
    <t>249497</t>
  </si>
  <si>
    <t>РИСУЕМ ПАЛЬЧИКАМИ А4. ЛЕСНЫЕ ЗВЕРЯТА</t>
  </si>
  <si>
    <t>978-5-378-35502-0</t>
  </si>
  <si>
    <t>9785378355020</t>
  </si>
  <si>
    <t>5d1ab11362fc36e2f9266cb59bac8ba2</t>
  </si>
  <si>
    <t>249499</t>
  </si>
  <si>
    <t>РИСУЕМ ПАЛЬЧИКАМИ А4. МАШИНКИ</t>
  </si>
  <si>
    <t>978-5-378-35504-4</t>
  </si>
  <si>
    <t>9785378355044</t>
  </si>
  <si>
    <t>9e01a3aa5b800894169a403e1abdcba8</t>
  </si>
  <si>
    <t>249498</t>
  </si>
  <si>
    <t>РИСУЕМ ПАЛЬЧИКАМИ А4. МИЛЫЕ ПУШИСТИКИ</t>
  </si>
  <si>
    <t>978-5-378-35503-7</t>
  </si>
  <si>
    <t>9785378355037</t>
  </si>
  <si>
    <t>5875d24c49b5785080989ecb6ae8918b</t>
  </si>
  <si>
    <t>251788</t>
  </si>
  <si>
    <t>СИНИЙ ТРАКТОР. Раскраска РИСУЕМ ПАЛЬЧИКАМИ. Весёлые истории</t>
  </si>
  <si>
    <t>978-5-378-35564-8</t>
  </si>
  <si>
    <t>9785378355648</t>
  </si>
  <si>
    <t>107a53c16bd32c06bc5c54ed1ef0ad94</t>
  </si>
  <si>
    <t>251794</t>
  </si>
  <si>
    <t>СИНИЙ ТРАКТОР. Раскраска РИСУЕМ ПАЛЬЧИКАМИ. Домашние животные</t>
  </si>
  <si>
    <t>978-5-378-35566-2</t>
  </si>
  <si>
    <t>9785378355662</t>
  </si>
  <si>
    <t>5de037602e541e7f6be99b6a9eb7cabd</t>
  </si>
  <si>
    <t>251791</t>
  </si>
  <si>
    <t>СИНИЙ ТРАКТОР. Раскраска РИСУЕМ ПАЛЬЧИКАМИ. Любимые герои</t>
  </si>
  <si>
    <t>978-5-378-35565-5</t>
  </si>
  <si>
    <t>9785378355655</t>
  </si>
  <si>
    <t>537129d7889d20d9aa1792ef670deeff</t>
  </si>
  <si>
    <t>251796</t>
  </si>
  <si>
    <t>СИНИЙ ТРАКТОР. Раскраска РИСУЕМ ПАЛЬЧИКАМИ. Полезные машины</t>
  </si>
  <si>
    <t>978-5-378-35567-9</t>
  </si>
  <si>
    <t>9785378355679</t>
  </si>
  <si>
    <t>423347b1972d6a9c2165afde53d5db3b</t>
  </si>
  <si>
    <t>СЕРИЯ: СОЕДИНИ ПО ТОЧКАМ картон.обл, глянц.ламин. 242х300</t>
  </si>
  <si>
    <t>243729</t>
  </si>
  <si>
    <t>СОЕДИНИ ПО ТОЧКАМ на скрепке. ГОРОДА МИРА</t>
  </si>
  <si>
    <t>978-5-378-35322-4</t>
  </si>
  <si>
    <t>Рисование по точкам способствует расслаблению и избавляет от накопленной усталости. Эта раскраска позволит вам не только самостоятельно нарисовать достопримечательности со всего света, но и отдохнуть за приятным времяпрепровождением. Перемещаясь от точки к точке, вы обнаружите, как на листе появляются изображения знаменитых зданий и скульптур, а в вас пробуждаются силы для новых свершений!</t>
  </si>
  <si>
    <t>9785378353224</t>
  </si>
  <si>
    <t>4ca6e5809e7fcbcc911ff76106833023</t>
  </si>
  <si>
    <t>242х300х3</t>
  </si>
  <si>
    <t>222366</t>
  </si>
  <si>
    <t>СОЕДИНИ ПО ТОЧКАМ на скрепке. ЖИВОТНЫЕ</t>
  </si>
  <si>
    <t>978-5-378-34622-6</t>
  </si>
  <si>
    <t>Рисование по точкам способствует расслаблению и избавляет от накопленной усталости. Эта раскраска позволит вам не только самостоятельно нарисовать лису, волка и других животных, но и отдохнуть за приятным времяпрепровождением. Перемещаясь от точки к точке, вы обнаружите, как на листе появляются изображения животных, а в вас пробуждаются силы для новых свершений!</t>
  </si>
  <si>
    <t>9785378346226</t>
  </si>
  <si>
    <t>242a4623706cdc36dbfbe3c2960720a9</t>
  </si>
  <si>
    <t>222364</t>
  </si>
  <si>
    <t>СОЕДИНИ ПО ТОЧКАМ на скрепке. МИР ЖИВОТНЫХ</t>
  </si>
  <si>
    <t>978-5-378-34623-3</t>
  </si>
  <si>
    <t>Рисование по точкам способствует расслаблению и избавляет от накопленной усталости. Эта раскраска позволит вам не только самостоятельно нарисовать коалу, лемура, игуану и других животных, но и отдохнуть за приятным времяпрепровождением. Перемещаясь от точки к точке, вы обнаружите, как на листе появляются изображения животных, а в вас пробуждаются силы для новых свершений!</t>
  </si>
  <si>
    <t>9785378346233</t>
  </si>
  <si>
    <t>242d3f8ed23b40475acf1c0b7781b804</t>
  </si>
  <si>
    <t>243731</t>
  </si>
  <si>
    <t>СОЕДИНИ ПО ТОЧКАМ на скрепке. НАСЕКОМЫЕ</t>
  </si>
  <si>
    <t>978-5-378-35324-8</t>
  </si>
  <si>
    <t>Рисование по точкам способствует расслаблению и избавляет от накопленной усталости. Эта раскраска позволит вам не только самостоятельно нарисовать бабочку и гусеницу, но и отдохнуть за приятным времяпрепровождением. Перемещаясь от точки к точке, вы обнаружите, как на листе появляются изображения удивительных насекомых, а в вас пробуждаются силы для новых свершений!</t>
  </si>
  <si>
    <t>9785378353248</t>
  </si>
  <si>
    <t>9767c3b72ffd22898ee9d82031060ce4</t>
  </si>
  <si>
    <t>243732</t>
  </si>
  <si>
    <t>СОЕДИНИ ПО ТОЧКАМ на скрепке. ЦВЕТЫ</t>
  </si>
  <si>
    <t>978-5-378-35325-5</t>
  </si>
  <si>
    <t>Рисование по точкам способствует расслаблению и избавляет от накопленной усталости. Эта раскраска позволит вам не только самостоятельно нарисовать розу, кувшинку и другие цветы, но и отдохнуть за приятным времяпрепровождением. Перемещаясь от точки к точке, вы обнаружите, как на листе появляются изображения цветов, а в вас пробуждаются силы для новых свершений!</t>
  </si>
  <si>
    <t>9785378353255</t>
  </si>
  <si>
    <t>b78314d5a643269e951ed073dbae515a</t>
  </si>
  <si>
    <t>222368</t>
  </si>
  <si>
    <t>СОЕДИНИ ПО ТОЧКАМ на скрепке. ЧУДЕСА СВЕТА</t>
  </si>
  <si>
    <t>978-5-378-34625-7</t>
  </si>
  <si>
    <t>9785378346257</t>
  </si>
  <si>
    <t>067ce4814e6125c18055a6e05eb29962</t>
  </si>
  <si>
    <t>222361</t>
  </si>
  <si>
    <t>СОЕДИНИ ПО ТОЧКАМ на скрепке. ШЕДЕВРЫ ИСКУССТВА</t>
  </si>
  <si>
    <t>978-5-378-34624-0</t>
  </si>
  <si>
    <t>Рисование по точкам способствует расслаблению и избавляет от накопленной усталости. Эта раскраска позволит вам не только самостоятельно нарисовать шедевры мирового искусства, но и отдохнуть за приятным времяпрепровождением. Перемещаясь
от точки к точке, вы обнаружите, как на листе появляются изображения картин и скульптур, а в вас пробуждаются силы для новых свершений!</t>
  </si>
  <si>
    <t>9785378346240</t>
  </si>
  <si>
    <t>c37d4c1a9c7c5c78cbc20a1aed6907ce</t>
  </si>
  <si>
    <t>СЕРИЯ: УЧИМСЯ РИСОВАТЬ. ШАГ ЗА ШАГОМ 242х300</t>
  </si>
  <si>
    <t>169807</t>
  </si>
  <si>
    <t>УЧИМСЯ РИСОВАТЬ. ШАГ ЗА ШАГОМ. ДИНОЗАВРИКИ</t>
  </si>
  <si>
    <t>978-5-378-32090-5</t>
  </si>
  <si>
    <t>Как научиться рисовать сказочных персонажей, милых зверушек, забавных монстриков и динозавров? Легко! В серии «Учимся рисовать. Шаг за шагом» представлены четыре книги: Волшебный мир», «Любимые животные», «Монстрики», «Динозаврики», в каждой – по 23 простых урока со схемами, благодаря которым ребёнок свободно повторит эскиз и оживит картинку красками.</t>
  </si>
  <si>
    <t>9785378320905</t>
  </si>
  <si>
    <t>169806</t>
  </si>
  <si>
    <t>УЧИМСЯ РИСОВАТЬ. ШАГ ЗА ШАГОМ. МОНСТРИКИ</t>
  </si>
  <si>
    <t>978-5-378-32089-9</t>
  </si>
  <si>
    <t>9785378320899</t>
  </si>
  <si>
    <t>8. КНИЖКИ-ИГРУШКИ (РОССИЯ)</t>
  </si>
  <si>
    <t>CЕРИЯ: КВЕСТ  конверт с европодвесом 240х325</t>
  </si>
  <si>
    <t>113397</t>
  </si>
  <si>
    <t>КВЕСТ. В ПОИСКАХ ЗАГАДОЧНОГО ГРАБИТЕЛЯ</t>
  </si>
  <si>
    <t>466-5-307-13849-6</t>
  </si>
  <si>
    <t>Мечтаете наполнить волшебством детский праздник? Хотите, чтобы ребёнок надолго запомнил ваш подарок? Тогда вы нашли то, что искали! Превратите простое поздравление в увлекательный квест! Спрячьте подарок и позвольте малышу отправиться на поиски своего сокровища. Ему предстоит выполнить задания, расшифровать подсказки и восстановить карту, которая подскажет правильный путь. Поверь в чудеса!</t>
  </si>
  <si>
    <t>4665307138496</t>
  </si>
  <si>
    <t>167089</t>
  </si>
  <si>
    <t>КВЕСТ. В ПОИСКАХ КОСМИЧЕСКОГО КЛАДА</t>
  </si>
  <si>
    <t>461-0-144-84998-2</t>
  </si>
  <si>
    <t>Мечтаете наполнить волшебством детский праздник? Хотите, чтобы ребёнок надолго запомнил ваш подарок? Тогда вы нашли то, что искали! Превратите простое поздравление в увлекательный квест! Спрячьте подарок и позвольте малышу отправиться на поиски своего сокровища. Ему предстоит выполнить задания, расшифровать подсказки, восстановить космический корабль и найти тайник с ценным грузом. Поверь в чудеса!</t>
  </si>
  <si>
    <t>4610144849982</t>
  </si>
  <si>
    <t>3af8186dc5180db145d46c7057e74ca3</t>
  </si>
  <si>
    <t>Квест</t>
  </si>
  <si>
    <t>139101</t>
  </si>
  <si>
    <t>КВЕСТ. ДИКИЙ ЗАПАД</t>
  </si>
  <si>
    <t>468-0-088-40623-7</t>
  </si>
  <si>
    <t>Мечтаете наполнить волшебством детский праздник? Хотите, чтобы ребёнок надолго заполнил ваш подарок? Тогда вы нашли то, что искали! Превратите простое поздравление в увлекательный квест! Спрячьте подарок и позвольте малышу отправиться на поиски своего сокровища. Ему предстоит выполнить задания расшифровать подсказки и восстановить карту, которая подскажет правильный путь. Поверь в чудеса!</t>
  </si>
  <si>
    <t>4680088406237</t>
  </si>
  <si>
    <t>CЕРИЯ: КВЕСТ в коробке 320х230х60</t>
  </si>
  <si>
    <t>109727</t>
  </si>
  <si>
    <t>КВЕСТ в коробке. В ПОИСКАХ ВОЛШЕБНОГО ПОДАРКА</t>
  </si>
  <si>
    <t>466-5-307-12059-0</t>
  </si>
  <si>
    <t>Превратите простое поздравление в увлекательный квест! Спрячьте подарок и позвольте малышу отправиться на поиски своего сокровища. Ему предстоит выполнить задания, расшифровать подсказки и восстановить карту, которая подскажет правильный путь.</t>
  </si>
  <si>
    <t>4665307120590</t>
  </si>
  <si>
    <t>320х230х60</t>
  </si>
  <si>
    <t>109730</t>
  </si>
  <si>
    <t>КВЕСТ в коробке. В ПОИСКАХ СОКРОВИЩ</t>
  </si>
  <si>
    <t>466-5-307-12060-6</t>
  </si>
  <si>
    <t>4665307120606</t>
  </si>
  <si>
    <t>CЕРИЯ: ПОДАРОЧНЫЙ НАБОР в коробке 320х230х60</t>
  </si>
  <si>
    <t>273342</t>
  </si>
  <si>
    <t>ПОДАРОЧНЫЙ НАБОР. БОЛЬШОЙ ПОДАРОК ДЛЯ ДЕВОЧЕК (новый)</t>
  </si>
  <si>
    <t>467-0-159-31591-9</t>
  </si>
  <si>
    <t>Большой подарок для мальчиков (девочек) – это 10 увлекательных книг, раскрасок и брошюр.
В набор входят:
• Книга для чтения
• Книга со стихами
• Водная раскраска
• Наклейки
• Аппликации
• Раскраска А4
• Раскраска А5
• Графические диктанты
• Брошюра «Найди и покажи»
• Раскраска с мелками</t>
  </si>
  <si>
    <t>4670159315919</t>
  </si>
  <si>
    <t>56c0f3df0c20b596c5da57bff8cb411c</t>
  </si>
  <si>
    <t>238477</t>
  </si>
  <si>
    <t>ПОДАРОЧНЫЙ НАБОР. БОЛЬШОЙ ПОДАРОК ДЛЯ МАЛЬЧИКОВ</t>
  </si>
  <si>
    <t>467-0-159-20632-3</t>
  </si>
  <si>
    <t>Большой подарок для мальчиков (девочек) – это 10 увлекательных книг, раскрасок и брошюр.
В набор входят:
• Книга для чтения
• Книга с часиками и глазками
• Раскраска с фломастерами
• Учимся рисовать «Шаг за шагом»
• Книжка с заданиями
• Набор наклеек
• Раскраска
• Прописи для малышей
• Умный блокнот
• Раскраска альбомная</t>
  </si>
  <si>
    <t>4670159206323</t>
  </si>
  <si>
    <t>753d80b1f56377810e50cdfa21fc30a1</t>
  </si>
  <si>
    <t>273343</t>
  </si>
  <si>
    <t>ПОДАРОЧНЫЙ НАБОР. БОЛЬШОЙ ПОДАРОК ДЛЯ МАЛЬЧИКОВ (новый)</t>
  </si>
  <si>
    <t>467-0-159-31590-2</t>
  </si>
  <si>
    <t>4670159315902</t>
  </si>
  <si>
    <t>bb7ba84314cbfa35cb777fee0d00abe8</t>
  </si>
  <si>
    <t>278195</t>
  </si>
  <si>
    <t>ПОДАРОЧНЫЙ НАБОР. С ДНЁМ РОЖДЕНИЯ!</t>
  </si>
  <si>
    <t>467-0-159-33009-7</t>
  </si>
  <si>
    <t>Большой подарок "С ДНЁМ РОЖДЕНИЯ!" – это 10 увлекательных книг, раскрасок и брошюр.
В набор входят:
• Книга для чтения
• Книга со стихами
• Водная раскраска
• Наклейки
• Аппликации
• Раскраска по номерам
• Раскраска А5
• Графические диктанты
• Прописи
• Раскраска с мелками</t>
  </si>
  <si>
    <t>4670159330097</t>
  </si>
  <si>
    <t>82627c7948968b65bbe6b81bef253c35</t>
  </si>
  <si>
    <t>239104</t>
  </si>
  <si>
    <t>ПОДАРОЧНЫЙ НАБОР. Я ЛЮБЛЮ АНИМЕ</t>
  </si>
  <si>
    <t>467-0-159-21840-1</t>
  </si>
  <si>
    <t>В набор входят:
• Анкета для друзей
• Блокнот
• Раскраски
• Пропись
• Наклейки
• Активити-блокнот
• Скетчбук</t>
  </si>
  <si>
    <t>4670159218401</t>
  </si>
  <si>
    <t>fd1876ac5c14bf338ad385496827ec50</t>
  </si>
  <si>
    <t>Не подлежит моркировке ЧЗ</t>
  </si>
  <si>
    <t>СЕРИЯ: 100 ИГР в коробке, мат.ламин. 50 карточек 125х165х25</t>
  </si>
  <si>
    <t>142427</t>
  </si>
  <si>
    <t>100 ИГР. IQ ИГРЫ ДЛЯ МАЛЫШЕЙ</t>
  </si>
  <si>
    <t>466-5-308-23172-1</t>
  </si>
  <si>
    <t>Набор карточек "IQ игры для малышей" не даст заскучать вашему ребёнку - его ждут 100 интересных разнообразных игр и головоломок! В комплект входят 50 двусторонних карточек, которые помогут развить внимание, память, логическое мышление, воображение и мелкую моторику ребёнка. Вы тоже можете присоединиться к выполнению заданий. Совместная игра станет увлекательнее!</t>
  </si>
  <si>
    <t>4665308231721</t>
  </si>
  <si>
    <t>4+</t>
  </si>
  <si>
    <t>100 Игр в коробке</t>
  </si>
  <si>
    <t>125х165х25</t>
  </si>
  <si>
    <t>156672</t>
  </si>
  <si>
    <t>100 ИГР. ВЕСЁЛЫЕ ИГРЫ ДЛЯ САМЫХ МАЛЕНЬКИХ</t>
  </si>
  <si>
    <t>468-0-088-49912-3</t>
  </si>
  <si>
    <t>Набор карточек "Весёлые игры для самых маленьких" не даст заскучать вашему ребёнку - его ждут 100 интересных игр и заданий! В комплект входят 50 двусторонних карточек, которые помогут развить внимание, память, логическое мышление, воображение и мелкую моторику ребёнка. Вы тоже можете присоединиться к выполнению заданий. Совместная игра станет увлекательнее!</t>
  </si>
  <si>
    <t>4680088499123</t>
  </si>
  <si>
    <t>90. ПРОДУКЦИЯ НА БУМАГЕ</t>
  </si>
  <si>
    <t>(0+) СОВРЕМЕННЫЕ ПИСАТЕЛИ</t>
  </si>
  <si>
    <t>270082</t>
  </si>
  <si>
    <t>SOS! ПРОПАЛ ПЁС!, мат.ламин, выб.лак, 203х257</t>
  </si>
  <si>
    <t>978-5-378-35966-0</t>
  </si>
  <si>
    <t>Домашний любимец решил доказать своим хозяевам, что он не простая дворняга, а невероятно одарённый пёс. Поэтому и сбежал - чтобы принять участие и обязательно победить в собачьем конкурсе талантов!</t>
  </si>
  <si>
    <t>9785378359660</t>
  </si>
  <si>
    <t>Литоренко Алла Алексеевна</t>
  </si>
  <si>
    <t>9a710a76655cb55618d74efd3b39a65e</t>
  </si>
  <si>
    <t>203х259х6</t>
  </si>
  <si>
    <t>248093</t>
  </si>
  <si>
    <t>В ПОИСКАХ ДОМА. ПРИКЛЮЧЕНИЯ КОТЁНКА И МЫШОНКА, мат.ламин, выб.лак, офсет 203х257</t>
  </si>
  <si>
    <t>978-5-378-35469-6</t>
  </si>
  <si>
    <t>Дорогой наш маленький читатель! Ты держишь в руках книгу с историей о настоящей дружбе и нелёгком пути к мечте. Чиз, мышонок-альбинос, и его друг, одноухий котёнок Лучик, отличаются от своих сородичей и уже давно живут на улице. Покосившийся
сарай с дырявой крышей служит им укрытием, а груда кирпичей - лежанкой. Но зима совсем близко, и друзья отправляются в путешествие, чтобы исполнить свою мечту и найти дом, где будет не только тепло и сытно, но и где их примут и полюбят такими, какие они есть.</t>
  </si>
  <si>
    <t>9785378354696</t>
  </si>
  <si>
    <t>Клушина Ольга</t>
  </si>
  <si>
    <t>1e9c3e4f704e5ee5e41efc502c11a95d</t>
  </si>
  <si>
    <t>273289</t>
  </si>
  <si>
    <t>ГОВОРИЛОЧКА ДЛЯ МАЛЫШЕЙ, мат.ламин, выб.лак, 170х220</t>
  </si>
  <si>
    <t>978-5-378-36056-7</t>
  </si>
  <si>
    <t>Каждый родитель хочет, чтобы его ребёнок поскорее заговорил или же чтобы его речь улучшилась и стала более разборчивой. «Говорилочка для малышей» поможет вашему ребёнку в освоении такого сложного и многогранного процесса, как речь. Материалы, собранные в книге, положительно влияют на артикуляцию, фонематический слух, воображение малыша, а также на его мелкую моторику, которая напрямую связана с развитием речи и интеллекта. Благодаря забавным стишкам и интересным заданиям с красочными иллюстрациями, процесс освоения речи будет казаться малышу весёлым и захватывающим. Учиться говорить можно легко, с удовольствием и наша книга убедит в этом вас и ваших малышей!</t>
  </si>
  <si>
    <t>9785378360567</t>
  </si>
  <si>
    <t>Балуева Оксана Борисовна,Тришина Ирина Петровна,Гражданцева Ольга Владимировна,Громова Людмила Александрова,Ушкина Наталья Евгеньевна,Арефьева Ирина Евгеньевна,Купырина Анна Михайловна</t>
  </si>
  <si>
    <t>4934449db549bf9bb32e66583bc56d96</t>
  </si>
  <si>
    <t>177х220х8</t>
  </si>
  <si>
    <t>156735</t>
  </si>
  <si>
    <t>ИСТОРИЯ О НАСТОЯЩЕЙ ДРУЖБЕ глянц.ламин.обл, 195х232</t>
  </si>
  <si>
    <t>978-5-378-31374-7</t>
  </si>
  <si>
    <t>Книжка с волшебными, красочными иллюстрациями, обаятельными героями и доброй историей очарует как маленьких читателей, так и их родителей! Она напомнит, как важно верить в настоящую дружбу, быть добрым и отзывчивым!</t>
  </si>
  <si>
    <t>9785378313747</t>
  </si>
  <si>
    <t>195х232х7</t>
  </si>
  <si>
    <t>243514</t>
  </si>
  <si>
    <t>КОШКА ШКОДЯ И ЕЁ МАЛЕНЬКОЕ КОРОЛЕВСТВО мат.ламин, выб лак, офсет 203х257</t>
  </si>
  <si>
    <t>978-5-378-35315-6</t>
  </si>
  <si>
    <t>Домашней кошке с говорящим прозвищем Шкодя не терпелось узнать, что происходит за пределами её маленькой вселенной - уютной квартирки с любящими хозяевами. И однажды ей удалось сбежать: шаг, два, три... Свобода! Но так ли приветлив мир по ту сторону окна? Как выжить, если ты совсем не готовилась к суровым условиям улицы? На помощь несчастной неожиданно придёт мышь Точилка вместе с почтенным голубем месье Бланком. Благодаря новым друзьям Шкодя сможет вернуться в семью и осознает, что важен не размер королевства, а кто с тобой рядом.</t>
  </si>
  <si>
    <t>9785378353156</t>
  </si>
  <si>
    <t>1a96a210f52cfec75d2671447ccbafcb</t>
  </si>
  <si>
    <t>203х257х6</t>
  </si>
  <si>
    <t>248094</t>
  </si>
  <si>
    <t>КОШКА ШКОДЯ И НЕПРОШЕННЫЙ ГОСТЬ мат.ламин, выб лак, офсет 203х257</t>
  </si>
  <si>
    <t>978-5-378-35463-4</t>
  </si>
  <si>
    <t>С тех пор как кошка Шкодя вновь обрела свою семью, её жизнь стала ещё прекраснее и веселее. В свободное от сна время она грела в лучах солнца плюшевый живот, развлекала домочадцев безобидными шалостями и принимала в гостях друзей – мышь Точилку и голубя месье Бланка. Однажды они спасли Шкодю, когда та потерялась на незнакомых улицах города. И вот ей вновь понадобилась их помощь: нужно избавиться от надоедливого соседа, которого кошке навязали хозяева.</t>
  </si>
  <si>
    <t>9785378354634</t>
  </si>
  <si>
    <t>6a67b28c9f0bb8df6ab954c96dee2ede</t>
  </si>
  <si>
    <t>203х257х5</t>
  </si>
  <si>
    <t>258286</t>
  </si>
  <si>
    <t>КОШКА ШКОДЯ И ПОИСКИ ТИГРА мат.ламин, выб лак, офсет 203х257</t>
  </si>
  <si>
    <t>978-5-378-35678-2</t>
  </si>
  <si>
    <t>Домашняя кошка Шкодя и двое её уличных друзей - мышь Точилка и голубь месье Бланк - не могут жить без приключений. В этот раз им предстоит спасти несмышлёного котёнка, возомнившего себя тигром, почти из самой пасти настоящего хищника. А ещё неугомонная троица найдёт малышу дом и любящих хозяев.</t>
  </si>
  <si>
    <t>9785378356782</t>
  </si>
  <si>
    <t>5dcbdb58f10b3ce1f2104838b8cd5fe1</t>
  </si>
  <si>
    <t>274959</t>
  </si>
  <si>
    <t>МАЛЕНЬКИЕ СКАЗКИ, мат.ламин, выб.лак, 170х220</t>
  </si>
  <si>
    <t>978-5-378-36068-0</t>
  </si>
  <si>
    <t>В этой книге собраны 19 крохотных сказок для ваших любимых маленьких слушателей.
Чтение каждой сказки не займёт много времени — всего лишь 2–3 минуты, так что ребёнок не устанет слушать и не потеряет концентрацию и интерес. Кроме того, такие сказки идеально подойдут для чтения перед сном.
При желании можно превратить чтение в увлекательную игру, попросив малыша рассматривать яркие красочные иллюстрации и отвечать на готовые вопросы по теме сказки. Они касаются дружбы, доброты и помощи друг другу, уважения к родителям, трудолюбия, зависти и многого другого.
С этой книгой можно не только прививать малышу любовь и интерес к чтению, но и развивать эмоциональный интеллект ребёнка, приучая его к осознанию собственных мыслей, чувств, поступков, к способности оценивать и вникать в суть происходящего. Рекомендуем к прочтению для детей от 3 лет.</t>
  </si>
  <si>
    <t>9785378360680</t>
  </si>
  <si>
    <t>Братья Гримм,Ушинский Константин Дмитриевич,Толстой Лев Николаевич,Толстой Алексей Николаевич,Афанасьев Александр Николаевич,Капица Ольга и др.</t>
  </si>
  <si>
    <t>2605d2f28965e65b36c05b856878a178</t>
  </si>
  <si>
    <t>170х220х8</t>
  </si>
  <si>
    <t>243513</t>
  </si>
  <si>
    <t>МЯУШ И ЭЛЛИ мат.ламин.обл, выб.лак, офсет 203x257</t>
  </si>
  <si>
    <t>978-5-378-35308-8</t>
  </si>
  <si>
    <t>В жизни благородного домашнего кота случилось неслыханное потрясение. В уютной квартирке, которую он любезно разрешал делить с ним парочке хозяев, поселилась белая лохматая болонка.
Но плохо вы знаете Мяуша! Он непременно придумает, как выгнать шумную соседку, посмевшую вторгнуться в его беспечные, похожие друг на друга будни.</t>
  </si>
  <si>
    <t>9785378353088</t>
  </si>
  <si>
    <t>Глазунова Анастасия Александровна</t>
  </si>
  <si>
    <t>b09ee1a989fdb08fbe21344189f013c3</t>
  </si>
  <si>
    <t>221312</t>
  </si>
  <si>
    <t>НАЙДИ СВОЙ КАМЕНЬ глянц.ламин, офсет. 195х260</t>
  </si>
  <si>
    <t>978-5-378-35212-8</t>
  </si>
  <si>
    <t>У племени шнипсов наступили трудные времена. Русло Великой реки пересохло, а прошлогодние запасы кукурузы заканчиваются. Каждому из трёх маленьких шнипсов предстоит найти волшебный камень, который разбудит его талант. Согласно предсказанию шаманки Шукли, именно это поможет спасти племя!</t>
  </si>
  <si>
    <t>9785378352128</t>
  </si>
  <si>
    <t>84ccd0a9b5b680c94ed1a8cc9fe57780</t>
  </si>
  <si>
    <t>273319</t>
  </si>
  <si>
    <t>ПЕРВАЯ КНИГА МАЛЫША (Мастер Витя и Мотор) глянц.ламин, 170х220</t>
  </si>
  <si>
    <t>978-5-378-36045-1</t>
  </si>
  <si>
    <t>Учиться с героями мультфильма «Мастер Витя и Мотор» весело и увлекательно! Благодаря этой книге малыш познакомится с буквами и цифрами, формами и цветами, узнает много новых слов и понятий. Яркие иллюстрации и любимые персонажи помогут ребёнку в игровой форме увеличить словарный запас и расширить знания об окружающем мире.</t>
  </si>
  <si>
    <t>9785378360451</t>
  </si>
  <si>
    <t>9dc39f3a65432753dcde2ba0697623a9</t>
  </si>
  <si>
    <t>273286</t>
  </si>
  <si>
    <t>ПЕРВАЯ КНИГА МАЛЫША, мат.ламин, выб.лак, 170х220</t>
  </si>
  <si>
    <t>978-5-378-36046-8</t>
  </si>
  <si>
    <t>Вы держите в руках книгу, которая поможет вашему малышу освоить алфавит, счёт, цвета, фигуры, изучить основные виды животных, части тела и многие другие базовые темы об окружающем мире. Каждый раздел сопровождается занимательными вопросами и заданиями. Книга наполнена яркими, красочными иллюстрациями, которые не оставят равнодушным ни одного ребёнка. Заниматься с «Первой книгой малыша» легко, весело и интересно!</t>
  </si>
  <si>
    <t>9785378360468</t>
  </si>
  <si>
    <t>Корнеева Ольга Тихоновна, Купырина Анна Михайловна, Перлова Евгения Михайловна</t>
  </si>
  <si>
    <t>e8660285a29d04e60502f942fc70f334</t>
  </si>
  <si>
    <t>144151</t>
  </si>
  <si>
    <t>ПОЛЕЗНЫЕ СКАЗКИ глянц.ламин. мелов.бум. 200х240</t>
  </si>
  <si>
    <t>978-5-378-30790-6</t>
  </si>
  <si>
    <t>Книга для детей и их родителей создана Евгенией Асеевой, детским писателем, психологом, сказко-и игротерапевтом. Истории, написанные простым, доступным языком расскажут детям о важности правильных и хороших поступков, научат понимать свои эмоции, помогут внимательнее относится к окружающим. Яркие красочные иллюстрации, колоритные персонажи и интересные сюжеты сказок запомнятся надолго!</t>
  </si>
  <si>
    <t>9785378307906</t>
  </si>
  <si>
    <t>Асеева Евгения</t>
  </si>
  <si>
    <t>717369cdcdb9ba51ecc63f01bb914ec2</t>
  </si>
  <si>
    <t>268543</t>
  </si>
  <si>
    <t>САМОЛЁТИК, ТЫ СМОЖЕШЬ! глянц.ламин, 203х257</t>
  </si>
  <si>
    <t>978-5-378-35949-3</t>
  </si>
  <si>
    <t>Как же обидно ничего не уметь и по глупости совершать ошибки... Но маленький самолётик непременно научится летать выше птиц и быстрее скорости звука! А ещё он спасёт маму и сдаст свой первый и такой важный экзамен в жизни! В книге Екатерины Сиротиной не просто детская история о самолётах и вертолётах, но и познавательные факты об их устройстве и предназначении. Интересного вам чтения!</t>
  </si>
  <si>
    <t>9785378359493</t>
  </si>
  <si>
    <t>Сиротина Екатерина</t>
  </si>
  <si>
    <t>138854bc96b7a2a797ef4f06e542672e</t>
  </si>
  <si>
    <t>203х257х7</t>
  </si>
  <si>
    <t>216548</t>
  </si>
  <si>
    <t>СБОРНИК ДОБРЫХ ИСТОРИЙ. МАМА, ПОЧИТАЙ!</t>
  </si>
  <si>
    <t>978-5-378-34523-6</t>
  </si>
  <si>
    <t>В сборник вошли 5 добрых историй для чтения с мамой. Из книги малыши узнают, что нужно быть вежливыми и дружелюбными, любовь родителей не зависит ни от каких обстоятельств, а если браться за дело всем вместе, то всё получится. Пусть семейное чтение будет вашей доброй традицией!</t>
  </si>
  <si>
    <t>9785378345236</t>
  </si>
  <si>
    <t>Моркина Татьяна,Бонда Дарья,Каграманова Екатерина Рамзикова,Васягина Веста Анатольевна,Венедиктова Юлия Александровна</t>
  </si>
  <si>
    <t>59534230d9ed8b42d1b5de5981b53995</t>
  </si>
  <si>
    <t>16.11.2023 0:00:00</t>
  </si>
  <si>
    <t>216549</t>
  </si>
  <si>
    <t>СБОРНИК ДОБРЫХ ИСТОРИЙ. ПАПА, ПОЧИТАЙ!</t>
  </si>
  <si>
    <t>978-5-378-34524-3</t>
  </si>
  <si>
    <t>В сборник вошли 8 добрых историй для чтения с папой. Из книги малыши узнают, что играть вместе веселее, досуг с родителями интереснее гаджетов, а справляться со страхами легче с поддержкой друзей и семьи. Пусть семейное чтение будет вашей доброй традицией!</t>
  </si>
  <si>
    <t>9785378345243</t>
  </si>
  <si>
    <t>Венедиктова Юлия Александровна,Бонда Дарья,Голубятникова Ольга Ивановна,Грецкая Анастасия Николаевна</t>
  </si>
  <si>
    <t>f970faea5f13e7b60b7b7137692b0eb5</t>
  </si>
  <si>
    <t>261462</t>
  </si>
  <si>
    <t>СОННЫЕ СКАЗКИ мат.ламин, выб.лак, 170х220</t>
  </si>
  <si>
    <t>978-5-378-35755-0</t>
  </si>
  <si>
    <t>Сон – очень важная часть жизни маленького человека. Малыши по-разному воспринимают это время, но для большинства крох важны определённые ритуалы подготовки к длительному ночному отдыху.
Наряду с вечерними процедурами, массажем и маминой колыбельной, частью такого ритуала может стать добрая спокойная книга.
В издание вошли тексты современного автора Натальи Костенко, а также всеми любимые колыбельные песенки.
Знакомясь с героями историй, детки поймут, почему так важно вовремя ложиться спать, зачем вообще нужен ночной отдых, узнают, что сон необходим всему живому на свете!</t>
  </si>
  <si>
    <t>9785378357550</t>
  </si>
  <si>
    <t>Свириденко София Александровна, Костенко Наталья</t>
  </si>
  <si>
    <t>1c4261f8d5fad928f5311159cd59aa21</t>
  </si>
  <si>
    <t>(6+) СОВРЕМЕННЫЕ ПИСАТЕЛИ</t>
  </si>
  <si>
    <t>162315</t>
  </si>
  <si>
    <t>ВОЗВРАЩЕНИЕ НА СЕДЬМОЙ ХОЛМ. Оливия Вульф. глянц.ламин, тиснение, офсет. 200х240</t>
  </si>
  <si>
    <t>978-5-378-31717-2</t>
  </si>
  <si>
    <t>«Возвращение на Седьмой Холм» — это волшебная история о сёстрах-близняшках — Вивьен и Софии, которая завораживает с первых страниц. Книга будет интересна не только детям, но и взрослым — захватывающий сюжет перенесёт в удивительный мир сказочных героев и невероятных приключений.
Много испытаний выпало на долю маленькой, но очень отважной героини Вивьен, отправившейся на поиски своей сестры. Ей предстоит встретиться с пиратами, колдуньями и даже драконом, но она ни на секунду не потеряет веру в себя, добро и справедливость.
Эта книга покорит ваше сердце!</t>
  </si>
  <si>
    <t>9785378317172</t>
  </si>
  <si>
    <t>Вульф Оливия</t>
  </si>
  <si>
    <t>200х240х10</t>
  </si>
  <si>
    <t>253368</t>
  </si>
  <si>
    <t>ЗАБАВНЫЕ ПРИКЛЮЧЕНИЯ В ШКОЛЕ И НА КАНИКУЛАХ глянц.ламин обл. 170x220</t>
  </si>
  <si>
    <t>978-5-378-35576-1</t>
  </si>
  <si>
    <t>Если вы думаете, что все девочки паиньки, то вы просто не знакомы со Светкой Курочкиной. Это ходячее несчастье и фонтан неожиданностей. Как высушить подмоченную репутацию, спасти дракона и получить трофей в охоте на старушек? Чем занимается сардельная семья и как накраситься так, чтобы все рыдали? Кто лучше всех орёт кричалки и борется с контрольными по математике? Всё это вы узнаете, прочитав непредсказуемосмешные и уморительно-романтические истории про приключения Светки и её друзей.</t>
  </si>
  <si>
    <t>9785378355761</t>
  </si>
  <si>
    <t>b20c6d503108b8fdc53221a9f9d1ea71</t>
  </si>
  <si>
    <t>170x220x12</t>
  </si>
  <si>
    <t>242321</t>
  </si>
  <si>
    <t>КЛАССНЫЕ ИСТОРИИ НАШЕГО КЛАССА глянц.ламин, офсет 170х220</t>
  </si>
  <si>
    <t>978-5-378-35243-2</t>
  </si>
  <si>
    <t>Марк и его одноклассники: близнецы с одинаковыми именами Вася и Вася, спортсмен Егор-выше-гор, неугомонная Янка хулиганка, защитница природы Марьяна и юморист Тимур — с появлением учительницы Анкеты Андреевны (интересно, почему её так зовут?) с радостью спешат в школу. в этом году их ждут уроки единорогов и динозавров, любовных песен, спасения ёжиков и много других классных занятий. А ещё в их компании — новенький по прозвищу Продавец хомяка! С ним можно поговорить о самокатах, драках, собаках, младшем брате и, конечно, хомяках! Но самую главную тайну своего нового друга Марк узнает, когда любимая учительница однажды не придёт на урок...</t>
  </si>
  <si>
    <t>9785378352432</t>
  </si>
  <si>
    <t>Абишова Зульфия</t>
  </si>
  <si>
    <t>6079ca7d53caf8df0536e9ccd9142d66</t>
  </si>
  <si>
    <t>245174</t>
  </si>
  <si>
    <t>ПАТРИОТИЧЕСКИЕ РАССКАЗЫ ДЛЯ ШКОЛЬНИКОВ глянц.ламин, офсет 170х220</t>
  </si>
  <si>
    <t>978-5-378-35309-5</t>
  </si>
  <si>
    <t>Любовь к Родине, чувство справедливости, умение сострадать... Есть ценности и идеалы, незыблемые для всех поколений людей, рождённых в нашей стране. в эту книгу вошли рассказы современных авторов о главном: К чему стремиться и на кого равняться, О чём стоит помнить и говорить сегодня, завтра и всегда.</t>
  </si>
  <si>
    <t>9785378353095</t>
  </si>
  <si>
    <t>Назарова Лариса Геннадьевна,Григорьев Константин,Сорока Светлана Николаевна</t>
  </si>
  <si>
    <t>c01bf782aa5a9b82777b43741025fb23</t>
  </si>
  <si>
    <t>170x220x10</t>
  </si>
  <si>
    <t>274984</t>
  </si>
  <si>
    <t>Приключения агентства ДАРК мат.ламин, выб.лак, 145х203</t>
  </si>
  <si>
    <t>978-5-378-36092-5</t>
  </si>
  <si>
    <t>Аня и Даня — брат и сестра, которые обожают раскрывать преступления и вообще не любят скучать! В делах им помогает… робот-пылесос Кеша. Да-да, это он занял аж две буквы в названии агентства: ДаняАняРоботКеша. Он умеет разговаривать, строить версии и даже переводить с кошачьего языка. Вместе детективам предстоит спасти кошек из рук самозваного дрессировщика, остановить нашествие ворон, раскрыть семейную тайну одноклассницы и даже... разморозить Новый год! Тайны, шпионаж, цирк, говорящий пылесос и немного школьных проблем — скучать не придётся!</t>
  </si>
  <si>
    <t>9785378360925</t>
  </si>
  <si>
    <t>Егоров Александр</t>
  </si>
  <si>
    <t>243515</t>
  </si>
  <si>
    <t>ПРИКЛЮЧЕНИЯ КОШКИ МАТРЁШКИ. Кто в доме хозяин, глянц.ламин, офсет 145х203</t>
  </si>
  <si>
    <t>978-5-378-35317-0</t>
  </si>
  <si>
    <t>Управдом не просто лучший друг, но и главный помощник человека. Особенно если вы только что заселились в многоэтажку. Только одному ему не под силу уладить все споры c жильцами. Скромному учителю ОБЖ и по совместительству старшему по московской новостройке Ивану Андреевичу повезло. Вместе с соседской кошкой Матрёшкой им удаётся решить не только острые бытовые вопросы, но и найти взаимопонимание с самыми неуступчивыми соседями.</t>
  </si>
  <si>
    <t>9785378353170</t>
  </si>
  <si>
    <t>9c1bab85807fbb9f98f0851d987276b1</t>
  </si>
  <si>
    <t>249517</t>
  </si>
  <si>
    <t>ПРИКЛЮЧЕНИЯ МИТИ КУКУШКИНА: СТРАШНО-СМЕШНЫЕ И ФАНТАСТИЧЕСКИ-ГЕРОИЧЕСКИЕ глянц.ламин, офсет 170х220</t>
  </si>
  <si>
    <t>978-5-378-35489-4</t>
  </si>
  <si>
    <t>Кража века, загадочные пришельцы, тайна Старой крепости, лешие и кикиморы, рыцари и принцессы. Страшно-смешные происшествия на кладбище и в летнем лагере, в лесу и в городе, в классе и на кухне. Жизнь школьника Мити Кукушкина наполнена настолько яркими и фантастическими событиями, что по ним можно написать целую приключенческую книгу. Точно можно? Стоп, так вот же она! Открывайте скорее!</t>
  </si>
  <si>
    <t>9785378354894</t>
  </si>
  <si>
    <t>cec88a1acdf742adbf6ae4f6b3688954</t>
  </si>
  <si>
    <t>273317</t>
  </si>
  <si>
    <t>РАЗЫСКИВАЕТСЯ ЩЕНОК  глянц.ламин, 203х257</t>
  </si>
  <si>
    <t>978-5-378-36038-3</t>
  </si>
  <si>
    <t>В доме, где давно властвовала любимица семьи кошка Маргаритка, вдруг появился щенок Тяпа, которого взяли на передержку. Нет! Такого шумного и назойливого соседа Марго не готова терпеть даже временно! Нужно поскорее от него избавиться. Но что, если без маленького непоседы жизнь станет совсем серой и безрадостной?</t>
  </si>
  <si>
    <t>9785378360383</t>
  </si>
  <si>
    <t>9cd6e68b0d04da1d2e332b4c0fa19919</t>
  </si>
  <si>
    <t>183452</t>
  </si>
  <si>
    <t>РАССКАЗЫ ДЛЯ ШКОЛЬНИКОВ глянц.ламин.обл. офсет 171х216</t>
  </si>
  <si>
    <t>978-5-378-33421-6</t>
  </si>
  <si>
    <t>Рассказы для школьников - это уже второй сборник увлекательных историй из серии "Школьные рассказы". Автор книги Светлана Сорока – учитель русского языка и литературы, потому особенно живо и точно описывает ситуации, в которые попадают ученики. Благодаря простому языку книга будет интересна и понятна детям младшего и среднего школьного возраста.</t>
  </si>
  <si>
    <t>9785378334216</t>
  </si>
  <si>
    <t>Сорока Светлана Николаевна</t>
  </si>
  <si>
    <t>171x216x8</t>
  </si>
  <si>
    <t>278126</t>
  </si>
  <si>
    <t>ТАЛАНТОВ МНОГО НЕ БЫВАЕТ глянц.ламин 170х220</t>
  </si>
  <si>
    <t>978-5-378-36082-6</t>
  </si>
  <si>
    <t>Анечка Неунывакина очень упорная и старательная, но у неё ничего не получается. Она посещает разные кружки и секции и находится в поисках себя, в чём её поддерживают трепетная мама, оптимистка бабушка, вечно работающий папа (как умеет) и такса сарделия. Девочка постоянно попадает в разные комичные ситуации, но никогда не унывает - за это спасибо фамилии!</t>
  </si>
  <si>
    <t>9785378360826</t>
  </si>
  <si>
    <t>Коскина Ксения Леонидовна</t>
  </si>
  <si>
    <t>190533adae383bbfcd1ff780f269194c</t>
  </si>
  <si>
    <t>216532</t>
  </si>
  <si>
    <t>ШКОЛЬНЫЕ РАССКАЗЫ ПРО ЛЮБОВЬ выб.лак, офсет 170х215</t>
  </si>
  <si>
    <t>978-5-378-34525-0</t>
  </si>
  <si>
    <t>Первая любовь — самая искренняя и чистая. Первые свидания — самые волнительные и трепетные... Перед вами сборник романтических рассказов о юношеских чувствах, робких признаниях и сильных поступках ради того, кто дорог. Сюжеты, описанные в книге, понятны каждому подростку, а в героях легко узнать одноклассника, соседа по подъезду и даже самого себя...</t>
  </si>
  <si>
    <t>9785378345250</t>
  </si>
  <si>
    <t>9afb78a0bfa55319cfa73f85a2302306</t>
  </si>
  <si>
    <t>170х215х10</t>
  </si>
  <si>
    <t>256219</t>
  </si>
  <si>
    <t>Я ТЕБЯ НЕ БРОШУ. Кот, который нам нужен (7БЦ)</t>
  </si>
  <si>
    <t>978-5-378-35598-3</t>
  </si>
  <si>
    <t>Стешу любят больше... По крайней мере, Никита, её старший брат, в этом не сомневался. Недавно девочка сломала ногу, и теперь всё внимание родителей было приковано к ней. Но мальчику казалось, что травма ни при чём — так было с самого рождения сестры. Грустные мысли гнали прочь, на улицу... Наверное, чтобы встретить бездомного чёрного кота, который станет не просто лучшим другом, но и частью крепкой, настоящей семьи.</t>
  </si>
  <si>
    <t>9785378355983</t>
  </si>
  <si>
    <t>0b25d50a4c5f357b88e010af39e7b56f</t>
  </si>
  <si>
    <t>243512</t>
  </si>
  <si>
    <t>Я ТЕБЯ НЕ БРОШУ. Кот, который нам нужен (КБС)</t>
  </si>
  <si>
    <t>978-5-378-35316-3</t>
  </si>
  <si>
    <t>9785378353163</t>
  </si>
  <si>
    <t>d630f0fa9fa4278a06b9b77e1ef2f308</t>
  </si>
  <si>
    <t>130x180x6</t>
  </si>
  <si>
    <t>263049</t>
  </si>
  <si>
    <t>Я ТЕБЯ НЕ БРОШУ. Полосатое счастье (7БЦ)</t>
  </si>
  <si>
    <t>978-5-378-35816-8</t>
  </si>
  <si>
    <t xml:space="preserve">Подлинная история, трогательно описанная автором на страницах книги, произошла в девяностые годы прошлого века. Это было время телефонов с тугими дисками, листьев подорожника на ссадинах, обкусанных горбушек горячего хлеба. Эпоха крутых перемен в стране, но самое счастливое детство миллионов ребят. Среди них была и третьеклассница Юнька. Однажды на майские праздники с подозрением на пневмонию она попала в больницу, вокруг которой раскинулся частный сектор, и люди постоянно подбрасывали домашних животных в дырки в заборе. Гуляя по территории, девочка заметила больного котёнка, который никого к себе не подпускал. Без помощи человека ему точно не выжить, и маленькая героиня решает во что бы то ни стало спасти малыша и подарить ему любящую семью. </t>
  </si>
  <si>
    <t>9785378358168</t>
  </si>
  <si>
    <t>db51c78ad8d6d9e6c34cbaab615a9d12</t>
  </si>
  <si>
    <t>256220</t>
  </si>
  <si>
    <t>Я ТЕБЯ НЕ БРОШУ. Собаки нашего двора (7БЦ)</t>
  </si>
  <si>
    <t>978-5-378-35599-0</t>
  </si>
  <si>
    <t>Однажды мама двойняшек решила рассказать дочкам трогательную историю из своего детства. Много лет назад зимой, когда она была ещё маленькой и жила в степном городе на юге, на заброшенной стройке ощенилась бродячая собака. Всего родилось 10 малышей — материнского молока на всех не хватало. Школьницы-подружки стали выхаживать их втайне от родителей: кормили, утепляли лежанку, выгуливали, когда те немного подросли... Но вскоре пожилая соседка узнала о своре под боком и стала грозить службой по отлову собак. Девчонки непременно должны спасти щенков от жестокого мира людей: каждому найти дом и заботливого хозяина...</t>
  </si>
  <si>
    <t>9785378355990</t>
  </si>
  <si>
    <t>3a940401907216200fb96cb31bf2f184</t>
  </si>
  <si>
    <t>246425</t>
  </si>
  <si>
    <t>Я ТЕБЯ НЕ БРОШУ. Собаки нашего двора (КБС)</t>
  </si>
  <si>
    <t>978-5-378-35407-8</t>
  </si>
  <si>
    <t>Однажды мама двойняшек решила рассказать дочкам трогательную
историю из своего детства. Много лет назад зимой, когда она была ещё маленькой и жила в степном городе на юге, на заброшенной стройке ощенилась бродячая собака. Всего родилось 10 малышей — материнского молока на всех не хватало. Школьницы-подружки стали выхаживать их втайне от родителей: кормили, утепляли лежанку, выгуливали, когда те немного подросли... Но вскоре пожилая соседка узнала о своре под боком и стала грозить службой по отлову собак. Девчонки непременно должны спасти щенков от жестокого мира людей: каждому найти дом и заботливого хозяина...</t>
  </si>
  <si>
    <t>9785378354078</t>
  </si>
  <si>
    <t>4d9982fd6b3ebe3b2ae1c68239b44163</t>
  </si>
  <si>
    <t>ДЕТСКИЕ ДЕТЕКТИВЫ</t>
  </si>
  <si>
    <t>СЕРИЯ: БОЛЬШАЯ КНИГА ДЕТЕКТИВОВ офсет 80гр, выб.лак 145х203</t>
  </si>
  <si>
    <t>240190</t>
  </si>
  <si>
    <t>БОЛЬШАЯ КНИГА ДЕТСКИХ ДЕТЕКТИВОВ</t>
  </si>
  <si>
    <t>978-5-378-35207-4</t>
  </si>
  <si>
    <t>Всем, всем, всем любите лям детективов! Под одной обложкой собрались три захватывающие истории: 
«Сыщики из 5 "А"» (автор А. Калинина), 
«Запутанное дело о пропаже сапфиров» (автор М. Лазаренская),
«Детективы на каникулах» (автор А. Сукгоева). 
Вас уже ждут тайны, загадки и запутанные расследования! Скорее открывайте книгу и — за дело!</t>
  </si>
  <si>
    <t>9785378352074</t>
  </si>
  <si>
    <t>Калинина Александра Николаевна,Лазаренская Майя Владимировна,Сугкоева Анастасия Михайловна</t>
  </si>
  <si>
    <t>c91928f51f5223c01f12054ff0b545cf</t>
  </si>
  <si>
    <t>145х204х18</t>
  </si>
  <si>
    <t>242293</t>
  </si>
  <si>
    <t>ЛУЧШИЕ ДЕТСКИЕ ДЕТЕКТИВЫ</t>
  </si>
  <si>
    <t>978-5-378-35283-8</t>
  </si>
  <si>
    <t>Детские детективы Этери Заболотной отличаются неожиданными поворотами сюжетов, увлекательными событиями и до конца заставляют гадать: кто же главный злодей?! Теперь у вас есть возможность получить сразу три запутанных истории под одной обложкой! В сборник вошли: «Тайна заброшенного дома», «Таинственное ограбление библиотеки» и «Дело о похищенной собаке» — финалист премии «Русский детектив» 2024 года.</t>
  </si>
  <si>
    <t>9785378352838</t>
  </si>
  <si>
    <t>Заболотная Этери Николаевна</t>
  </si>
  <si>
    <t>337086d0aa9f1978f30e505ef9d5c18e</t>
  </si>
  <si>
    <t>СЕРИЯ: ДЕТЕКТИВНЫЙ КОМИКС КБС офсет 100гр, глян.ламин. 165х240</t>
  </si>
  <si>
    <t>273278</t>
  </si>
  <si>
    <t>ДЕТЕКТИВНЫЙ КОМИКС КБС. Пункт выдачи призраков</t>
  </si>
  <si>
    <t>978-5-378-36048-2</t>
  </si>
  <si>
    <t>Всё началось с этого глупого мячика... Если бы не Рекс, им бы и в голову не пришло идти в этот заброшенный дом и искать там под вековой пылью какого-то призрака. А потом ещё и этот спор: есть призраки на самом деле или нет. И теперь, пока они не выяснят правду, меня никто не отведёт на маникюр!!!</t>
  </si>
  <si>
    <t>9785378360482</t>
  </si>
  <si>
    <t>Ефименко Кристина</t>
  </si>
  <si>
    <t>a68ab33907bc90952e998fe28ad03af3</t>
  </si>
  <si>
    <t>СЕРИЯ: ДЕТСКИЙ ДЕТЕКТИВ КБС глянц.ламин. тиснение 140х193</t>
  </si>
  <si>
    <t>278180</t>
  </si>
  <si>
    <t>ДЕТСКИЙ ДЕТЕКТИВ КБС. Кража с французским акцентом 208стр</t>
  </si>
  <si>
    <t>978-5-378-36124-3</t>
  </si>
  <si>
    <t>Во время фестиваля народного творчества из Городецкого краеведческого музея пропала старинная пряничная доска. Первой об этом узнаёт Марица Романова — журналистка местного молодёжного паблика. Она выкладывает короткий ролик, который быстро становится вирусным. В провинциальный городок съезжаются региональные и федеральные новостийщики. Но быть всего лишь поставщиком громкого информационного повода для старших коллег Марице недостаточно. К тому же девочка уверена, что видела преступника. Похоже, пришло время ей и её друзьям примерить роли
настоящих детективов.</t>
  </si>
  <si>
    <t>9785378361243</t>
  </si>
  <si>
    <t>Сулейманова Татьяна</t>
  </si>
  <si>
    <t>140х192х15</t>
  </si>
  <si>
    <t>СЕРИЯ: ДЕТСКИЙ ДЕТЕКТИВ КБС мат.ламин.выб.лак 155х210</t>
  </si>
  <si>
    <t>246468</t>
  </si>
  <si>
    <t>ДЕТСКИЙ ДЕТЕКТИВ КБС. Дело о похищенной собаке</t>
  </si>
  <si>
    <t>978-5-378-35405-4</t>
  </si>
  <si>
    <t>«Берта пропала!» — с этих слов началось одно зимнее утро братьев Севы и Миши. Думали ли мальчишки, что каникулы в деревне превратятся в новое детективное приключение?! Осталось только дождаться подруг — Тосю и Тамусю — таких же неугомонных любительниц расследований и тайн, и приниматься за дело! Похищение собаки элитной породы — казалось бы, ничего запутанного в этом событии нет. Ведь пёсика можно выгодно продать. Но нет! Секреты кроются в мелочах! Скорее открывайте книгу и вместе с её главными героями по крупицам соберите ключи к разгадке необычного похищения. Детектив будет интересен читателям 8—12 лет. А если не хочется расставаться с дружной четвёркой друзей, читайте ещё одну увлекательную историю с их участием — «Тайна заброшенного дома».</t>
  </si>
  <si>
    <t>9785378354054</t>
  </si>
  <si>
    <t>5a59e504d7a26b7dcd68bb13bfb0e163</t>
  </si>
  <si>
    <t>07.02.2025 0:00:00</t>
  </si>
  <si>
    <t>155х210х10</t>
  </si>
  <si>
    <t>256163</t>
  </si>
  <si>
    <t>ДЕТСКИЙ ДЕТЕКТИВ КБС. Загадка письма из прошлого</t>
  </si>
  <si>
    <t>978-5-378-35644-7</t>
  </si>
  <si>
    <t>Давно ли вы заглядывали в свой семейный альбом? История юной Сони поведает вам о том, как важно помнить своих предков, не хранить обид и уметь вовремя понять, что действительно важно в жизни. Целая детективная история закрутилась вокруг самой обычной семьи, а её расследованием занялись одноклассники Соня и Трофим и их верный соратник — пёс Шерлок. Клубок семейных тайн непременно будет распутан!</t>
  </si>
  <si>
    <t>9785378356447</t>
  </si>
  <si>
    <t>Заболотная Этери Николаевна,Демченкова Тамара</t>
  </si>
  <si>
    <t>e967c134af712c212a10a284a147d4a6</t>
  </si>
  <si>
    <t>153х210х8</t>
  </si>
  <si>
    <t>280166</t>
  </si>
  <si>
    <t>ДЕТСКИЙ ДЕТЕКТИВ КБС. Загадка сорванного турнира</t>
  </si>
  <si>
    <t>978-5-378-36172-4</t>
  </si>
  <si>
    <t>Слава, Клим и Бо приехали на летние каникулы к морю. Всё бы хорошо, но в местном спортивном центре происходят загадочные события. Двум лучшим пловчихам приходят анонимные записки с требованием отказаться от участия в турнире. Друзьям предстоит распутать новое сложное дело: подозреваемых слишком много, а улик — слишком мало. И зачем тренеру по плаванию парик и фальшивая борода?.. Новое расследование для неразлучной троицы. Футбол, плавание, интриги и расследование — всё, как мы любим!</t>
  </si>
  <si>
    <t>9785378361724</t>
  </si>
  <si>
    <t>Ситников Юрий</t>
  </si>
  <si>
    <t>155х210х11</t>
  </si>
  <si>
    <t>265112</t>
  </si>
  <si>
    <t>ДЕТСКИЙ ДЕТЕКТИВ КБС. Лучшие детективы для детей 352стр</t>
  </si>
  <si>
    <t>978-5-378-35875-5</t>
  </si>
  <si>
    <t>Этери Заболотная — признанный мастер детективного жанра. Книги автора пользуются популярностью и заслуженной любовью читателей. В новый сборник вошли истории, в которых уже полюбившиеся герои-детективы расследуют самые запутанные ситуации: «Тайна заброшенного дома», «Дело о похищенной собаке» — финалист премии «Русский детектив» 2024 года — и «Тайна крымского маяка». Попробуйте раскрыть каждое дело вместе с героями! Детективы — это не только чтение на досуге, но и возможность прокачать логическое мышление и умение находить причинно-следственные связи.</t>
  </si>
  <si>
    <t>9785378358755</t>
  </si>
  <si>
    <t>9bf2eb2c2815ace65b1602f91f27bfa6</t>
  </si>
  <si>
    <t>256160</t>
  </si>
  <si>
    <t>ДЕТСКИЙ ДЕТЕКТИВ КБС. Тайна крымского маяка 128стр</t>
  </si>
  <si>
    <t>978-5-378-35645-4</t>
  </si>
  <si>
    <t>Новая захватывающая история о приключениях Тоси, Тамуси, Севы и Миши! На этот раз ребята проводят летние каникулы в Крыму! Природа, море, жаркое южное солнце и… чёрные кладоискатели. Наши юные детективы подросли и изменились, но не оставили общее увлечение — пользуясь смекалкой и находчивостью, и даже рискуя жизнями, они выходят на след преступников. Это лето подарило четвёрке сыщиков ещё одно раскрытое дело, а также новых друзей и помощников: Тимошку, Наташу и овчарку Альму.
Не прощаемся:)</t>
  </si>
  <si>
    <t>9785378356454</t>
  </si>
  <si>
    <t>0d7f08a08d437d8d39e777a583d97386</t>
  </si>
  <si>
    <t>265114</t>
  </si>
  <si>
    <t>ДЕТСКИЙ ДЕТЕКТИВ КБС. Тайна пропажи футбольного кубка</t>
  </si>
  <si>
    <t>978-5-378-35876-2</t>
  </si>
  <si>
    <t>Слава, Клим и Бо — одноклассники, друзья и игроки школьной футбольной команды «Ракета». Ребята, как и все настоящие спортсмены, серьёзно относятся к ритуалам, которые проводит их тренер перед игрой. И нет ничего хуже, если в этом деле что-то идёт не так. В этот раз случилось страшное: исчез самый главный атрибут ритуала — победный кубок.
Друзья решили во что бы то ни стало распутать это ужасное преступление. Кому нужно было сломить командный дух: соперникам, завистникам из школы или… Не может быть! Книга новой серии «Детский спортивный детектив» подарит вам интригующее расследование и неожиданный финал. Вы точно удивитесь!</t>
  </si>
  <si>
    <t>9785378358762</t>
  </si>
  <si>
    <t>78accfdaafb8d0b459123d05de4f5009</t>
  </si>
  <si>
    <t>СЕРИЯ: ДЕТСКИЙ ДЕТЕКТИВ офсет 100гр, выб.лак 142х220</t>
  </si>
  <si>
    <t>216531</t>
  </si>
  <si>
    <t>ДЕТСКИЙ ДЕТЕКТИВ 144стр. СОКРОВИЩЕ ЭЙЛАНДА</t>
  </si>
  <si>
    <t>978-5-378-34454-3</t>
  </si>
  <si>
    <t>Из дворцового хранилища пропал перстень с изумрудом — символ власти правителя Эйланда Русина. А ведь всего через несколько дней принц Георг из соседнего государства прибудет свататься к старшей дочери монарха Петре. Если на Русине не будет перстня, он лишится доверия народов Союза южных королевств... Найти сокровище до приезда высоких гостей решается младшая сестра Петры Лада, а поможет ей в этом сын садовника Нильс, которого несправедливо обвинили в краже драгоценной реликвии...</t>
  </si>
  <si>
    <t>9785378344543</t>
  </si>
  <si>
    <t>Коноплястая Мария Дмитриевна</t>
  </si>
  <si>
    <t>77d82bfc78fb13486020ca01839924ff</t>
  </si>
  <si>
    <t>145х220х12</t>
  </si>
  <si>
    <t>230505</t>
  </si>
  <si>
    <t>ДЕТСКИЙ ДЕТЕКТИВ 80 стр. ПИТЕР И ЛИЛА ВЕДУТ РАССЛЕДОВАНИЕ. МОЛОЧНИК ИЗ КОРОЛЕВСКОГО СЕРВИЗА</t>
  </si>
  <si>
    <t>978-5-378-34847-3</t>
  </si>
  <si>
    <t>К мистеру Хамо в руки попадает на первый взгляд обычный молочник. Но после этого начинают происходить странные вещи: за Хамо следят, в его дом забираются неизвестные, а из буфета пропадает точно такой же молочник. Хамо решает, что всё это неспроста, и обращается за помощью к Лиле и Питеру. Детективное агентство "Черный коготь" снова в деле!</t>
  </si>
  <si>
    <t>9785378348473</t>
  </si>
  <si>
    <t>Александровская Наталья</t>
  </si>
  <si>
    <t>8131739e67c79a160370add0c70a502e</t>
  </si>
  <si>
    <t>142х220х10</t>
  </si>
  <si>
    <t>218630</t>
  </si>
  <si>
    <t>ДЕТСКИЙ ДЕТЕКТИВ 96 стр. ПИТЕР И ЛИЛА ВЕДУТ РАССЛЕДОВАНИЕ. БУЛОЧКА С КОРИЦЕЙ ДЛЯ МИСТЕРА ХАМО</t>
  </si>
  <si>
    <t>978-5-378-34569-4</t>
  </si>
  <si>
    <t>Каждый день мистера Хамо, мрачного и подозрительного соседа Питера, проходит по одному и тому же сценарию. Хамо не приглашает к себе гостей, выходит из дома только в булочную, а своим единственным другом считает газонокосилку. В один прекрасный (или ужасный) день мужчина исчезает. Вскоре после этого в городе начинают пропадать собаки мелких пород. Питер и Лила уверены: эти события как-то связаны...</t>
  </si>
  <si>
    <t>9785378345694</t>
  </si>
  <si>
    <t>cc35fabb0e79850b7272f9204080ade0</t>
  </si>
  <si>
    <t>СЕРИЯ: ДЕТСКИЙ ДЕТЕКТИВ офсет 100гр, глянц.ламин.</t>
  </si>
  <si>
    <t>199421</t>
  </si>
  <si>
    <t>ДЕТСКИЙ ДЕТЕКТИВ. Дело о похищенной собаке, 128стр</t>
  </si>
  <si>
    <t>978-5-378-34148-1</t>
  </si>
  <si>
    <t>9785378341481</t>
  </si>
  <si>
    <t>03f3cbaa5c367cf1f7d36fc3fc95d7b9</t>
  </si>
  <si>
    <t>162х216х12</t>
  </si>
  <si>
    <t>240191</t>
  </si>
  <si>
    <t>ДЕТСКИЙ ДЕТЕКТИВ. Загадка письма из прошлого, 96стр</t>
  </si>
  <si>
    <t>978-5-378-35208-1</t>
  </si>
  <si>
    <t>Давно ли вы заглядывали в свой семейный альбом? История юной Сони поведает вам о том, как важно помнить своих предков, не хранить обид и уметь вовремя понять, что действительно важно в жизни. Целая детективная история закрутилась вокруг самой обычной семьи, а её расследованием занялись одноклассники Соня и Трофим и их верный с оратник — пёс Шерлок. Клубок семейных тайн непременно будет распутан!</t>
  </si>
  <si>
    <t>9785378352081</t>
  </si>
  <si>
    <t>7b31556a94dfd1de202b0b5f86452933</t>
  </si>
  <si>
    <t>199423</t>
  </si>
  <si>
    <t>ДЕТСКИЙ ДЕТЕКТИВ. Запутанное дело о пропаже сапфиров, 128стр</t>
  </si>
  <si>
    <t>978-5-378-34147-4</t>
  </si>
  <si>
    <t>А вы бывали в «Грум Грумыче»? Нет? Тогда самое время взять своего питомца и отвести его к мастерам этого чудесного салона. Пенная ванна, стрижка — всё, что пожелает ваш четвероногий друг! Только будьте внимательны! Ненароком вы можете оказаться в гуще детективных событий, как наши герои. Ева и Никита — брат и сестра, а их мама — владелица салона красоты для животных, где и суждено было случиться необыкновенному приключению, благодаря которому ребята на время превратились в настоящих детективов и вместе с помощниками смогли разоблачить главного преступника. Детектив будет интересен читателям 8—12 лет.</t>
  </si>
  <si>
    <t>9785378341474</t>
  </si>
  <si>
    <t>Лазаренская Майя Владимировна</t>
  </si>
  <si>
    <t>5dd16ded80788ae968fd6e2ecfb21d43</t>
  </si>
  <si>
    <t>259934</t>
  </si>
  <si>
    <t>ДЕТСКИЙ ДЕТЕКТИВ. Новые приключения детектива Вени и кота Цуката, 96стр</t>
  </si>
  <si>
    <t>978-5-378-35702-4</t>
  </si>
  <si>
    <t>Полюбившиеся всем детективы Веня и Цукат продолжают распутывать самые сложные дела по горячим следам! Снова отправляемся в маленький и уютный городок. Мы узнаем, кто похитил ключ от главных городских часов, зачем по ночному городку разгуливают — у-у-у! Привидения! Детективы отыщут пропавшего из зоопарка пингвина, раскроют секрет исчезнувших булочек и многое другое! А ещё мы с вами проследим, как складываются отношения Цуката и его теперь уже настоящих друзей — Лимончика и Мурзика.</t>
  </si>
  <si>
    <t>9785378357024</t>
  </si>
  <si>
    <t>fcbce8677ebec37cfb20726973b45073</t>
  </si>
  <si>
    <t>271674</t>
  </si>
  <si>
    <t>ДЕТСКИЙ ДЕТЕКТИВ. Преступление в кленовом переулке, 128стр</t>
  </si>
  <si>
    <t>978-5-378-36025-3</t>
  </si>
  <si>
    <t xml:space="preserve">Богдан и Лиза — одноклассники и друзья, да к тому же живут в одном доме! Однажды они обнаруживают пропажу знаменитого соседа и начинают собственное расследование. Вскоре становится ясно, что писатель не просто пропал — его похитили. Оказывается, что корни преступления уходят в историю десятилетней давности… Вместе с друзьями попробуйте найти виновных, а также понять, при чём здесь австралийское племя тасов! </t>
  </si>
  <si>
    <t>9785378360253</t>
  </si>
  <si>
    <t>fd357730e0c46f243988c763396e0a3a</t>
  </si>
  <si>
    <t>170х220х11</t>
  </si>
  <si>
    <t>265791</t>
  </si>
  <si>
    <t>ДЕТСКИЙ ДЕТЕКТИВ. Преступление в скором поезде, 96стр</t>
  </si>
  <si>
    <t>978-5-378-35865-6</t>
  </si>
  <si>
    <t>Новая детективная история от Этери Заболотной! Обычная скучная поездка на поезде такой бы и осталась, если бы не преступление: настоящая кража! Расследовать дело предстоит друзьям Авдею и Мирону. Мальчишки проявляют находчивость и смелость и оказываются в эпицентре захватывающего приключения! Кто бы мог подумать, на какие хитрости способны люди ради наживы! Уважаемые пассажиры, просьба открыть книгу и устроиться поудобнее, наш поезд отправляется!</t>
  </si>
  <si>
    <t>9785378358656</t>
  </si>
  <si>
    <t>4780113a5ef90e0577bf669d30289ae6</t>
  </si>
  <si>
    <t>246560</t>
  </si>
  <si>
    <t>ДЕТСКИЙ ДЕТЕКТИВ. Приключения детектива Вени и кота Цуката, 96стр</t>
  </si>
  <si>
    <t>978-5-378-35430-6</t>
  </si>
  <si>
    <t>Маленький городок, предновогодняя суета, жители готовятся к самому яркому празднику года. Казалось бы, что может омрачить это чудесное время? Конечно же, мелкие и неприятные происшествия: то у единственного на всю округу доктора велосипед украли, то главная ёлочная звезда исчезла, то день города чуть не сорвался из-за пропажи торта! Но опытный сыщик Веня и его помощник кот Цукат умело раскрывают даже самые запутанные преступления! Открывайте скорее книгу и попробуйте отыскать злодеев вместе с героями!</t>
  </si>
  <si>
    <t>9785378354306</t>
  </si>
  <si>
    <t>a1e126e8bdea517ee78c3c1b7e6a90d1</t>
  </si>
  <si>
    <t>13.12.2024 0:00:00</t>
  </si>
  <si>
    <t>199424</t>
  </si>
  <si>
    <t>ДЕТСКИЙ ДЕТЕКТИВ. Сыщики из 5"А", 128стр</t>
  </si>
  <si>
    <t>978-5-378-34146-7</t>
  </si>
  <si>
    <t>Чем обычные дети занимаются в школе? Скучают на уроках, носятся по коридорам, иногда дерутся или придумывают розыгрыши для учителей. Только не в школе молодого креативного директора Павла Петровича! Тут не заскучаешь: то директорский ноут пропал, то динозавр исчез! Ага, не вымер даже, а просто исчез, как будто и не бывало. То учебники стали делать какие-то неправильные, и порядочным ученикам приходится искать виновных в этом безобразии. Вот так увлекательно проходят школьные дни
юных «Спасателей школы» — Егора, Кости, Милы, Ани и Ильи. Динамичный детектив с оригинальным сюжетом, сдобренный ноткой юмора, наверняка придётся по душе читателям 8—12 лет.</t>
  </si>
  <si>
    <t>9785378341467</t>
  </si>
  <si>
    <t>Калинина Александра Николаевна</t>
  </si>
  <si>
    <t>976d03514108fe7aae7a691776c1f822</t>
  </si>
  <si>
    <t>220575</t>
  </si>
  <si>
    <t>ДЕТСКИЙ ДЕТЕКТИВ. Таинственное ограбление библиотеки, 128стр</t>
  </si>
  <si>
    <t>978-5-378-34580-9</t>
  </si>
  <si>
    <t>Кто бы мог подумать, что в 21 веке преступникам придёт в голову грабить библиотеку?! Что там взять-то вообще, особенно летом? Книги? Ахах, не смешите! Это я так раньше думал. Но не всё так просто, это вы в Курликах не были. Тут знаете какие библиотеки бывают! Я Женя, будем знакомы. Мы с друзьями — Олей, Павликом и Стёпкой — совсем недавно закончили расследовать одно громкое библиотечное дело. Что, снова смешно? Да, представьте себе, и в библиотеке случаются громкие дела! Открывайте скорее книгу, расскажу всё в подробностях!</t>
  </si>
  <si>
    <t>9785378345809</t>
  </si>
  <si>
    <t>a3171b8b10ec6ab0a58086578d3f5b3c</t>
  </si>
  <si>
    <t>238789</t>
  </si>
  <si>
    <t>ДЕТСКИЙ ДЕТЕКТИВ. Тайна капсулы времени, 128стр</t>
  </si>
  <si>
    <t>978-5-378-35157-2</t>
  </si>
  <si>
    <t>Корысть — не лучшее качество человека и до добра не доводит. В этом навсегда убедились некоторые участники нашей детективной истории — люди, объединённые одним городом, одними событиями и даже одним подъездом обыкновенной «панельки». Чужие тайны, шантаж, преступления: всё это встретится вам во время чтения. Прочитав книгу, постарайтесь сделать так, чтобы научиться на чужих ошибках и не натворить собственных…</t>
  </si>
  <si>
    <t>9785378351572</t>
  </si>
  <si>
    <t>Хотимченко Константин Анатольевич</t>
  </si>
  <si>
    <t>57e036fd3170f8c04de4dccd2f83a1d9</t>
  </si>
  <si>
    <t>249528</t>
  </si>
  <si>
    <t>ДЕТСКИЙ ДЕТЕКТИВ. Тайна крымского маяка, 128стр</t>
  </si>
  <si>
    <t>978-5-378-35510-5</t>
  </si>
  <si>
    <t>9785378355105</t>
  </si>
  <si>
    <t>257df69b1e1a500dd38dc239b9cd955a</t>
  </si>
  <si>
    <t>280163</t>
  </si>
  <si>
    <t>ДЕТСКИЙ ДЕТЕКТИВ. Тайна старой конюшни 128стр</t>
  </si>
  <si>
    <t xml:space="preserve">978-5-378-36171-7 </t>
  </si>
  <si>
    <t>Кто заплетает гривы лошадям и при чём здесь призрак на белом коне? Сева, Миша, Тамуся и Тося снова проводят лето вместе в любимой Грачёвке. И без дела, конечно, не сидят: у нового знакомого Коли на конюшне творится что-то странное. Кто-то проникает в запертое помещение, заплетает лошадям косички, а однаж ды чуть не сжигает стог сена. Местный фермер уверен: это проделки призрака девушки, которая много лет назад погибла при пожаре. Но ребята не верят в легенды. У них есть версия, камера наблюдения и желание докопаться до истины. Вот только кто-то очень не хочет, чтобы тайна раскрылась... Новое запутанное дело для четвёрки друзей!</t>
  </si>
  <si>
    <t>9785378361717</t>
  </si>
  <si>
    <t>280162</t>
  </si>
  <si>
    <t>ДЕТСКИЙ ДЕТЕКТИВ. Тайны балетной школы 144стр</t>
  </si>
  <si>
    <t>978-5-378-36156-4</t>
  </si>
  <si>
    <t>В балетной школе — ЧП!
У Лиды пропали счастливые пуанты, костюм Марины измазан зелёнкой, а Лена пострадала из-за рассыпанного на ступеньках бисера… Есть опасения, что неизвест ный старается сорвать отчётный концерт! Но зачем? Подружки-ба лерины — Лида и Кристина — принимаются за расследование! А помогает им забавный пухляш Марик. Юных сыщиков ждут слежки, подозрения, тайники на чердаке и другие увлекательные приключения с привкусом опасности!</t>
  </si>
  <si>
    <t>9785378361564</t>
  </si>
  <si>
    <t>СЕРИЯ: ДЕТСКИЙ ДЕТЕКТИВ офсет 80гр, глянц.ламин</t>
  </si>
  <si>
    <t>253349</t>
  </si>
  <si>
    <t>ДЕТСКИЙ ДЕТЕКТИВ 145x203. Дело о котокафе. Следствие ведёт Хулиган</t>
  </si>
  <si>
    <t>978-5-378-35586-0</t>
  </si>
  <si>
    <t>Месяц назад на оживлённой городской набережной открылось котокафе «Чай и обнимашки». С тех пор от желающих провести свободное время с милыми пушистиками не было отбоя. Но вдруг вокруг питомцев и их уютного дома стали разворачиваться тревожные события... Кому-то явно мешают «Чай и обнимашки», и этот кто-то не остановится ни перед чем. Раскрыть преступника поможет... Хулиган, невероятно шустрая и сообразительная морская свинка.</t>
  </si>
  <si>
    <t>9785378355860</t>
  </si>
  <si>
    <t>Алымова Ирина</t>
  </si>
  <si>
    <t>2b5dcdbd7f5b9ccd92150b3177656ae2</t>
  </si>
  <si>
    <t>144x204x12</t>
  </si>
  <si>
    <t>278181</t>
  </si>
  <si>
    <t>ДЕТСКИЙ ДЕТЕКТИВ 145x203. Добро пожаловать отсюда! 144стр</t>
  </si>
  <si>
    <t>978-5-378-36105-2</t>
  </si>
  <si>
    <t>Однажды в мегаполисе появляются огромные билборды: «Добро пожаловать отсюда!». Частный интернат для благовоспитанных детей». Несколько «Счастливчиков» проходят строгий отбор, и их отвозят к заброшенной водонапорной башне посреди дремучего леса. Здесь они будут жить и учиться...ругаться, строить рожи, хулиганить, устраивать друг другу и учителям пакости. Вдумайтесь только, чего стоят названия предметов: страховедение, злография, сквернословие и гадоматика!</t>
  </si>
  <si>
    <t>9785378361052</t>
  </si>
  <si>
    <t>Никольская Анна</t>
  </si>
  <si>
    <t>879cb86b6713cfa606d7f7050b7e2d90</t>
  </si>
  <si>
    <t>145x204x13</t>
  </si>
  <si>
    <t>223828</t>
  </si>
  <si>
    <t>ДЕТСКИЙ ДЕТЕКТИВ 145x203. Загадка пропавшей капибары, 80стр</t>
  </si>
  <si>
    <t>978-5-378-34646-2</t>
  </si>
  <si>
    <t>В одном маленьком городке жилось совсем скучно. Никакие события давно не нарушали его спокойные, как гладь лесного озера, будни. Но что это? Повсюду вдруг появились яркие афиши с приглашением в местный зоопарк, куда накануне завезли диковинного зверя — капибару. Только в назначенный день никакой карипары... бакирабы...пикарабы... ой, капибары... не оказалось. Куда пропал экзотический гость? Где его искать? За дело берутся одноклассники Марик и Алиса, в помощники им вызывается маленький сын участкового Славик. Только никто из этой троицы не знает, как выглядит загадочное животное... Итак, приключения начинаются!</t>
  </si>
  <si>
    <t>9785378346462</t>
  </si>
  <si>
    <t>9edbe475c4e70171a8ff988609eb7fe5</t>
  </si>
  <si>
    <t>150x204x7</t>
  </si>
  <si>
    <t>246472</t>
  </si>
  <si>
    <t>ДЕТСКИЙ ДЕТЕКТИВ 145x203. Кража в лыжной школе, 192стр</t>
  </si>
  <si>
    <t>978-5-378-35429-0</t>
  </si>
  <si>
    <t>Луиза и Ферди отправляются на каникулы в лыжную школу. Но в первую же ночь у Ферди, прошлогоднего чемпиона, пропадает одна лыжа. Как быть? Детективное агентство «Ф-Лу» берётся за дело! Под подозрением оказываются многие, а тут ещё сами сыщики ссорятся в пух и прах. И до соревнования остаются считанные дни. Удастся ли вернуть лыжу и при чём здесь огромный пингвин, разгуливающий ночью на лыжном склоне?</t>
  </si>
  <si>
    <t>9785378354290</t>
  </si>
  <si>
    <t>Моркина Татьяна</t>
  </si>
  <si>
    <t>ea2356bb37d02420fa2fcb3d8c034e40</t>
  </si>
  <si>
    <t>146x204x17</t>
  </si>
  <si>
    <t>271669</t>
  </si>
  <si>
    <t>ДЕТСКИЙ ДЕТЕКТИВ 145x203. Кража с французским акцентом</t>
  </si>
  <si>
    <t>978-5-378-36014-7</t>
  </si>
  <si>
    <t>Во время фестиваля народного творчества из Городецкого краеведческого музея пропала старинная пряничная доска. Первой об этом узнаёт Марица Романова — журналистка местного молодёжного паблика. Она выкладывает короткий ролик, который быстро становится вирусным. В провинциальный городок съезжаются региональные новостийщики. Но быть всего лишь поставщиком громкого информационного повода для старших коллег Марице недостаточно. К тому же девочка уверена, что видела преступника. Похоже, пришло время ей и её друзьям примерить роли настоящих детективов.</t>
  </si>
  <si>
    <t>9785378360147</t>
  </si>
  <si>
    <t>75a26f5baa71116b079cc283f7f55633</t>
  </si>
  <si>
    <t>145х203х16</t>
  </si>
  <si>
    <t>253347</t>
  </si>
  <si>
    <t>ДЕТСКИЙ ДЕТЕКТИВ 145x203. Первоклассное похищение, или Тайна школьного шкафа</t>
  </si>
  <si>
    <t>978-5-378-35570-9</t>
  </si>
  <si>
    <t>Загадочное происшествие в первом «А». Женька Шилов и Мишка Смирнов замечают, что с уроков внезапно пропал их друг. Всё ясно: Сашку Доброва похитили!</t>
  </si>
  <si>
    <t>9785378355709</t>
  </si>
  <si>
    <t>ef899b34cf13018cf9702edfd704792b</t>
  </si>
  <si>
    <t>144х204х8</t>
  </si>
  <si>
    <t>281701</t>
  </si>
  <si>
    <t>ДЕТСКИЙ ДЕТЕКТИВ 145x203. Расследование в прямом эфире. Тайна шеф-повара 160стр</t>
  </si>
  <si>
    <t>978-5-378-36177-9</t>
  </si>
  <si>
    <t>Во время съёмок кулинарного телешоу шеф-повар Валентино получает пугающие анонимки. Но неизвестный не только на словах угрожает знаменитому итальянцу. Вскоре он переходит к решительным действиям...</t>
  </si>
  <si>
    <t>9785378361779</t>
  </si>
  <si>
    <t>144x203x13</t>
  </si>
  <si>
    <t>256221</t>
  </si>
  <si>
    <t>ДЕТСКИЙ ДЕТЕКТИВ 145x203. Тайна пропавшего пианино</t>
  </si>
  <si>
    <t>978-5-378-35624-9</t>
  </si>
  <si>
    <t>Однажды в актовом зале школы номер 58 при загадочных обстоятельствах пропало старинное пианино. Что же делать? Можно поручить расследование экспериментальной пятёрке пятиклассников. И это будет правильное решение. Ребята смогут определить номер машины, зашифрованный в стихотворении, вычислят фамилию преподавателя по фальшивому звучанию нот и догадаются, что на вора указывает белый клён.</t>
  </si>
  <si>
    <t>9785378356249</t>
  </si>
  <si>
    <t>Лаптёнок Екатерина</t>
  </si>
  <si>
    <t>59fa2e389645df49b67c589822f68095</t>
  </si>
  <si>
    <t>246473</t>
  </si>
  <si>
    <t>ДЕТСКИЙ ДЕТЕКТИВ 145x203. Тайна фрака Борьки Березкина</t>
  </si>
  <si>
    <t>978-5-378-35428-3</t>
  </si>
  <si>
    <t>Триумф, который должен был ознаменовать актёрский дебют школьника Бориса Берёзкина, не состоялся. Недоумение учителей и смех одноклассников заполнили актовый зал, едва герой вышел на сцену. Чёрный, как сажа, фрак на «повелителе чистоты и порядка»? Вот это оплошность! Но ведь костюм должен быть белым! Мальчик сам сшил себе его для этой роли. Когда он переодевался перед
спектаклем, неожиданно погас свет — обнаружить подмену и предотвратить позор не было никакой возможности. Всё ясно: Борьку подставили! Но кто преступник? Чтобы докопаться до истины, школьник проведёт настоящее расследование, итог которого станет неожиданным для всех посвящённых в это запутанное дело.</t>
  </si>
  <si>
    <t>9785378354283</t>
  </si>
  <si>
    <t>Леонтьева Лилианна</t>
  </si>
  <si>
    <t>135f4b95ac0041b9c832a73401fdd6f8</t>
  </si>
  <si>
    <t>223829</t>
  </si>
  <si>
    <t>ДЕТСКИЙ ДЕТЕКТИВ 150x204. Дело об опустевшем гнезде</t>
  </si>
  <si>
    <t>978-5-378-34670-7</t>
  </si>
  <si>
    <t>КАР-Р-РАУЛ ! УКАР-Р-РЛИ! Да-да, вы не ослышались! В благополучный, залитый солнцем и полуденной негой лес негаданно пришла беда. У несчастной вороны из гнезда украли яйца, её невылупившихся птенчиков. Под подозрением... все: сорока, дятел, галка, кукушка! Но кто настоящий злодей? И зачем ему воронье потомство? Найти преступника и пропажу вызывается профессионал сыска, летучий мышонок Кишмиш, а также его сухопутный сородич Пип. И детективы, кажется, уже взяли след...</t>
  </si>
  <si>
    <t>9785378346707</t>
  </si>
  <si>
    <t>fb41a0490043c444e6c14bb514614409</t>
  </si>
  <si>
    <t>150х204х7</t>
  </si>
  <si>
    <t>СЕРИЯ: ДЕТСКИЙ ДЕТЕКТИВ С КОМИКСОМ офсет 80гр, мат.ламин. тиснение 145х203</t>
  </si>
  <si>
    <t>258291</t>
  </si>
  <si>
    <t>ДЕТСКИЙ ДЕТЕКТИВ С КОМИКСОМ. Светка Королёва и три мушкетёра. Мыс рока</t>
  </si>
  <si>
    <t>978-5-378-35657-7</t>
  </si>
  <si>
    <t>В детском лагере «Чайка» на черноморском побережье приключения обеспечены даже в межсезонье. Платон Сомов, прибывший в короткую смену вместе со своей спортшколой, случайно обнаружил в роще неизвестного зверька. Но откуда он взялся и что с ним теперь делать? Похоже, без помощи друзей, с которыми он отдыхал здесь летом, не обойтись. Светке Королёвой и её мушкетёрам вновь предстоит непростое дело. Чтобы его распутать, ребятам придётся продумывать шаги наперёд, хитрить и... рисковать жизнью.</t>
  </si>
  <si>
    <t>9785378356577</t>
  </si>
  <si>
    <t>Хотеева Анна</t>
  </si>
  <si>
    <t>700957a3ae3691f8bd494587a44e34d6</t>
  </si>
  <si>
    <t>265807</t>
  </si>
  <si>
    <t>ДЕТСКИЙ ДЕТЕКТИВ С КОМИКСОМ. Светка Королёва и три мушкетёра. Призрак старого маяка</t>
  </si>
  <si>
    <t>978-5-378-35893-9</t>
  </si>
  <si>
    <t>Детский лагерь «Чайка», недавно возобновивший работу после долгих лет запустения, опять под угрозой закрытия. Лакомый кусочек земли на черноморском побережье не даёт покоя известному воротиле бизнеса, который желает построить здесь очередной отель. В этом сезоне Борис Рубцов добился запрета на купание, что, по его задумке, должно вынудить детей вернуться домой раньше срока и оставить разгромные отзывы. Чтобы спасти репутацию «Чайки» (или просто от вселенской скуки), Алик Виноградов предлагает завести канал о жизни лагеря. Но где взять взрывной контент? Наудачу неожиданно возникает «призрак» на маяке... На этот раз Света Королёва и её мушкетёры раскроют одну из загадок морской истории.</t>
  </si>
  <si>
    <t>9785378358939</t>
  </si>
  <si>
    <t>4e5b13f4dccf052e7eaebc1cbcd2f1c3</t>
  </si>
  <si>
    <t>249512</t>
  </si>
  <si>
    <t>ДЕТСКИЙ ДЕТЕКТИВ С КОМИКСОМ. Светка Королёва и три мушкетёра. Проклятое место</t>
  </si>
  <si>
    <t>978-5-378-35484-9</t>
  </si>
  <si>
    <t>Бывший пионерский лагерь «Чайка» на черноморском побережье после долгих лет запустения представляет собой совершенно унылое зрелище, но новый директор полон решимости его возродить. Несмотря на то, что в первую смену удаётся привлечь не так
много ребят, скучать им точно не придётся. Светке Королёвой и троим её друзьям предстоит вычислить преступников, которые похитили золотые украшения скифов, обнаруженные археологами недалеко от лагеря.</t>
  </si>
  <si>
    <t>9785378354849</t>
  </si>
  <si>
    <t>188d24825c29f7a11ddeabd2f8062cf5</t>
  </si>
  <si>
    <t>СЕРИЯ: ДЕТСКИЙ КУЛИНАРНЫЙ ДЕТЕКТИВ офсет 100гр, глянц.ламин 145х203</t>
  </si>
  <si>
    <t>261442</t>
  </si>
  <si>
    <t>ДЕТСКИЙ КУЛИНАРНЫЙ ДЕТЕКТИВ. Секретный ингредиент бабушкиных эклеров</t>
  </si>
  <si>
    <t>978-5-378-35770-3</t>
  </si>
  <si>
    <t>Бабушкины эклеры всегда необыкновенно вкусные, а ещё... волшебные. Откусив хотя бы маленький кусочек, люди перестают хмуриться, ругаться, жаловаться. Вмиг забывают о болезнях и неприятностях. Без сомнения, всё дело в секретном ингредиенте, который бережно хранится в старой жестяной банке, для надёжности запертой в деревянной шкатулке. Всего маленькая щепотка – и быть чудесам! Но однажды, после дня рождения внука Валентина, шкатулка пропала. Есть главный подозреваемый, но, по правилам расследования, нужно проверить всех гостей...</t>
  </si>
  <si>
    <t>9785378357703</t>
  </si>
  <si>
    <t>b6b26ff62b9d642c0f3ab76fde6c34dc</t>
  </si>
  <si>
    <t>143х203х12</t>
  </si>
  <si>
    <t>СЕРИЯ: ДЕТСКИЙ СКАЗОЧНЫЙ ДЕТЕКТИВ офсет 100гр, глянц.ламин 145х203</t>
  </si>
  <si>
    <t>261433</t>
  </si>
  <si>
    <t>ДЕТСКИЙ СКАЗОЧНЫЙ ДЕТЕКТИВ. Дело №1. Кот без сапог</t>
  </si>
  <si>
    <t>978-5-378-35774-1</t>
  </si>
  <si>
    <t>Далеко-далеко, среди книжных страниц затерялся волшебный вход в необыкновенную страну Чудляндию. Именно там живут любимые герои сказок, у которых вечно что-нибудь случается. И, представьте себе, в удивительной Чудляндии нет своих сыщиков. А именно сегодня у Кота в сапогах кто-то украл самое ценное — сапоги! Караул! Безобразие! Спасите-помогите! И кто же отыщет пропажу, кто спасёт сказку? Конечно, Лёля и Коля, которые любят читать, умеют отгадывать загадки и обожают распутывать сложные головоломки.
Весёлая интерактивная история для поклонников детских детективов и любителей интересных развивающих заданий. Отправляйтесь в Чудляндию — скучно не будет!</t>
  </si>
  <si>
    <t>9785378357741</t>
  </si>
  <si>
    <t>b75bb6b0094da2128cd828b6575398d1</t>
  </si>
  <si>
    <t>144х202х6</t>
  </si>
  <si>
    <t>261434</t>
  </si>
  <si>
    <t>ДЕТСКИЙ СКАЗОЧНЫЙ ДЕТЕКТИВ. Дело №2. Исчезновение метлы</t>
  </si>
  <si>
    <t>978-5-378-35775-8</t>
  </si>
  <si>
    <t>Юных сыщиков Лёлю и Колю ждёт новое необыкновенное приключение в волшебной Чудляндии — стране оживших сказок. У вредной Бабы-яги пропала метла, а без метлы никак нельзя — беда будет! В этом запутанном деле замешаны обиженная Кикимора, огнедышащий Змей Горыныч и ужасный Кощей. Интерактивный детектив с настоящим лабиринтом, драгоценной головоломкой и магическим пазлом. Только пройдя этот сказочный квест вместе с маленькими сыщиками, вы сможете отыскать пропажу и узнаете, смогли ли Лёля и Коля вернуться домой. Вперёд, через таинственный лес, по шляпкам мухоморов, верхом на крылатом лифте — к разгадке новой тайны!</t>
  </si>
  <si>
    <t>9785378357758</t>
  </si>
  <si>
    <t>fbd25034bc857b1f27895c6246bfd471</t>
  </si>
  <si>
    <t>264361</t>
  </si>
  <si>
    <t>ДЕТСКИЙ СКАЗОЧНЫЙ ДЕТЕКТИВ. Дело №3. Загадочное похищение</t>
  </si>
  <si>
    <t>978-5-378-35851-9</t>
  </si>
  <si>
    <t>Караул! Пропала Дюймовочка! Под подозрением все: волк, жаба с кротом и даже гномы. Кто же из них настоящий похититель? Получится ли вернуть пропажу, или её уже кто-то съел? Новое, уморительно смешное и увлекательно невероятное расследование Лёли и Коли в сказочной Чудляндии. Участвуй в интерактивном детективе, попробуй разгадать ребус от Зубной феи и волшебные загадки, разберись в уликах вместе с маленькими сыщиками и помоги распутать все тайны. Чудляндия ждёт — открывай книгу и отправляйся в новое приключение!</t>
  </si>
  <si>
    <t>9785378358519</t>
  </si>
  <si>
    <t>cbc77e3aacb1cfb97f2348ea612aa1e2</t>
  </si>
  <si>
    <t>264362</t>
  </si>
  <si>
    <t>ДЕТСКИЙ СКАЗОЧНЫЙ ДЕТЕКТИВ. Дело №4. Помогите! Караул!</t>
  </si>
  <si>
    <t>978-5-378-35852-6</t>
  </si>
  <si>
    <t>У сказочных детективов новое дело — в семье медведей пропал Мишутка. Сбежал! А по дороге прихватил у Бабы-яги одну волшебную вещь. Какую? А вот секрет! Спасут ли маленькие сыщики косолапого потеряшку? При чём тут гуси-лебеди и Конёк-горбунок? Какие улики скрывают три поросёнка? Интерактивная сказка-детектив с развивающими заданиями и забавным сюжетом для любителей загадок и головоломок. Увлекательное приключение с любимыми сказочными персонажами — скорее вперёд, к разгадке тайны!</t>
  </si>
  <si>
    <t>9785378358526</t>
  </si>
  <si>
    <t>1be0d2eea66f3d15dd4e8b0c58b6c2d6</t>
  </si>
  <si>
    <t>274661</t>
  </si>
  <si>
    <t>ДЕТСКИЙ СКАЗОЧНЫЙ ДЕТЕКТИВ. Дело №5. Преступление века</t>
  </si>
  <si>
    <t>978-5-378-36085-7</t>
  </si>
  <si>
    <t>Ну и дела творятся в Чудляндии! Василиса Прекрасная рыдает, солнце померкло – беда! Сказочные детективы, Лёля и Коля, отправляются на поиски похищенной Жар-птицы. Кто же замешан в преступлении: мачехины дочки или Емеля? А у Емели-то печка пропала! Ну и расследование – сплошные головоломки. И это вы ещё не знаете про ведьму из пряничного домика и Водяного! В новом интерактивном детективе волшебство, тайны и загадки с подвохом да на смекалку. Сказка – ложь… а в ней печёная жаба!</t>
  </si>
  <si>
    <t>9785378360857</t>
  </si>
  <si>
    <t>ce83c625a61c8e779c5a1258a1d8a9f4</t>
  </si>
  <si>
    <t>274663</t>
  </si>
  <si>
    <t>ДЕТСКИЙ СКАЗОЧНЫЙ ДЕТЕКТИВ. Дело №6. Шок - исчез горшок!</t>
  </si>
  <si>
    <t>978-5-378-36086-4</t>
  </si>
  <si>
    <t>Чудляндия полна сюрпризов и неожиданностей! В этой сказочной стране вечно что-то случается. Вот и сегодня куда-то пропал волшебный горшочек. На выручку героям сказок снова приходят юные сыщики – Лёля и Коля. Поможет ли им настоящий дракон, получится ли у малышей разгадать новые загадки и разобраться с тайной Лепрекона? А вдруг в краже замешан Карлик Нос? Всё выглядит крайне подозрительно, и снова на пути расследования встают головоломки и загадки. Весёлый интерактивный детектив-сказка для любителей поломать голову над сложными задачками.</t>
  </si>
  <si>
    <t>9785378360864</t>
  </si>
  <si>
    <t>6451356d2d1c34c2a8e9d5c523d6347b</t>
  </si>
  <si>
    <t>282672</t>
  </si>
  <si>
    <t>ДЕТСКИЙ СКАЗОЧНЫЙ ДЕТЕКТИВ. Дело №7. Спасение Русалочки</t>
  </si>
  <si>
    <t>978-5-378-36248-6</t>
  </si>
  <si>
    <t>В новом расследовании Лёле и Коле предстоит разобраться с похищением… голоса! Сказочные улики и невероятные версии только сильнее запутывают. Под подозрением все! А тут ещё у Джека кто-то украл волшебные бобы. Придётся разгадывать хитроумные загадки кота Баюна и Морского царя, разбираться с волшебным великаном и просить помощи у Принцессы на горошине. Уф-ф-ф… Смешной интерактивный детектив с развивающими заданиями, головоломками и непредсказуемым финалом.</t>
  </si>
  <si>
    <t>9785378362486</t>
  </si>
  <si>
    <t>Гурина Ирина</t>
  </si>
  <si>
    <t>282673</t>
  </si>
  <si>
    <t>ДЕТСКИЙ СКАЗОЧНЫЙ ДЕТЕКТИВ. Дело №8. Все пропало!</t>
  </si>
  <si>
    <t>978-5-378-36249-3</t>
  </si>
  <si>
    <t>Сказочных детективов ждёт очередное приключение. На этот раз пропала не только Рапунцель, но и целая башня, в которой она сидела. Маленькой разбойнице срочно нужна помощь Лёли и Коли. Юных сыщиков ждут увлекательные головоломки и весёлое расследование. Бременские музыканты, Маленький Мук, магическое огниво, гадкий утёнок и сказочная ведьма — кто из них преступник, а кто свидетель? Какую роль в истории сыграют тухлая вкуснятина и сторожевая коза? Скорее открывайте новый интерактивный детектив и распутывайте захватывающее дело с Лёлей и Колей!</t>
  </si>
  <si>
    <t>9785378362493</t>
  </si>
  <si>
    <t>СЕРИЯ: МИСТИЧЕСКИЙ ДЕТСКИЙ ДЕТЕКТИВ офсет 80гр, глянц.ламин. 145х203</t>
  </si>
  <si>
    <t>248060</t>
  </si>
  <si>
    <t>МИСТИЧЕСКИЙ ДЕТСКИЙ ДЕТЕКТИВ. Чёрные нити, или Тайна подземного перехода</t>
  </si>
  <si>
    <t>978-5-378-35440-5</t>
  </si>
  <si>
    <t>Это взрослые считают, что поездка на море — верх блаженства. А если ты едешь в скучный санаторий в окрестностях сочи с бабушкой, как Кира? Или торчишь в номере из-за ссоры с отцом, как Матвей? Но всё меняется, когда дети знакомятся с огромным лохматым псом и загадочной девушкой в старинном платье: дверь в другой мир, драконы, роскошные фруктовые сады и суровые воины из позапрошлого века сделают эти каникулы незабываемыми! Вот только смогут ли обычные мальчик и девочка распутать магические чёрные нити и вернуться домой?</t>
  </si>
  <si>
    <t>9785378354405</t>
  </si>
  <si>
    <t>c531f4ecfae99abbb41f25774f509cad</t>
  </si>
  <si>
    <t>145х204х10</t>
  </si>
  <si>
    <t>СЕРИЯ: МОЙ ПЕРВЫЙ ДЕТСКИЙ ДЕТЕКТИВ офсет 80гр, глянц.ламин 145х203</t>
  </si>
  <si>
    <t>281700</t>
  </si>
  <si>
    <t>МОИ ПЕРВЫЕ ДЕТСКИЕ ДЕТЕКТИВЫ  глянц.ламин, 170х220 352стр</t>
  </si>
  <si>
    <t>978-5-378-36218-9</t>
  </si>
  <si>
    <t>Пять детективных историй, благодаря которым маленькие читатели полюбят этот увлекательный жанр!</t>
  </si>
  <si>
    <t>9785378362189</t>
  </si>
  <si>
    <t>Русинова Евгения Александровна,Сулейманова Татьяна,Голенко Маргарита Сергеевна,Хворост Александра Юрьевна</t>
  </si>
  <si>
    <t>170х220х27</t>
  </si>
  <si>
    <t>270080</t>
  </si>
  <si>
    <t>МОЙ ПЕРВЫЙ ДЕТСКИЙ ДЕТЕКТИВ. Детектив Гусинка и лесной секрет</t>
  </si>
  <si>
    <t>978-5-378-35988-2</t>
  </si>
  <si>
    <t>Гусинка Груша мечтает стать напарницей детектива дятла Дуболома и расследовать запутанные преступления. Она ищет способ доказать, на что способна. На её удачу объявляется паук Эриксон, который утверждает, что у его подруги Ёлочки украли... стихотворение. Гусинка берётся за это странное дело. Но как можно похитить то, что нельзя потрогать?</t>
  </si>
  <si>
    <t>9785378359882</t>
  </si>
  <si>
    <t>3e4777402a9bf344a712eb64a48c2d95</t>
  </si>
  <si>
    <t>145х203х6</t>
  </si>
  <si>
    <t>273315</t>
  </si>
  <si>
    <t>МОЙ ПЕРВЫЙ ДЕТСКИЙ ДЕТЕКТИВ. Детектив Омар. Дело о пропавших пятнышках</t>
  </si>
  <si>
    <t>978-5-378-36031-4</t>
  </si>
  <si>
    <t>Накануне коронации принцесса божья коровка Летиция обнаружила, что у неё пропали все пятнышки, а без них она не сможет унаследовать трон. Распутать это дело берётся детектив комар Омар, за которым прочно закрепилась репутация первоклассного сыщика.</t>
  </si>
  <si>
    <t>9785378360314</t>
  </si>
  <si>
    <t>12dc2608c6e0c82d03e0ad486be3b16a</t>
  </si>
  <si>
    <t>143Х203х7</t>
  </si>
  <si>
    <t>ДЕТСКИЕ СТРАШИЛКИ</t>
  </si>
  <si>
    <t>СЕРИЯ: ДЕТСКИЕ СТРАШИЛКИ глянц.ламин, офсет, 203х257</t>
  </si>
  <si>
    <t>258289</t>
  </si>
  <si>
    <t>ДЕТСКИЕ СТРАШИЛКИ. Очень ж-ж-жуткое путешествие. Пять дорожных страшилок</t>
  </si>
  <si>
    <t>978-5-378-35670-6</t>
  </si>
  <si>
    <t>По дороге на школьную экскурсию можно спать или глазеть в окно автобуса. Но лучше рассказывать страшилки! Ребята из 3 «А» решили проверить, у кого крепче нервы. Откуда взялась училка-зомби? Кто прячется в длинном тёмном коридоре поликлиники? Когда приходит оборотень в подгузнике? Что случилось с челюстью детского стоматолога? Как не попасть в трамвай из потустороннего мира? В этой книге пять ж-ж-жутких историй для тех, кто не хочет скучать в пути.</t>
  </si>
  <si>
    <t>9785378356706</t>
  </si>
  <si>
    <t>0f4ca79ff4f8208ed03c49be381be4c3</t>
  </si>
  <si>
    <t>203х253х8</t>
  </si>
  <si>
    <t>СЕРИЯ: ДЕТСКИЕ УЖАСТИКИ КБС мат.ламин, выб.лак 165х212</t>
  </si>
  <si>
    <t>258273</t>
  </si>
  <si>
    <t>ДЕТСКИЕ УЖАСТИКИ КБС. САМЫЕ ЖУТКИЕ СТРАШИЛКИ</t>
  </si>
  <si>
    <t xml:space="preserve">978-5-378-35680-5 </t>
  </si>
  <si>
    <t>В этот ужжжасный сборник вошли шокирующие и интригующие рассказы от К. Хотимченко и Е. Яшиной — современных молодёжных писателей. Сначала вы отправитесь в летний лагерь — прогулки на свежем воздухе, зарядка, вкусная еда, новые друзья… Только почему-то этот лагерь зовут жутким… А затем предлагаем вам познакомиться с говорящей куклой, мальчиком-призраком, милой вампиршей и другими интересными персонажами. Будет интересно, точно-точно!</t>
  </si>
  <si>
    <t>9785378356805</t>
  </si>
  <si>
    <t>Яшина Екатерина,Хотимченко Константин Анатольевич</t>
  </si>
  <si>
    <t>7486de088abbe45265457c25f955b7ef</t>
  </si>
  <si>
    <t>выборочный лак</t>
  </si>
  <si>
    <t>165х210х12</t>
  </si>
  <si>
    <t>243739</t>
  </si>
  <si>
    <t>ДЕТСКИЕ УЖАСТИКИ КБС. САМЫЕ СТРАШНЫЕ УЖАСТИКИ</t>
  </si>
  <si>
    <t>978-5-378-35327-9</t>
  </si>
  <si>
    <t xml:space="preserve">Сборник включил в себя рассказы двух классных авторов, которые очень любят пугать, шокировать, удивлять и всячески мурашить юных читателей. Что вас ждёт: интригующие истории с неожиданным финалом, острые ощущения, семейные тайны, тихая ночь на ферме и многое другое. Скорее открывайте страшно красивую обложку,
внутри много интересного! </t>
  </si>
  <si>
    <t>9785378353279</t>
  </si>
  <si>
    <t>Егоров Александр, Яшина Екатерина</t>
  </si>
  <si>
    <t>52cffe9f52e57b11bcd55c6b9d505b92</t>
  </si>
  <si>
    <t xml:space="preserve">СЕРИЯ: ДЕТСКИЕ УЖАСТИКИ офсет, глянц.ламин. </t>
  </si>
  <si>
    <t>229435</t>
  </si>
  <si>
    <t>ДЕТСКИЕ УЖАСТИКИ. ВСЕМ СПАТЬ. СТРАШНЫХ СНОВ</t>
  </si>
  <si>
    <t>978-5-378-34753-7</t>
  </si>
  <si>
    <t>В книгу вошли пять жутковатых и леденящих душу историй –
специально для юных душ, ищущих острых ощущений. По-новому для вас заиграет история Синей Бороды. Вы узнаете, какими иногда могут оказаться милые бабушки. Получите чёткую инструкцию, как стать неузнаваемым для всех. А также вспомните историю и ненадолго окунётесь в жизнь интересной семьи, хранящей тайну одного рождения. Рекомендуется читать под одеялом с фонариком и обязательно мурашиться!</t>
  </si>
  <si>
    <t>9785378347537</t>
  </si>
  <si>
    <t>e6166cdf465d7637bc035c2b0e76e346</t>
  </si>
  <si>
    <t>153x218x8</t>
  </si>
  <si>
    <t>251723</t>
  </si>
  <si>
    <t>ДЕТСКИЕ УЖАСТИКИ. ЖУТКИЕ БАЙКИ ЛЕТНЕГО ЛАГЕРЯ</t>
  </si>
  <si>
    <t>978-5-378-35545-7</t>
  </si>
  <si>
    <t>Невозможно просто отдохнуть в летнем лагере и не привезти оттуда пару-тройку страшных историй! Вот и наши новые знакомые — Миша, Алёна, Ренат и Оля — в первую же ночь их лагерной смены решили пощекотать нервы жуткими байками, скрывшись от вожатых в старом сарае. Пять страшилок, рассказанных в сарае, и закончившиеся в фонариках батарейки сделали своё дело — друзья сполна «насладились» мурашками, таинственными ночными звуками за стенами хлипкой постройки и выволочкой от застукавшего их вожатого. С приходом нового дня настала обычная лагерная жизнь с зарядками и обедом по расписанию. Если бы не одно «но»: где та девочка, что рассказала пятую историю?..</t>
  </si>
  <si>
    <t>9785378355457</t>
  </si>
  <si>
    <t>Яшина Екатерина</t>
  </si>
  <si>
    <t>3a71794fdc7c619b11693b31d0f2c74e</t>
  </si>
  <si>
    <t>263124</t>
  </si>
  <si>
    <t>ДЕТСКИЕ УЖАСТИКИ. КОШКИН ДОМ</t>
  </si>
  <si>
    <t>978-5-378-35799-4</t>
  </si>
  <si>
    <t>Когда подросток проводит каникулы в деревне у бабушки с флейтой в обнимку, это навевает тоску, не так ли? Но в нашей деревне что-то пошло не так, и летний отдых обернулся для Анатолия сущим кошмаром, скучать точно никому не пришлось. История о первой симпатии, обернувшейся трагедией. О милых кошках, в телах которых живут совсем не кошки. О колдовстве, обиде, поглощающем страхе и… дружбе или возмездии? Почитаем — узнаем!</t>
  </si>
  <si>
    <t>9785378357994</t>
  </si>
  <si>
    <t>Зимова Анна Сергеевна</t>
  </si>
  <si>
    <t>683e7d6fc9960cff360c24c452ae93e8</t>
  </si>
  <si>
    <t>170х221х10</t>
  </si>
  <si>
    <t>267381</t>
  </si>
  <si>
    <t>ДЕТСКИЕ УЖАСТИКИ. КОШМАРЫ ИЗ НЕЙРОСЕТИ</t>
  </si>
  <si>
    <t>978-5-378-35916-5</t>
  </si>
  <si>
    <t>Искусственный интеллект способен сильно облегчить жизнь, и это так круто — уметь управлять им и использовать в своих целях. А что, если однажды ИИ выйдет из-под контроля? В книге мы собрали несколько историй о том, как нейросети способны внедриться в жизнь и немного её изменить. Наши герои на собственных примерах узнали, что, прежде всего, нужно подумать головой, а потом уже что-то сгенерировать, и поняли, что за каждый поступок придётся нести ответственность. Читайте и помните: в каждой шутке всегда есть лишь доля шутки…</t>
  </si>
  <si>
    <t>9785378359165</t>
  </si>
  <si>
    <t>56ef9e19d3924b49c5cf6267f94f83ae</t>
  </si>
  <si>
    <t>246457</t>
  </si>
  <si>
    <t>ДЕТСКИЕ УЖАСТИКИ. МУЗЕЙ ИГРУШЕК ДОКТОРА ШМИДТА</t>
  </si>
  <si>
    <t>978-5-378-35422-1</t>
  </si>
  <si>
    <t>Игрушки — добрые спутники каждого ребёнка, с ними не соскучишься! Но во что они могут превратиться, оказавшись в руках злого взрослого? И точно ли это игрушки — присмотритесь внимательнее… Маша — слишком гордая, по мнению одноклассников. У неё нет друзей, поэтому время она проводит с любимым котом и новой, очень необычной куклой. Нет, с виду кукла самая обыкновенная, только есть один секрет. А какой — узнаете, прочитав книгу. Или не узнаете. Читать-то страшно!</t>
  </si>
  <si>
    <t>9785378354221</t>
  </si>
  <si>
    <t>b2c202eca2e8214105094420be80e713</t>
  </si>
  <si>
    <t>230327</t>
  </si>
  <si>
    <t>ДЕТСКИЕ УЖАСТИКИ. НА НОЧЬ НЕ ЧИТАТЬ!</t>
  </si>
  <si>
    <t>978-5-378-34813-8</t>
  </si>
  <si>
    <t>Любите ли вы книги настолько, что готовы стать очередной главой одной из них? «Чёртова книга» не оставит вам времени для размышлений… Сборник ужастиков «На ночь не читать!» включает три рассказа. Помимо знакомства с «Чёртовой книгой» вы побываете в необычной и жутковатой лавке антиквара, а также проведёте время в тихом месте на ферме. Правда, не факт, что сможете оттуда вернуться. Автор книги — Екатерина Яшина — журналист и писатель. Жанр ужастиков любит с детства, а ещё обожает заброшенные здания — они вдохновляют на идеи новых страшилок для детей.</t>
  </si>
  <si>
    <t>9785378348138</t>
  </si>
  <si>
    <t>f40369d240fa15b86d70aae7c3e9be17</t>
  </si>
  <si>
    <t>170х220x8</t>
  </si>
  <si>
    <t>233197</t>
  </si>
  <si>
    <t>ДЕТСКИЕ УЖАСТИКИ. НЕ СМОТРИ В ГЛАЗОК</t>
  </si>
  <si>
    <t>978-5-378-34903-6</t>
  </si>
  <si>
    <t>В жизни очень важно, чтобы тебя кто-то понимал. Не поверите, но и в смерти тоже. Не медлите, открывайте книгу и скорее знакомьтесь с нашими героями — Тимом и Олегом! Обычные парни с разными интересами, которые никогда в жизни не стали бы друзьями или добрыми приятелями, если бы не одно но. Леденящая в прямом смысле слова история уже ждёт, когда вы её прочитаете! Автор книги — Анна Зимова — работает в самых разных жанрах, но признаётся, что побаивается сочинять ужастики. Потому что «напугать читателя в сто раз труднее, чем рассмешить». А вот за сюжетами далеко ходить не приходится. Иногда достаточно глянуть в дверной глазок в подходящий момент. Точнее, неподходящий...</t>
  </si>
  <si>
    <t>9785378349036</t>
  </si>
  <si>
    <t>c162944e9128abd14f45c256f4271b4c</t>
  </si>
  <si>
    <t>221024</t>
  </si>
  <si>
    <t>ДЕТСКИЕ УЖАСТИКИ. СТРРРАШНЫЕ РАССКАЗЫ</t>
  </si>
  <si>
    <t>978-5-378-34594-6</t>
  </si>
  <si>
    <t>Привет вам, любители пощекотать нервишки! Перед вами сборник из 13 коротких рассказов, которые могут и напугать, и рассмешить и заставить задуматься… Тут вас ждут вампиры и неприкаянные души, чёрные коты и таинственные пришельцы, истории про привидения и проклятые зеркала, притчи про исполнения желаний, страшилки про мёртвый космос и даже магические куклы. Набрались смелости? Тогда открывайте книгу! Бу!</t>
  </si>
  <si>
    <t>9785378345946</t>
  </si>
  <si>
    <t>0675642a374e9e09e1e3d3d1b35dd84c</t>
  </si>
  <si>
    <t>СЕРИЯ: СТРАШИЛКИ ДЛЯ ДЕТЕЙ офсет, 145х220</t>
  </si>
  <si>
    <t>208611</t>
  </si>
  <si>
    <t xml:space="preserve">13 СТРАШНЫХ ИСТОРИЙ мат.ламин. офсет </t>
  </si>
  <si>
    <t>978-5-378-34375-1</t>
  </si>
  <si>
    <t>Любишь пощекотать нервы? Тогда скорей открывай эту книгу - сборник жутких рассказов, от которых холодеют руки и бросает в дрожь! Со слов героев, все истории - чистая правда, но кто знает, может, страшилки - это небылицы ребят, которые соревнуются между собой в фантазии и выдумке?</t>
  </si>
  <si>
    <t>9785378343751</t>
  </si>
  <si>
    <t>Назарова Лариса Геннадьевна,Григорьев Константин</t>
  </si>
  <si>
    <t>e5e0c7eca3eec77adcb11d3b3a3e4c6c</t>
  </si>
  <si>
    <t>245127</t>
  </si>
  <si>
    <t>ЕДВА НАСТУПИТ НОЧЬ глянц.ламин, офсет</t>
  </si>
  <si>
    <t>978-5-378-35330-9</t>
  </si>
  <si>
    <t>Пятеро друзей решают проверить байку о таинственной ведьме, проживающей в их городке, заказав у неё волшебный пирог. Шутка кажется друзьям совершенно безобидной, но всё изменится, едва наступит ночь…</t>
  </si>
  <si>
    <t>9785378353309</t>
  </si>
  <si>
    <t>ffaa5e5f59d725c95f3559209a7f6d4c</t>
  </si>
  <si>
    <t>145x205x11</t>
  </si>
  <si>
    <t>251806</t>
  </si>
  <si>
    <t>ЛУЧШИЕ СТРАШНЫЕ ИСТОРИИ ДЛЯ ДЕТЕЙ глянц.ламин, офсет</t>
  </si>
  <si>
    <t>978-5-378-35550-1</t>
  </si>
  <si>
    <t>Хочешь проверить характер и нервы на прочность? Скорей открывай эту книгу - сборник жутких историй, подслушанных в больнице, городском дворе и мрачной заброшке в лесу.</t>
  </si>
  <si>
    <t>9785378355501</t>
  </si>
  <si>
    <t>a74756eb95b1a5b407856069a7757036</t>
  </si>
  <si>
    <t>145x203x20</t>
  </si>
  <si>
    <t>240169</t>
  </si>
  <si>
    <t>СТРАШНЫЕ ИСТОРИИ ИЗ ЗАБРОШКИ 144стр</t>
  </si>
  <si>
    <t>978-5-378-35204-3</t>
  </si>
  <si>
    <t>МРАЧНАЯ ЗАБРОШКА В ЛЕСУ ОКУТАНА ОРЕОЛОМ ТАИНСТВЕННОСТИ И ЖУТИ. ТОЛЬКО НАСТОЯЩИЕ СМЕЛЬЧАКИ РИСКНУТ ПРИБЛИЗИТЬСЯ К НЕЙ И ДАЖЕ ПЕРЕСТУПИТЬ ПОРОГ. НО ЧТО ДЕЛАТЬ, ЕСЛИ ВДРУГ ЗАХЛОПНУЛАСЬ ДВЕРЬ? КАК СПАСТИСЬ? ИСКАТЬ СПОСОБ ВЫБРАТЬСЯ... РАССКАЗЫВАЯ СТРАШИЛКИ. ДОЧИТАЙ ДО КОНЦА, И УЗНАЕШЬ, ЧТО СЛУЧИЛОСЬ С ТРЕМЯ ОДНОКЛАССНИКАМИ, ПРОНИКШИМИ В ДОМ БЕЗ ПРИГЛАШЕНИЯ...</t>
  </si>
  <si>
    <t>9785378352043</t>
  </si>
  <si>
    <t>Назарова Лариса Геннадьевна</t>
  </si>
  <si>
    <t>28f9826daea124556170e8779f72a1a4</t>
  </si>
  <si>
    <t>226079</t>
  </si>
  <si>
    <t>СТРАШНЫЕ ИСТОРИИ НАШЕГО ДВОРА мат.ламин. офсет, 96стр</t>
  </si>
  <si>
    <t>978-5-378-34691-2</t>
  </si>
  <si>
    <t>Хорошо тем, кого летом повезли на море. Или, например, отправили в лагерь. Но чем заняться, если все каникулы предстоит провести в городе? Конечно, рассказывать страшилки! Тем более, что можно самому выбрать концовку. Жуткую до дрожи для бывалых или легкую для новичков? Давай же, принимай решение!</t>
  </si>
  <si>
    <t>9785378346912</t>
  </si>
  <si>
    <t>5e6a0f56429b22e4be2ec65b31cf6f66</t>
  </si>
  <si>
    <t>145х220х10</t>
  </si>
  <si>
    <t>КНИГИ ДЛЯ ПОДРОСТКОВ глянц.ламин, офсет КБС 140х195</t>
  </si>
  <si>
    <t>278123</t>
  </si>
  <si>
    <t>КНИГИ ДЛЯ ПОДРОСТКОВ КБС. Дом в тумане 176стр.</t>
  </si>
  <si>
    <t>978-5-378-36123-6</t>
  </si>
  <si>
    <t>Туманной ночью на болоте за неспешной Кряквиной из трясины рождается чёрный от сырости дом. От окна к окну переплывает тусклый огонёк, будто там кто-то бродит и наблюдает за живыми, засидевшимися на берегу реки. Одних манит, других отвращает...
Но это не имеет значения: следующая жертва уже выбрана, и ей не удастся избежать своего пути через трясину...</t>
  </si>
  <si>
    <t>9785378361236</t>
  </si>
  <si>
    <t>Мельникова Мария</t>
  </si>
  <si>
    <t>140х193х15</t>
  </si>
  <si>
    <t>278124</t>
  </si>
  <si>
    <t>КНИГИ ДЛЯ ПОДРОСТКОВ КБС. Соседи - куклы 160стр.</t>
  </si>
  <si>
    <t>978-5-378-36127-4</t>
  </si>
  <si>
    <t>Заброшенная, почти пропавшая деревня старается жить, как может... Свидетелями её тайны становятся пятеро друзей, зашедших туда по случаю. На картах отмечено, что Чернополье давно перестало существовать. Но это же не значит, что там никто не живёт и нет магазина!
Это страшное путешествие в мир, где совсем нет зла. Где древнюю легенду рассказывают как тайну, потому что она западает слишком глубоко в душу.
Это история нескольких подростков, но ответ на их вопрос многие взрослые пытаются найти всю жизнь.</t>
  </si>
  <si>
    <t>9785378361274</t>
  </si>
  <si>
    <t>140х193х13</t>
  </si>
  <si>
    <t>280137</t>
  </si>
  <si>
    <t>КНИГИ ДЛЯ ПОДРОСТКОВ. КБС. Лёд наших сердец 140х195</t>
  </si>
  <si>
    <t>978-5-378-36148-9</t>
  </si>
  <si>
    <t>У них нет ничего общего, кроме льда. Она поклялась, что больше никогда не станет встречаться с хоккеистом, он решительно против фигуристок. Так уж вышло, что Тане и Тимуру придётся делать вид, что они вместе, притворяться, играть в любовь. Каждый думает, что этот спектакль ничего не значит, но настоящие чувства растопят лёд их сердец.</t>
  </si>
  <si>
    <t>9785378361489</t>
  </si>
  <si>
    <t>Иви Тару</t>
  </si>
  <si>
    <t>КНИГИ ДЛЯ ПОДРОСТКОВ офсет 145х203</t>
  </si>
  <si>
    <t>256215</t>
  </si>
  <si>
    <t>ГОРОД, КОТОРЫЙ ОБНИМАЕТ РЕКА глянц.ламин, офсет 145х203</t>
  </si>
  <si>
    <t>978-5-378-35629-4</t>
  </si>
  <si>
    <t>Решайся: где твой берег? После смерти мамы и бабушки шестнадцатилетняя Соня вынуждена переехать из Москвы в Быстроводск к отцу и мачехе. В маленьком городке, отрезанном от внешнего мира рекой, творится что-то странное. Старинные легенды и пророческие портреты, загадочная гостья из прошлого и местная ясновидящая... Кажется, здесь всё пропитано мистикой. Но порой бояться стоит не сверхъестественных сил, а обычного человека, живущего по соседству. Девушку терзают плохие предчувствия, появляются вещие сны и видения… Сбежать обратно в большой город, где всё просто и понятно, или остаться здесь и помочь тем, кто так нуждается в её помощи? Как не сойти с ума и сделать правильный выбор?</t>
  </si>
  <si>
    <t>9785378356294</t>
  </si>
  <si>
    <t>Бычкова Юлия</t>
  </si>
  <si>
    <t>4fbf7198c99b8bb38d211c347df7a384</t>
  </si>
  <si>
    <t>145х203х24</t>
  </si>
  <si>
    <t>274650</t>
  </si>
  <si>
    <t>ДЕВА И ВОРОН обл. тиснение серебро, офсет 145х203</t>
  </si>
  <si>
    <t>978-5-378-36074-1</t>
  </si>
  <si>
    <t>«Книга «Дева и Ворон» — это отличный вариант городского фэнтези с яркой любовной линией «от ненависти до любви» и тропом «это всегда была ты». Герои Кассиопея и Кирилл вместе проходят свой путь через мир, полный оборотней и легенд, загадок и тайн, и увлекают нас последовать за ними». Мария Манич, писатель</t>
  </si>
  <si>
    <t>9785378360741</t>
  </si>
  <si>
    <t>ba552cb51259243054c6e0bca1efcfdc</t>
  </si>
  <si>
    <t>145х203х20</t>
  </si>
  <si>
    <t>248097</t>
  </si>
  <si>
    <t>ДОМ В ТУМАНЕ глянц.ламин, офсет 145х203</t>
  </si>
  <si>
    <t>978-5-378-35435-1</t>
  </si>
  <si>
    <t>Туманной ночью на болоте за неспешной Кряквиной из трясины рождается чёрный от сырости дом. От окна к окну переплывает тусклый огонёк, будто там кто-то бродит и наблюдает за живыми, засидевшимися на берегу реки. Одних манит, других отвращает... Но это не имеет значения: следующая жертва уже выбрана, и ей не удастся избежать своего пути через трясину...</t>
  </si>
  <si>
    <t>9785378354351</t>
  </si>
  <si>
    <t>Мельникова Мария Александровна</t>
  </si>
  <si>
    <t>b92de9f147ece3afc573d53bfb8b8c43</t>
  </si>
  <si>
    <t>281680</t>
  </si>
  <si>
    <t>ЗВЁЗДАМ ВОПРЕКИ мат.ламин, выбор.лак, офсет 145х203</t>
  </si>
  <si>
    <t>978-5-378-36245-5</t>
  </si>
  <si>
    <t>По воле Звёзд в стране Бессмертия должен родиться король. Но в предречённый час на свет появляются шестеро младенцев. Пятнадцать лет спустя служители Звёзд собирают их в Школе Преемников, чтобы они доказали, кто достоин быть истинным правителем... Три девочки, три парня — борьба за трон обещает быть яростной, к тому же служители сеют между ними рознь. Вот только земная девчонка Тана, шестая принцесса, ищет друзей, а не врагов. Да и Звёздам, лишившим её родительского тепла, она не верит. На пути выбора между дружбой и короной ребят ждут опасные приключения, первые чувства и тайны прошлого. Кто победит в этой игре?</t>
  </si>
  <si>
    <t>9785378362455</t>
  </si>
  <si>
    <t>Живиль Богун</t>
  </si>
  <si>
    <t>251782</t>
  </si>
  <si>
    <t>ИГРОМАГИЯ. ПАРТИЯ ДЖОКЕРА глянц.ламин, офсет 145х203</t>
  </si>
  <si>
    <t>978-5-378-35542-6</t>
  </si>
  <si>
    <t>«Меня зовут Кир. Мне пятнадцать лет, и у меня непростые отношения с отцом. Обычная история, если бы не то, во что она вылилась. Когда я оказался на первом острове, думал, что угодил в реалити-шоу. Куда там! Теперь я точно знаю: мир, в котором мы живём, не единственный на нашей планете. И он создан не для того, чтобы помогать и поддерживать. Порой даже объявляются люди, готовые уничтожить тебя. Я бы мог заблудиться и навсегда застрять в одном из миров, если бы не мой друг. И да — она не совсем человек». Эта книга о детях, которые рано повзрослели, о родителях, которые не выросли, о том, что всё не настолько очевидно, как представляется на первый взгляд. Кем окажутся те, кто меняет своё обличие, словно джокер? Сможет ли герой противостоять тем, кто втянул его в опасную игру?</t>
  </si>
  <si>
    <t>9785378355426</t>
  </si>
  <si>
    <t>Косолапкина Надежда Сергеевна,Макаренко Елена Викторовна</t>
  </si>
  <si>
    <t>bb7d4866774a23a05a8e9c188b7e0149</t>
  </si>
  <si>
    <t>248096</t>
  </si>
  <si>
    <t>ИСЧЕЗАЮЩИЕ глянц.ламин, офсет 145х203</t>
  </si>
  <si>
    <t>978-5-378-35438-2</t>
  </si>
  <si>
    <t>Они пропадали из школы один за другим, будто испарялись в напряжённом, искрящемся от волнения воздухе, преодолевая все преграды. На парте оставались учебники, тетради, пеналы. В брошенных рюкзаках – телефоны. В раздевалке – одежда. Подростки уходили в промозглую осень, не оглядываясь, налегке, не взяв с собой ничего из прежней жизни. Не задумываясь о том, что выйдя за обережный круг привычных маршрутов, становятся лёгкой добычей...</t>
  </si>
  <si>
    <t>9785378354382</t>
  </si>
  <si>
    <t>c7c17cf183e381c60b82d0126052caa6</t>
  </si>
  <si>
    <t>281725</t>
  </si>
  <si>
    <t>ЛУЧШИЙ ПОДАРОК НА НОВЫЙ ГОД мат.ламин, выбор.лак, офсет 145х203</t>
  </si>
  <si>
    <t>978-5-378-36201-1</t>
  </si>
  <si>
    <t>Нина Фитина поступила на юридический факультет в престижный московский вуз. Казалось бы, вот она – увлекательная студенческая жизнь, новые друзья, первая любовь... Но всё получается совсем не так, как мечталось вчерашней школьнице. Она знакомится со старшекурсником Валерой, парнем «не из своей лиги» – слишком крутым и красивым для неё, а единственная «подруга» Саша, тайно влюблённая в Валеру, сплетничает о девушке у неё за спиной. Нина решает меньше думать и о красавчике, и о предательнице-подруге, ведь впереди настоящий бал, уже почти готово прекрасное платье, которое и станет лучшим подарком на Новый год! Или нет?..</t>
  </si>
  <si>
    <t>9785378362011</t>
  </si>
  <si>
    <t>Заугольная Оксана Олеговна</t>
  </si>
  <si>
    <t>ddb6a54e5ef358acedddf055aa17aff8</t>
  </si>
  <si>
    <t>145х203х27</t>
  </si>
  <si>
    <t>274988</t>
  </si>
  <si>
    <t>НЕ СТУЧИСЬ В МОЮ ДВЕРЬ обл. тисн, выб.лак, офсет 145х203</t>
  </si>
  <si>
    <t>978-5-378-36089-5</t>
  </si>
  <si>
    <t>В сборник вошли два хоррора. Их герои – подростки с разными судьбами и интересами. Всех объединяет одно: связь с чем-то потусторонним, шокирующим, неизведанным, но с чем необходимо разобраться во что бы то ни стало.</t>
  </si>
  <si>
    <t>9785378360895</t>
  </si>
  <si>
    <t>4153aad96c58fd37fd0ddb183015b77e</t>
  </si>
  <si>
    <t>268551</t>
  </si>
  <si>
    <t>НЕВЕСОМАЯ глянц.ламин, офсет 145х203</t>
  </si>
  <si>
    <t>978-5-378-35958-5</t>
  </si>
  <si>
    <t>Пятнадцатилетняя Аля из провинциального городка получает приглашение в элитную Академию балета. Это сказка, мечта, сон... Или кошмар? Академия полна сквозняков, скрипов, тайн и странных правил, которые ни в коем случае нельзя нарушать. Иначе придётся иметь дело с чем-то пострашнее учительского гнева.</t>
  </si>
  <si>
    <t>9785378359585</t>
  </si>
  <si>
    <t>Онищенко Полина</t>
  </si>
  <si>
    <t>d3b1c5b69caae58c5eaee7d56d809b12</t>
  </si>
  <si>
    <t>145х203х23</t>
  </si>
  <si>
    <t>270075</t>
  </si>
  <si>
    <t>НЕЖНОЕ ЛЕТО ПЕРВОЙ ЛЮБВИ глянц.ламин, офсет 145х203</t>
  </si>
  <si>
    <t>978-5-378-35989-9</t>
  </si>
  <si>
    <t>Лера только что окончила школу, но печальное событие заставляет её пропустить выпускной и уехать в деревню спасать бабушку от тоски.
Однако скучать девушке не придётся, ведь впереди ждёт встреча с другом детства, первые чувства и первые разочарования, семейные секреты, а ещё забавные и опасные приключения. Что принесёт это лето с шумом пшеничных колосьев, ароматом французских булок и вкусом дикой лесной смородины?</t>
  </si>
  <si>
    <t>9785378359899</t>
  </si>
  <si>
    <t>Крынкина Наталья</t>
  </si>
  <si>
    <t>95597a0c9a1f15bc59a7ac04a3282189</t>
  </si>
  <si>
    <t>145х203х22</t>
  </si>
  <si>
    <t>265805</t>
  </si>
  <si>
    <t>ПРИТЯЖЕНИЕ ЛЬДА глянц.ламин, офсет 145х203</t>
  </si>
  <si>
    <t>978-5-378-35905-9</t>
  </si>
  <si>
    <t>У них нет ничего общего, кроме льда. Она поклялась, что больше никогда не станет встречаться с хоккеистом, он решительно против фигуристок. Так уж вышло, что Тане и Тимуру придётся делать вид, что они вместе, притворяться, играть в любовь. Каждый думает, что этот розыгрыш ничего не значит, но нет ничего сильнее притяжения льда.</t>
  </si>
  <si>
    <t>9785378359059</t>
  </si>
  <si>
    <t>e5d4ae3f8f99c42986e31bedb1f6421f</t>
  </si>
  <si>
    <t>260222</t>
  </si>
  <si>
    <t>СОСЕДИ - КУКЛЫ глянц.ламин, офсет 145х203</t>
  </si>
  <si>
    <t>978-5-378-35707-9</t>
  </si>
  <si>
    <t>Заброшенная, почти пропавшая деревня старается жить как может... Свидетелями её тайны становятся пятеро друзей, зашедших туда по случаю. На картах отмечено, что Чернополье давно перестало существовать. Но это же не значит, что там совсем никто не живёт и нет магазина! Это страшное путешествие в мир, где совсем нет зла. Где древнюю легенду рассказывают как тайну, потому что она западает слишком глубоко в душу. Это история нескольких подростков, но ответ на их вопрос многие взрослые пытаются найти всю жизнь.</t>
  </si>
  <si>
    <t>9785378357079</t>
  </si>
  <si>
    <t>9e7ef88bf60e0aab3f9b910465130f14</t>
  </si>
  <si>
    <t>251781</t>
  </si>
  <si>
    <t>ТЕ, КОГО НЕТ глянц.ламин, офсет 145х203</t>
  </si>
  <si>
    <t>978-5-378-35563-1</t>
  </si>
  <si>
    <t>Что, если «избранность» — не самоцель? Что, если «избранный» — всего лишь объект жестокой охоты? Лике Тураевой семнадцать, и она умеет менять внешность. Нет, не так, как это делают артисты, гримируясь и вживаясь в роль, — Лика меняет личины. Пугающая забава едва не стоила ей здоровья в детстве, а в юношестве может забрать жизнь. Не только её, но и десятков таких же, как она, ведь жизнь каждого из них — клубок тайн и древних загадок. Прекрасно написанная приключенческая история, погружаясь в которую, вы не угадаете, по какому сценарию пойдёт сюжет на следующем головокружительном повороте. Верность и подлинная дружба против коварства и предательства, всепоглощающее чувство справедливости и любви — вот, что вы найдёте на страницах этой замечательной истории Иви Тару.</t>
  </si>
  <si>
    <t>9785378355631</t>
  </si>
  <si>
    <t>73d0105ed0233e652c0810bca60882a6</t>
  </si>
  <si>
    <t>145х203х30</t>
  </si>
  <si>
    <t>281726</t>
  </si>
  <si>
    <t>ТЕНЬ РЯДОМ СО МНОЙ тиснение серебро, глянц.ламин, офсет 145х203</t>
  </si>
  <si>
    <t>978-5-378-36158-8</t>
  </si>
  <si>
    <t>Моё сердце всегда принадлежало ему. И в детстве, когда он был робким нескладным мальчишкой, и спустя годы, когда возмужал и стал чемпионом по боям без правил. Спрятав безответную любовь в глубине души, я оставалась верной подругой и, как тень, неизменно была рядом с ним. Но что, если у меня тоже есть тень? Она притаилась в темноте и сделает всё, чтобы увлечь меня в бездну...</t>
  </si>
  <si>
    <t>9785378361588</t>
  </si>
  <si>
    <t>Шеина Кира</t>
  </si>
  <si>
    <t>144х203х22</t>
  </si>
  <si>
    <t>270085</t>
  </si>
  <si>
    <t>ФЕНИКС ДЛЯ ЛИЗЫ глянц.ламин, офсет 145х203</t>
  </si>
  <si>
    <t>978-5-378-35965-3</t>
  </si>
  <si>
    <t>Вы любите сюрпризы под Новый год? Надеетесь получить что-то эдакое? Ждёте? Лиза ждала! И получила незабываемый подарок! К сожалению, совсем не тот, что хотела. Академия верховой езды в её планы не то что не входила, Лиза даже не подозревала о существовании таких школ. И, конечно, будь её воля, не поехала бы туда ни под каким предлогом. Не подозревала Лиза и о грядущих переменах, справиться с которыми ей помогут Феникс, лучший конь академии, и новые друзья.</t>
  </si>
  <si>
    <t>9785378359653</t>
  </si>
  <si>
    <t>Антипина Анна</t>
  </si>
  <si>
    <t>8a89e89d48b15936d57e79053a6f19fa</t>
  </si>
  <si>
    <t>КНИГИ О ВЕЛИКОЙ ОТЕЧЕСТВЕННОЙ ВОЙНЕ глянц.ламин, офсет</t>
  </si>
  <si>
    <t>206378</t>
  </si>
  <si>
    <t>БЛОКАДНЫЙ ТАНЕЦ ЛЕНИНГРАДА глянц.ламин. офсет 143х218</t>
  </si>
  <si>
    <t>978-5-378-34313-3</t>
  </si>
  <si>
    <t>Блокада Ленинграда- одна из самых скорбных страниц в истории нашей страны. Почти 900 дней враг нещадно обстреливал окружённый город, лишив его продовольственного снабжения. Более миллиона людей погибли от пуль и осколков, голода и болезней. Их трагедия навеки будет жить в нашей памяти, став символом стойкости и героизма для всех поколений потомков... Эта художественная книга, в которой описаны реальные события, повествует о непростом пути юной ученицы хореографического училища. Даша наравне со взрослыми переживала тяготы блокады и терпела лишения. Но несмотря на ужасы войны и травмы, девочка пронесла любовь к танцу через всю жизнь и смогла осуществить заветную мечту - она стала балериной!</t>
  </si>
  <si>
    <t>9785378343133</t>
  </si>
  <si>
    <t>Сьюзи Литтл</t>
  </si>
  <si>
    <t>d90c17021b837d1179ded8329784fed8</t>
  </si>
  <si>
    <t>143х218х11</t>
  </si>
  <si>
    <t>251805</t>
  </si>
  <si>
    <t>ВЕЛИКАЯ ОТЕЧЕСТВЕННАЯ ВОЙНА (ПОВЕСТИ) глянц.ламин, 145х203</t>
  </si>
  <si>
    <t>978-5-378-35528-0</t>
  </si>
  <si>
    <t>В сборнике представлены три повести о людях, переживших самую кровопролитную войну в истории нашей страны, сумевших выстоять против могущественного врага и победить.</t>
  </si>
  <si>
    <t>9785378355280</t>
  </si>
  <si>
    <t>Сьюзи Литтл,Назарова Лариса Геннадьевна,Григорьев Константин</t>
  </si>
  <si>
    <t>1935c4235861fa24d2f1b74c09713de7</t>
  </si>
  <si>
    <t>143х203х9</t>
  </si>
  <si>
    <t>246430</t>
  </si>
  <si>
    <t>МЫ ПОБЕДИМ, ВЕРА!  глянц.ламин, 145х203</t>
  </si>
  <si>
    <t>978-5-378-35427-6</t>
  </si>
  <si>
    <t>Маленькая Вера проснулась от шума и беготни. Она слезла с постели, укрыла одеялом игрушечного зайца и вышла к столу, за которым сидел мрачный отец и самые старшие братья.  Мама достала из печи глиняный горшок, поставила на стол и всхлипнула. Девочка испугалась: что случилось?
– Война началась...
В основу повести Ларисы Назаровой легла подлинная история одной семьи, пережившей все тяготы войны и оккупации. Автор со слов своей бабушки, главной героини, щедро и точно делится с читателем неподдельным ужасом, болью, страхом за близких... и верой, что победа непременно будет за нами.</t>
  </si>
  <si>
    <t>9785378354276</t>
  </si>
  <si>
    <t>4e308b31d9140f5e6850e73ffe696180</t>
  </si>
  <si>
    <t>246429</t>
  </si>
  <si>
    <t>Я УШЁЛ НА ВОЙНУ глянц.ламин, 145х203</t>
  </si>
  <si>
    <t>978-5-378-35426-9</t>
  </si>
  <si>
    <t>История, рассказанная в этой книге Константином Григорьевым, основана на реальных событиях. Образ юного танкиста, главного героя повести, был списан с родного дяди автора — Юрия Ивановича Ветрова. Совсем мальчишкой он оказался на фронте, принимал участие в Сталинградской битве, сражался под Курском, освобождал Будапешт и Прагу. Другой дядя писателя — Сергей Васильевич Локтев — стал прообразом умирающего от туберкулёза моряка. Юнга Северного флота, он в 1941 году напросился в экипаж торпедного катера. А зимой упал в ледяную воду, из-за чего всю войну тяжело проболел. Но дал слово, что доживёт до победы. И сдержал его. Лишь 9 мая 1945 года, прослушав объявление Левитана о безоговорочной капитуляции Германии, разрешил себе уйти. Железные были люди...</t>
  </si>
  <si>
    <t>9785378354269</t>
  </si>
  <si>
    <t>Григорьев Константин</t>
  </si>
  <si>
    <t>82f0ec9769e3e82ad2b9d96e18545a19</t>
  </si>
  <si>
    <t>КУЛИНАРНЫЕ КНИГИ ДЛЯ ДЕТЕЙ</t>
  </si>
  <si>
    <t>СЕРИЯ: КНИГА РЕЦЕПТОВ мат.ламин, выб.лак, 204х257</t>
  </si>
  <si>
    <t>251749</t>
  </si>
  <si>
    <t>КНИГА РЕЦЕПТОВ. КАК В КОРЕЙСКИХ ДОРАМАХ</t>
  </si>
  <si>
    <t>978-5-378-35546-4</t>
  </si>
  <si>
    <t>Любой поклонник Азии знает, сколько внимания уделяется еде в манге, аниме и дорамах: каждое блюдо представляет собой произведение искусства, пробуждая аппетит и желание повторить кулинарный шедевр. Приготовтесь погрузиться в мир азиатской гастрономии, открывая горизонты вкуса.</t>
  </si>
  <si>
    <t>9785378355464</t>
  </si>
  <si>
    <t>d82d8a5ea88d6102151fc198c2ecf1f3</t>
  </si>
  <si>
    <t>203x257x7</t>
  </si>
  <si>
    <t>251748</t>
  </si>
  <si>
    <t>КНИГА РЕЦЕПТОВ. КАК В ЯПОНСКОМ АНИМЕ</t>
  </si>
  <si>
    <t>978-5-378-35547-1</t>
  </si>
  <si>
    <t>9785378355471</t>
  </si>
  <si>
    <t>15dd28d42bd1f712d06dbe7eabedeb40</t>
  </si>
  <si>
    <t>ПОДАРОЧНЫЕ КНИГИ</t>
  </si>
  <si>
    <t>110591</t>
  </si>
  <si>
    <t>А.Волков. ВОЛШЕБНИК ИЗУМРУДНОГО ГОРОДА мат.ламин.,выбор.лак, тиснение 170х215</t>
  </si>
  <si>
    <t>978-5-378-29290-5</t>
  </si>
  <si>
    <t>Новая серия книг познакомит ребёнка со знаменитыми героями Александра Волкова - девочкой Элли, Страшилой, Дровосеком, Львом, волшебником Гудвином, история о которых увлечёт с первых страниц! Красочные иллюстрации позволят погрузиться в волшебную атмосферу Изумрудного города.</t>
  </si>
  <si>
    <t>9785378292905</t>
  </si>
  <si>
    <t>Волков Александр Мелентьевич</t>
  </si>
  <si>
    <t>038cee1d0b0f0d04bf718ce33d2a1f57</t>
  </si>
  <si>
    <t>170х215х20</t>
  </si>
  <si>
    <t>131498</t>
  </si>
  <si>
    <t>АЙБОЛИТ, МОЙДОДЫР И ДРУГИЕ СКАЗКИ КОРНЕЯ ЧУКОВСКОГО мат.ламин, выбор.лак, офсет 203х257</t>
  </si>
  <si>
    <t>978-5-378-30198-0</t>
  </si>
  <si>
    <t>В этом сборнике вас ждут самые известные произведения прекрасного сказочника — дедушки Корнея Чуковского: «Айболит», «Мойдодыр», «Муха-Цокотуха», «Тараканище» и другие. Взрослые с удовольствием перечитают знакомые с детства сказки в стихах, а малыши будут рады впервые с ними познакомиться.</t>
  </si>
  <si>
    <t>9785378301980</t>
  </si>
  <si>
    <t>63b70361082d44b1b62827580a6fa03c</t>
  </si>
  <si>
    <t>203х257х12</t>
  </si>
  <si>
    <t>156758</t>
  </si>
  <si>
    <t>КОЛЛЕКЦИЯ ЛУЧШИХ СКАЗОК выб.лак, мелов.бум. 200х265</t>
  </si>
  <si>
    <t>978-5-378-31367-9</t>
  </si>
  <si>
    <t xml:space="preserve">«Коллекция лучших сказок» — замечательный сборник знакомых и любимых с детства историй. Произведения Ганса Христиана Андерсена, Шарля Перро и другие народные сказки подарят ребёнку увлекательное путешествие в волшебный мир и познакомят с его обитателями. Дюймовочка, Кот в сапогах, Русалочка — лишь часть тех персонажей, которые встретятся в книге и расскажут о добре, любви и преданности. Такая книга станет отличным подарком каждому малышу. </t>
  </si>
  <si>
    <t>9785378313679</t>
  </si>
  <si>
    <t>Андерсен Ганс Христиан,Перро Шарль</t>
  </si>
  <si>
    <t>27517a62f8199808132eb538e189cc30</t>
  </si>
  <si>
    <t>204х257х12</t>
  </si>
  <si>
    <t>240188</t>
  </si>
  <si>
    <t>Корней Чуковский (в стиле Аниме) СКАЗКИ мат.ламин., выб.лак, офсет 215х288</t>
  </si>
  <si>
    <t>978-5-378-35193-0</t>
  </si>
  <si>
    <t>Погрузитесь в волшебный мир детства с уникальным подарочным изданием сказок Корнея Чуковского, где классика встречается с современностью. Яркие подробные иллюстрации в стиле аниме понравятся даже самому искушённому читателю. Эта книга будет прекрасным подарком для детей, а также станет ценным дополнением литературной коллекции.
В сборник вошли самые популярные сказки в стихах русского писателя: «Айболит», «Мойдодыр», «Телефон» и «Федорино горе». Каждое произведений — это ценный урок, написанный с иронией и юмором.
Погрузитесь в мир, где приключения ждут вас за каждым углом!</t>
  </si>
  <si>
    <t>9785378351930</t>
  </si>
  <si>
    <t>92aa0c3f86376cccc3429ef09f97ea1f</t>
  </si>
  <si>
    <t>216х280х7</t>
  </si>
  <si>
    <t>230325</t>
  </si>
  <si>
    <t>Корней Чуковский. ЛУЧШИЕ СТИХИ И СКАЗКИ мат.ламин, выб.лак, офсет. 205х255</t>
  </si>
  <si>
    <t>978-5-378-35112-1</t>
  </si>
  <si>
    <t>Под обложкой этой книги вы найдёте произведения любимого детского сказочника — Корнея Ивановича Чуковского. Сборник станет настоящим сокровищем для домашней библиотеки, ведь на его страницах читателей  ждёт встреча с любимыми героями — Айболитом, Мойдодыром, Бармалеем, а также с героями английских народных песенок: Барабеком, Котауси и Мауси и многими другими. Чудесные, наполненными яркими красками иллюстрации не оставят равнодушными ни малышей, ни взрослых!</t>
  </si>
  <si>
    <t>9785378351121</t>
  </si>
  <si>
    <t>9e1ead38e28e59696caa9235f862c9aa</t>
  </si>
  <si>
    <t>205х253х20</t>
  </si>
  <si>
    <t>173206</t>
  </si>
  <si>
    <t>Корней Чуковский. СКАЗКИ мат.ламин, выбор.лак. 171х216</t>
  </si>
  <si>
    <t>978-5-378-32376-0</t>
  </si>
  <si>
    <t>Эта замечательная книга предназначена для самых юных слушателей. Она познакомит малышей с творчеством Корнея Ивановича Чуковского и откроет дверь в удивительный мир его сказочных персонажей. Дети познакомятся с Айболитом, Мойдодыром, Бармалеем, Мухой-Цокотухой, Бибигоном и многими другими. 
  В книге собраны все самые любимые сказки, стихи и английский народные песенки. Каждое произведение сопровождают красочные картинки. Они обязательно подарят детям хорошее настроение и массу положительными эмоций.</t>
  </si>
  <si>
    <t>9785378323760</t>
  </si>
  <si>
    <t>ae042f5bca9ca2e96b372fcbbf35dc28</t>
  </si>
  <si>
    <t>171х216х20</t>
  </si>
  <si>
    <t>242303</t>
  </si>
  <si>
    <t>ЛЮБИМЫЕ СКАЗКИ ДЛЯ МАЛЫШЕЙ мат.ламин, выб.лак, офсет. 145х203</t>
  </si>
  <si>
    <t>978-5-378-35245-6</t>
  </si>
  <si>
    <t>Приглашаем читателей в волшебный мир сказок! Этот сборник создан для самых маленьких. Он включает в себя разнообразные разделы: потешки, чистоговорки, сказки, стихи и загадки, которые подарят радость и веселье как детям, так и их родителям. Книга станет верным спутником в мире фантазии и творчества, а также поможет родителям проводить время с детьми с пользой и удовольствием.</t>
  </si>
  <si>
    <t>9785378352456</t>
  </si>
  <si>
    <t>Ушинский Константин Дмитриевич, Толстой Лев Николаевич, Толстой Алексей Николаевич, Чуковский Корней Иванович, Капица Ольга, Афанасьев Александр Николаевич, Маяковский Владимир Владимирович</t>
  </si>
  <si>
    <t>06b203a0aef466eee59d26afc0f40ede</t>
  </si>
  <si>
    <t>146x204x13</t>
  </si>
  <si>
    <t>268487</t>
  </si>
  <si>
    <t>Н.В. Гоголь. ВЕЧЕРА НА ХУТОРЕ БЛИЗ ДИКАНЬКИ тиснение, выб.лак 217х280</t>
  </si>
  <si>
    <t>978-5-378-35948-6</t>
  </si>
  <si>
    <t>«Вечера на хуторе близ Диканьки» — это сборник повестей Николая Васильевича Гоголя, в которых соединились яркие образы персонажей из простого народа, описание малороссийского быта и фольклорные мотивы из преданий, легенд и поверий. Колоритные классические иллюстрации, нарисованные художником от руки, передают неповторимую атмосферу произведения.
В подарочное издание с золотым тиснением и выборочным лаком на обложке вошли три наиболее популярные повести: «Сорочинская ярмарка», «Майская ночь, или Утопленница» и «Ночь перед Рождеством».</t>
  </si>
  <si>
    <t>9785378359486</t>
  </si>
  <si>
    <t>Гоголь Николай Васильевич</t>
  </si>
  <si>
    <t>1a2423778ee79b8efcb629519409577d</t>
  </si>
  <si>
    <t>217х280х15</t>
  </si>
  <si>
    <t>116801</t>
  </si>
  <si>
    <t>СНЕЖНАЯ КОРОЛЕВА мат.ламин. тиснение, 217х280</t>
  </si>
  <si>
    <t>978-5-378-29581-4</t>
  </si>
  <si>
    <t>Замечательная сказка Ганса Христиана Андерсена перенесёт читателей в волшебный мир и подарит настоящее зимнее настроение. Повести о храброй девочке Герде и застенчивом мальчике Кае познакомит ребёнка с такими понятиями, как добро и зло, любовь и преданность. Книга станет отличным подарком на Новый год.</t>
  </si>
  <si>
    <t>9785378295814</t>
  </si>
  <si>
    <t>Андерсен Ганс Христиан</t>
  </si>
  <si>
    <t>217х280х8</t>
  </si>
  <si>
    <t>238464</t>
  </si>
  <si>
    <t>СТРАШНЫЕ СКАЗКИ мал.ламин, выб.лак, офсет 203х257</t>
  </si>
  <si>
    <t>978-5-378-35111-4</t>
  </si>
  <si>
    <t>В этой книге собраны страшные сказки для детей постарше. Они расскажут о ведьмах, колдунах, волшебных превращениях и загадочных перевоплощениях. А окунуться в атмосферу жути ещё глубже помогут нагоняющие страх иллюстрации. Читать страшные сказочные истории очень полезно. Такие сказки тренируют психику. Они учат сопереживать герою, разбираться в людях и их поступках, преодолевать страхи, делать правильные выводы. Но самое главное в таких сказках — это благополучный конец. В данной книге мы предлагаем детям познакомиться именно с такими сказками, где добро побеждает зло.</t>
  </si>
  <si>
    <t>9785378351114</t>
  </si>
  <si>
    <t>Афанасьев Александр Николаевич,Гетцель Виктория,Мадам д"Онуа,Братья Гримм,Лаврухина Ирина,Альникин Антон</t>
  </si>
  <si>
    <t>7551afa7f00a18d9f01f80fef506ba18</t>
  </si>
  <si>
    <t>107013</t>
  </si>
  <si>
    <t>ЩЕЛКУНЧИК И МЫШИНЫЙ КОРОЛЬ мат. ламинация, тиснение 217х280</t>
  </si>
  <si>
    <t>978-5-378-29186-1</t>
  </si>
  <si>
    <t>Волшебная рождественская сказка немецкого писателя Эрнста Теодора Амадея Гофмана великолепно создаёт атмосферу праздника и переносит читателя в сказочный мир, где добро обязательно побеждает зло. Юных героев книги ждут сражения с мышиным королём, путешествие в кукольной царство и другие необычные приключения, которые покажут читателям, что такое настоящие дружба, отвага и взаимопомощь.</t>
  </si>
  <si>
    <t>9785378291861</t>
  </si>
  <si>
    <t>Гофман Эрнст Теодор Амадей</t>
  </si>
  <si>
    <t>b4f11217a2368ba0b65c955f5880a527</t>
  </si>
  <si>
    <t>233х287х10</t>
  </si>
  <si>
    <t>РАЗВИВАЮЩИЕ КНИГИ</t>
  </si>
  <si>
    <t>ОБУЧЕНИЕ</t>
  </si>
  <si>
    <t>107011</t>
  </si>
  <si>
    <t>250 ЗАГАДОК, ЧИСТОГОВОРОК, СКОРОГОВОРОК, ПОСЛОВИЦ, СЧИТАЛОК мат.ламин, выбор.лак. 203х257</t>
  </si>
  <si>
    <t>978-5-378-29159-5</t>
  </si>
  <si>
    <t>Эта яркая, красочная книга подарит массу положительных эмоций и детям, и их родителям. В ней собрано огромное количество загадок, считалочек, скороговорок, чистоговорок, пословиц и поговорок на все случаи жизни.</t>
  </si>
  <si>
    <t>9785378291595</t>
  </si>
  <si>
    <t>Балуева Оксана Борисовна,Громова Людмила Александровна,Корнеева Ольга Тихоновна,Манакова Мария Васильевна,Купырина Анна Михайловна,Ушкина Наталья Евгеньевна</t>
  </si>
  <si>
    <t>5bffe1f675e0b9f711afd79d5faad431</t>
  </si>
  <si>
    <t>176524</t>
  </si>
  <si>
    <t>БОЛЬШАЯ КНИГА ПО МАТЕМАТИКЕ  глянц.ламин КБС 195х275</t>
  </si>
  <si>
    <t>978-5-378-35378-1</t>
  </si>
  <si>
    <t>«Большая книга по математике» – это большой сборник увлекательных заданий, задач и примеров, благодаря которым ребёнок познакомится с цифрами и формами,  освоит счёт и научится считать деньги. Все задания построены по принципу «от простого к сложному», поэтому вы сможете заниматься по этой книге и с дошкольником, и с ребёнком младшего школьного возраста.</t>
  </si>
  <si>
    <t>9785378353781</t>
  </si>
  <si>
    <t>337bbae3a3d8c1e0c5d02857a1427a3d</t>
  </si>
  <si>
    <t>195х275х7</t>
  </si>
  <si>
    <t>261440</t>
  </si>
  <si>
    <t>КНИЖКА-ГОВОРУШКА для запуска речи</t>
  </si>
  <si>
    <t>978-5-378-35748-2</t>
  </si>
  <si>
    <t>Это развивающее пособие предназначено для малышей, которые только учатся говорить. Звукоподражалки, чистоговорки, рифмовочки будут стимулировать речь и расширять словарный запас ребёнка, а красочные иллюстрации удержат его внимание. Книжка-говорушка понравится детям от 6 месяцев, их родителям, бабушкам и дедушкам, а также педагогам, работающим с детьми первых лет жизни.</t>
  </si>
  <si>
    <t>9785378357482</t>
  </si>
  <si>
    <t>008d40eff56c3b8dfd06cdf7038f510b</t>
  </si>
  <si>
    <t>144х204х7</t>
  </si>
  <si>
    <t>273312</t>
  </si>
  <si>
    <t>КНИЖКА-ГОВОРУШКА. Развиваем речь с Синим трактором</t>
  </si>
  <si>
    <t>978-5-378-36049-9</t>
  </si>
  <si>
    <t>Развиваем речь детей первых лет жизни весело и просто с героем любимого мультфильма! Коротенькие стишки — рифмушки-говорушки познакомят с обобщающими понятиями, будут стимулировать речь малыша, способствовать обогащению словарного запаса, расширению кругозора и развитию памяти. С этой книгой ребёнок узнает животных и их детёнышей, насекомых, овощи, фрукты и ягоды.</t>
  </si>
  <si>
    <t>9785378360499</t>
  </si>
  <si>
    <t>2bd6941021443b7abe9565848c9b6365</t>
  </si>
  <si>
    <t>195х232х5</t>
  </si>
  <si>
    <t>278121</t>
  </si>
  <si>
    <t>ПРАВИЛА БЕЗОПАСНОСТИ (Синий Трактор) глянц. ламин 145х203</t>
  </si>
  <si>
    <t>978-5-378-36098-7</t>
  </si>
  <si>
    <t xml:space="preserve">Рассказывать детям о правилах безопасности нужно с раннего возраста. А с красочной книгой и героями любимого мультфильма это можно делать без запугиваний и нравоучений, интересно и увлекательно! Синий Трактор в стихотворной форме объяснит детям, как нужно вести себя на прогулке и дома, обучит основам безопасности на воде и правилам дорожного движения. </t>
  </si>
  <si>
    <t>9785378360987</t>
  </si>
  <si>
    <t>882d804944fdccee00a89ce123ad76d1</t>
  </si>
  <si>
    <t>145х203х8</t>
  </si>
  <si>
    <t>089948</t>
  </si>
  <si>
    <t>Развиваем образное мышление. ПОСЛОВИЦЫ, ПОГОВОРКИ, ЗАГАДКИ мат.ламин.обл. выбор.лак 32 стр.200х255</t>
  </si>
  <si>
    <t>978-5-378-28728-4</t>
  </si>
  <si>
    <t>В этой книге собраны пословицы, поговорки и загадки на самые разные и интересные для детей темы. Благодаря забавным иллюстрациям и подробным объяснениям понять и запомнить новые выражения легко и просто. Пословицы, поговорки и загадки пополнят словарный запас малышей и помогут им развить образное мышление, воображение и наблюдательность</t>
  </si>
  <si>
    <t>9785378287284</t>
  </si>
  <si>
    <t>под ред. Н. Брагинец</t>
  </si>
  <si>
    <t>200х256х8</t>
  </si>
  <si>
    <t>114254</t>
  </si>
  <si>
    <t>Развиваем речь и мышление ЗАГАДКИ, РЕЧЕВЫЕ ИГРЫ, СКОРОГОВОРКИ мат.ламин.обл. выбор.лак 202х257</t>
  </si>
  <si>
    <t>978-5-378-29484-8</t>
  </si>
  <si>
    <t>Эта книга станет незаменимым помощником вашему малышу. С ней он пополнит словарный запас, научится образовывать новые слова, строить словосочетания, предложения и связные высказывания. Загадки улучшат наглядно-образное мышление, воображение и наблюдательность, а скороговорки научат вашего малыша говорить красиво и правильно. Благодаря забавным иллюстрациям и весёлым заданиям учиться будет легко и увлекательно.</t>
  </si>
  <si>
    <t>9785378294848</t>
  </si>
  <si>
    <t>202х256х6</t>
  </si>
  <si>
    <t>ПОЛЕЗНЫЕ КНИГИ ДЛЯ ДЕТЕЙ</t>
  </si>
  <si>
    <t>218654</t>
  </si>
  <si>
    <t>Всё про это. Интимный ликбез для детей</t>
  </si>
  <si>
    <t>978-5-378-34552-6</t>
  </si>
  <si>
    <t>В этой книге ребёнок найдёт ответы на самые деликатные вопросы, которые стеснялся задать родителям. А взрослые в свою очередь не знали, с чего начать разговор «про это». Педиатр Елена Малиева доступно объяснит, как устроены мальчики и девочки, откуда берутся дети, что делать, чтобы избежать нежелательной беременности и половых инфекций. Кроме того, автор расскажет о базовых правилах личной гигиены, а также «границах тела» – нарушать их строго запрещено!</t>
  </si>
  <si>
    <t>9785378345526</t>
  </si>
  <si>
    <t>Малиева Елена</t>
  </si>
  <si>
    <t>2d9b01010b22422739d2ca63ada50d7a</t>
  </si>
  <si>
    <t>195х270х5</t>
  </si>
  <si>
    <t>206213</t>
  </si>
  <si>
    <t>ВСЁ ПРО ЭТО. ИНТИМНЫЙ ЛИКБЕЗ ДЛЯ ДЕТЕЙ глянц.ламин.обл. офсет 215х288</t>
  </si>
  <si>
    <t>978-5-378-34314-0</t>
  </si>
  <si>
    <t>9785378343140</t>
  </si>
  <si>
    <t>0b57159868cea4c1bd8ce6d7b9fdd0ed</t>
  </si>
  <si>
    <t>215x288x10</t>
  </si>
  <si>
    <t>СЕРИЯ: БУКВАРЬ, АЗБУКА , АЛФАВИТ</t>
  </si>
  <si>
    <t>047750</t>
  </si>
  <si>
    <t>БУКВАРЬ  А5  глянц.ламин. офсет 170х220</t>
  </si>
  <si>
    <t>978-5-378-26517-6</t>
  </si>
  <si>
    <t>Букварь ориентирован на детей дошкольного возраста, начинающих свой долгий путь в мире букв, слов и предложений. Под контролем взрослых малыш будет выполнять несложные задания, которые помогут ему усвоить материал, а кроме этого он сможет рассматривать милые иллюстрации и придумывать по ним собственные истории!</t>
  </si>
  <si>
    <t>9785378265176</t>
  </si>
  <si>
    <t xml:space="preserve">Цой Александра Валентиновна </t>
  </si>
  <si>
    <t>1e61c022286cdc42600dbd52d95d274a</t>
  </si>
  <si>
    <t>09.08.2017 0:00:00</t>
  </si>
  <si>
    <t>Букварь</t>
  </si>
  <si>
    <t>170х215х7</t>
  </si>
  <si>
    <t>039348</t>
  </si>
  <si>
    <t>БУКВАРЬ 204х257 глянц.ламин. офсет</t>
  </si>
  <si>
    <t>978-5-378-25629-7</t>
  </si>
  <si>
    <t>9785378256297</t>
  </si>
  <si>
    <t>200x258x8</t>
  </si>
  <si>
    <t>283236</t>
  </si>
  <si>
    <t>БУКВАРЬ глянц.ламин, офсет 170х220</t>
  </si>
  <si>
    <t>978-5-378-36275-2</t>
  </si>
  <si>
    <t>Букварь предназначен для детей дошкольного возраста. С его помощью ребёнок познакомится с буквами русского языка, научится соединять буквы в слоги, а потом читать слова и предложения. Интересные упражнения, яркие иллюстрации и забавные стихи помогут удержать внимание маленьких непосед и сделают обучение более увлекательным. Занимаясь по этой книге, ребёнок быстро и с удовольствием научится читать.</t>
  </si>
  <si>
    <t>9785378362752</t>
  </si>
  <si>
    <t>Цой Александра</t>
  </si>
  <si>
    <t>170х221х7</t>
  </si>
  <si>
    <t>101891</t>
  </si>
  <si>
    <t>БУКВАРЬ с прописью, КБС 195х255</t>
  </si>
  <si>
    <t>978-5-378-28985-1</t>
  </si>
  <si>
    <t>С этой удивительной книжкой каждый малыш сможет без труда выучить русский алфавит, научится правильно произносить звуки и писать прописные буквы. Закрепить знания помогут увлекательные задания. Красочное оформление книги обязательно разбудит интерес к обучению!</t>
  </si>
  <si>
    <t>9785378289851</t>
  </si>
  <si>
    <t>8859dbd8952be4db206feb131b1eab53</t>
  </si>
  <si>
    <t>195х255х5</t>
  </si>
  <si>
    <t>273299</t>
  </si>
  <si>
    <t>БУКВАРЬ. ПИОНЕРЫ глянц.ламин, 170х220</t>
  </si>
  <si>
    <t>978-5-378-36051-2</t>
  </si>
  <si>
    <t>Этот букварь создан для детей, которые только знакомятся с удивительным миром букв и слов. Классический подход к обучению чтению, яркие иллюстрации и эффективные речевые и дидактические упражнения позволят легко адаптироваться в сложном мире букв. Обучение буквам от простого к сложному даёт возможность уже на первых этапах пробовать складывать буквы в слоги и слова. Во второй части букваря читателя ждут небольшие тексты и увлекательные задания к ним.</t>
  </si>
  <si>
    <t>9785378360512</t>
  </si>
  <si>
    <t>10b5c6429afdbea3031daa372c42d902</t>
  </si>
  <si>
    <t>СЕРИЯ: ГЛАВНАЯ КНИГА МАЛЫША офсет 100гр, мат.ламин. выб.лак 203х257</t>
  </si>
  <si>
    <t>112824</t>
  </si>
  <si>
    <t>ГЛАВНАЯ КНИГА МАЛЫША матов.ламин.обл. выб.лак. офсет 203х257</t>
  </si>
  <si>
    <t>978-5-378-29409-1</t>
  </si>
  <si>
    <t>В этой книге малыш найдёт много интересной информации об окружающем мире. Сборник познакомит ребёнка с геометрическими фигурами, цветами, различными животными, фруктами и овощами, видами транспорта, цифрами и буквами алфавита, а также научит узнавать части лица и тела. Яркие фотографии сделают обучение увлекательным и доступным.</t>
  </si>
  <si>
    <t>9785378294091</t>
  </si>
  <si>
    <t>под ред. К. Ктиторовой</t>
  </si>
  <si>
    <t>7aaf420e21fb0f0131e95eabade9bc45</t>
  </si>
  <si>
    <t>203х257х11</t>
  </si>
  <si>
    <t>206947</t>
  </si>
  <si>
    <t>ГЛАВНАЯ КНИГА МАЛЫША. ЖИВОТНЫЕ НАШЕЙ ПЛАНЕТЫ</t>
  </si>
  <si>
    <t>978-5-378-34259-4</t>
  </si>
  <si>
    <t>В этой книге вы найдёте множество ярких фотографий животных из разных уголков мира: домашних и диких, морских обитателей и многих других. С помощью «Главной книги малыша» любой непоседа сможет погрузиться в мир знаний и с удовольствием начать знакомство с фауной нашей удивительной планеты!</t>
  </si>
  <si>
    <t>9785378342594</t>
  </si>
  <si>
    <t>под ред. К. Ктиторовой, М.Черепановой</t>
  </si>
  <si>
    <t>212c7762e1f4b18fbaf0e5607e2bf5d7</t>
  </si>
  <si>
    <t>206948</t>
  </si>
  <si>
    <t>ГЛАВНАЯ КНИГА МАЛЫША. ОВОЩИ, ФРУКТЫ И МНОГОЕ ДРУГОЕ</t>
  </si>
  <si>
    <t>978-5-378-34258-7</t>
  </si>
  <si>
    <t>Вы держите в руках книгу, которая откроет вашему малышу страну знаний. В этой книге вы найдёте: изображения и названия фруктов, овощей, ягод, одежды, транспорта и предметов в доме. Знакомство с этими категориями будет радостным и увлекательным благодаря большим и красочным изображениям. Вперёд в путешествие в страну знаний вместе с «Главной книгой малыша!»</t>
  </si>
  <si>
    <t>9785378342587</t>
  </si>
  <si>
    <t>f9060b3d5e0ef34b0dbd324a7c781cda</t>
  </si>
  <si>
    <t>206949</t>
  </si>
  <si>
    <t>ГЛАВНАЯ КНИГА МАЛЫША. УЧИМСЯ ГОВОРИТЬ</t>
  </si>
  <si>
    <t>978-5-378-34257-0</t>
  </si>
  <si>
    <t>В ваших руках — книга для речевого развития малыша. В ней вы найдёте: алфавит, звукоподражания, чистоговорки, скороговорки и стихотворения. Каждая страница дополнена яркими иллюстрациями, которые будут способствовать быстрому и увлекательному изучению букв и новых слов.</t>
  </si>
  <si>
    <t>9785378342570</t>
  </si>
  <si>
    <t>Медведева Анна,Манакова Мария,Строителева Анна Владимировна,Корнеева Ольга Тихоновна,Балуева Оксана Борисовна</t>
  </si>
  <si>
    <t>f7cc324cd7e7c2ea7aa2e0b149b4f022</t>
  </si>
  <si>
    <t>ТВОРЧЕСТВО</t>
  </si>
  <si>
    <t>178973</t>
  </si>
  <si>
    <t>БОЛЬШАЯ КНИГА ПОШАГОВОГО РИСОВАНИЯ глянц.ламин.обл. офсет 215х288</t>
  </si>
  <si>
    <t>978-5-378-33078-2</t>
  </si>
  <si>
    <t>Как научиться рисовать сказочных персонажей, милых зверушек, забавных монстриков и динозавров? Легко! В этой книге представлены простые пошаговые уроки, благодаря которым ребёнок свободно повторит эскиз и оживит картинку красками. 
Для наглядности мы предложили цветовую палитру, но вы вольны раскрашивать героев как пожелаете, ориентируясь на свой вкус и видение картинки. Творите в удовольствие!</t>
  </si>
  <si>
    <t>9785378330782</t>
  </si>
  <si>
    <t>под ред. О. Грининой</t>
  </si>
  <si>
    <t>353f086eff20343e48d1db43452ef43f</t>
  </si>
  <si>
    <t>215x288x15</t>
  </si>
  <si>
    <t>188948</t>
  </si>
  <si>
    <t>БОЛЬШАЯ КНИГА ТВОРЧЕСТВА глянц.ламин КБС 195х275</t>
  </si>
  <si>
    <t>978-5-378-35400-9</t>
  </si>
  <si>
    <t>В «Большой книге творчества» собраны оригинальные идеи для совместного творчества с детьми от 1 года и старше. Процесс создания поделок даёт ребёнку возможность развивать важные навыки, которые пригодятся ему в жизни: мелкую моторику, пространственное мышление, воображение и память. Кроме того, творчество — один из лучших способов развития эмоционального интеллекта и навыков коммуникации.</t>
  </si>
  <si>
    <t>9785378354009</t>
  </si>
  <si>
    <t>20c0b305ba0986d95d18b9603250ccfd</t>
  </si>
  <si>
    <t>195х273х7</t>
  </si>
  <si>
    <t>РОМАНЫ ДЛЯ ДЕВОЧЕК</t>
  </si>
  <si>
    <t>СЕРИЯ: РОМАНЫ ДЛЯ ДЕВОЧЕК офсет, выб лак, КБС 147х203</t>
  </si>
  <si>
    <t>265132</t>
  </si>
  <si>
    <t>РОМАНЫ ДЛЯ ДЕВОЧЕК. КБС. Мелодия первой любви</t>
  </si>
  <si>
    <t>978-5-378-35874-8</t>
  </si>
  <si>
    <t>«Меня зовут Лена Лебедева, у меня был план на ближайшие годы: выиграть музыкальный конкурс «Пиано», закончить школу и поступить в консерваторию имени Римского-Корсакова. А дальше всё предельно ясно... по крайней мере моей маме. Но в последнее время я не знаю, чего хочу в будущем. Однако бросить музыкалку... Это всё равно, что почти доплыть до берега и повернуть назад, потому что ты устал. Ещё и новенький этот — как будто с другой планеты прибыл, а такие не особо нравятся. Новая учительница по биологии меня явно невзлюбила, теперь дополнительные занятия прибавятся. А самое странное, я никак не ожидала, что по стечению обстоятельств именно с новеньким мне будет так спокойно и интересно общаться...»</t>
  </si>
  <si>
    <t>9785378358748</t>
  </si>
  <si>
    <t>4a0ba97bb385f2858fbe0bad093abffd</t>
  </si>
  <si>
    <t>133х195х19</t>
  </si>
  <si>
    <t>277814</t>
  </si>
  <si>
    <t>РОМАНЫ ДЛЯ ДЕВОЧЕК. КБС. Нечестное пионерское 140х195</t>
  </si>
  <si>
    <t>978-5-378-36103-8</t>
  </si>
  <si>
    <t>«1984 год. Сентябрь. Это просто кошмар! Осень только пришла в Ростов-на-Дону, а у меня уже всё наперекосяк. Мало того, что бабушка всё ещё не оправилась от болезни и мечты о морском училище придётся отложить подальше, так меня ещё и оставили незаслуженно на второй год. Да ещё и зачислили в класс Киры — младшей сестры моего лучшего друга, которая меня на дух не переносит. Она такая капризная! Вот только с чего вдруг Кира решила пригласить меня на концерт? И почему поссорилась с Лидой, которая позвала сесть с ней за одну парту? И на что ещё Кира готова пойти, чтобы добиться своего?»</t>
  </si>
  <si>
    <t>9785378361038</t>
  </si>
  <si>
    <t>139х194х17</t>
  </si>
  <si>
    <t>СЕРИЯ: РОМАНЫ ДЛЯ ДЕВОЧЕК офсет, выб лак, с цветными вставками 147х203</t>
  </si>
  <si>
    <t>277810</t>
  </si>
  <si>
    <t>РОМАН ДЛЯ ДЕВОЧЕК с цветными вставками. НЕЧЕСТНОЕ ПИОНЕРСКОЕ 224стр</t>
  </si>
  <si>
    <t>978-5-378-36104-5</t>
  </si>
  <si>
    <t>9785378361045</t>
  </si>
  <si>
    <t>280008</t>
  </si>
  <si>
    <t>РОМАН ДЛЯ ДЕВОЧЕК с цветными вставками. ТАЙНЫЙ ПОКЛОННИК 304стр</t>
  </si>
  <si>
    <t>978-5-378-36162-5</t>
  </si>
  <si>
    <t>Меня зовут Вера. В этом учебном году я по уши влюбилась в Игоря — лучшего игрока баскетбольной команды. Он первый подошёл ко мне, проводил до дома, и я уже начала фантазировать о наших отношениях. А однажды в почтовом ящике меня ждало любовное письмо... без подписи. Уверена, это он! Я была абсолютно счастлива, только вот за всё время наших отношений Игорь ни разу не заговорил о письмах. Разве это не странно? Не могла же я получать и радоваться письмам неизвестного парня...»</t>
  </si>
  <si>
    <t>9785378361625</t>
  </si>
  <si>
    <t>145х203х26</t>
  </si>
  <si>
    <t>СЕРИЯ: РОМАНЫ ДЛЯ ДЕВОЧЕК офсет, выб лак, цветной обрез 147х203</t>
  </si>
  <si>
    <t>268529</t>
  </si>
  <si>
    <t>ДЕВУШКА ЛУЧШЕГО ДРУГА мат.ламин, выб.лак, офсет 145х203</t>
  </si>
  <si>
    <t>978-5-378-35951-6</t>
  </si>
  <si>
    <t>« Меня зовут Ким. В прошлом году я понял, что влюблён в девушку своего лучшего друга - Надю.
Позже, совершенно спонтанно, у меня начались отношения с подругой моей тайной симпатии. Казалось бы, новый роман должен всё исправить, но он лишь сильнее запутал меня. А не так давно я узнал, что мой лучший друг обратил внимание на Надю не случайно.
И теперь я задаюсь вопросом: а что, если бы я признался ей в симпатии первым? Что, если бы не побоялся своих чувств? И как теперь мне вырваться из этого замкнутого круга? »</t>
  </si>
  <si>
    <t>9785378359516</t>
  </si>
  <si>
    <t>7067faae48baf4d30e6531027610bbb9</t>
  </si>
  <si>
    <t>145х203х25</t>
  </si>
  <si>
    <t>268526</t>
  </si>
  <si>
    <t>ЕГО ВЕЛИЧЕСТВО ЭГОИСТ мат.ламин, выб.лак, офсет 145х203</t>
  </si>
  <si>
    <t>978-5-378-35950-9</t>
  </si>
  <si>
    <t>«Меня зовут Макс. Ещё в прошлом году мы с Викой были лучшими друзьями в одной компании, и я был абсолютно счастлив. А потом её неожиданное признание в любви и моя дурацкая, бессвязная чушь в ответ. Травма, развод родителей, переезд — и моя жизнь превратилась в неудачный спектакль. Я уже думал, что потерял всё, пока на расстоянии не осознал, что на самом деле чувствовал к своей лучшей подруге. Я полон решимости исправить ошибки! Но, вернувшись в родной город, я узнаю, что моя Вика встречается с другим...»</t>
  </si>
  <si>
    <t>9785378359509</t>
  </si>
  <si>
    <t>523b96b0c029d2047718ca4e6dd6a20c</t>
  </si>
  <si>
    <t>265799</t>
  </si>
  <si>
    <t>ЛЕДЯНОЙ ПОЦЕЛУЙ мат.ламин, выб.лак, офсет 145х203</t>
  </si>
  <si>
    <t>978-5-378-35894-6</t>
  </si>
  <si>
    <t>«Меня зовут Полина. Ещё в прошлом году я была подающей надежды фигуристкой, лучшей среди лучших. А потом неудачное падение и долгая реабилитация. Мне пришлось бросить фигурное катание. Я уже думала, что чёрная полоса не закончится, пока не появился он. Красивый, сильный, центр внимания в любой компании, профессиональный пловец — Артём Зимин. Мне кажется, что я ему по-настоящему нравлюсь, но он настолько очаровательный, что так думаю не я одна. Недавно он признался мне, что хочет бросить плавание. Я просто обязана попытаться донести до него, чего он может лишиться!»</t>
  </si>
  <si>
    <t>9785378358946</t>
  </si>
  <si>
    <t>7b055631ab2bc14541a948dba4d39c0a</t>
  </si>
  <si>
    <t>242294</t>
  </si>
  <si>
    <t>ЛЖЕЦ С СОСЕДНЕЙ ПАРТЫ мат.ламин, выб.лак, офсет 147х203</t>
  </si>
  <si>
    <t>978-5-378-35242-5</t>
  </si>
  <si>
    <t>«Наша семья часто переезжает из-за папиной работы. За последние восемь лет я сменила четыре школы. И новый учебный год начнётся уже в пятой… Как мне надоело всю жизнь быть «новенькой»! Но в этот раз всё гораздо хуже, потому что мама отправилась в экспедицию. А это значит, что её не будет рядом в первый учебный день и ещё очень много раз, когда она будет мне нужна... У неё и связь там практически не ловит... Но если бы мне кто-то сказал, что мой новый красивый, высокий, общительный и умный одноклассник обратит на меня внимание, да ещё и на свидание позовёт! Я бы точно так не переживала! Прогулки, поход в кафе и часы разговоров с самым милым и добрым парнем на свете — кажется, я влюбилась! Моё счастье омрачают только три неразлучные подружки — мои одноклассницы. Не понимаю, почему они именно на меня так взъелись. Ещё и местный весельчак класса настойчиво пытается меня разубедить в том, что «почти мой парень» — хороший человек...»</t>
  </si>
  <si>
    <t>9785378352425</t>
  </si>
  <si>
    <t>94cf9cc177d0a059d9d8e2a77e4c4448</t>
  </si>
  <si>
    <t>280127</t>
  </si>
  <si>
    <t>ЛЮБОВЬ НЕ ПО СЦЕНАРИЮ мат.ламин, выб.лак, офсет 145х203</t>
  </si>
  <si>
    <t>978-5-378-36165-6</t>
  </si>
  <si>
    <t>«Меня зовут Настя. Мою сестру сделали изгоем в школе, и она перевелась, чтобы начать жизнь с чистого листа. А я хочу поговорить с тем, кто всё испортил, — главным обидчиком, который к тому же считается чуть ли не идеалом — красивый, умный, внимательный, восходящая звезда театра. Но я на всю эту мишуру не куплюсь. У меня есть план. Главное — не попасться на его обаяние и не влюбиться в того, кого я поклялась ненавидеть. Но что если он не так плох, как я себе представила? Что если он никогда не начинал травли? Что если…»</t>
  </si>
  <si>
    <t>9785378361656</t>
  </si>
  <si>
    <t>Абалихина Елена</t>
  </si>
  <si>
    <t>144х204х20</t>
  </si>
  <si>
    <t>256195</t>
  </si>
  <si>
    <t>ЛЮБОВЬ СО ВКУСОМ МОРЯ мат.ламин, выб.лак, офсет 147х203</t>
  </si>
  <si>
    <t>978-5-378-35642-3</t>
  </si>
  <si>
    <t>«Меня зовут Юля, и это лето я проведу на море у своей мамы. Мы видимся редко, потому что учусь и живу я в Москве вместе с бабушкой и дедушкой. В общем, это долгая история… Вот только на вокзале меня ждал неприятный сюрприз. Вместо мамы меня встретил её «друг», который, судя по всему, частый гость в её доме. Чудика какого-то встретила в первый же день, смотрел на меня, не отрывая взгляда, будто призрака увидел. Настроение и самолюбие поднимает только внезапный симпатичный поклонник, который ещё и подарки мне на подоконнике оставляет. Я почти уверена, что это он, больше некому! Ну не тот же чудик мне их тайно носит? И вот странно, я как будто уже видела его раньше...»</t>
  </si>
  <si>
    <t>9785378356423</t>
  </si>
  <si>
    <t>604bdf5050459f0e18e1805cc1cd0353</t>
  </si>
  <si>
    <t>246465</t>
  </si>
  <si>
    <t>МЕЛОДИЯ ПЕРВОЙ ЛЮБВИ мат.ламин, выб.лак, офсет 147х203</t>
  </si>
  <si>
    <t>978-5-378-35419-1</t>
  </si>
  <si>
    <t xml:space="preserve">«Меня зовут Лена Лебедева, у меня был план на ближайшие годы: выиграть музыкальный конкурс «Пиано», закончить школу и поступить в консерваторию имени Римского-Корсакова. А дальше всё предельно ясно... по крайней мере моей маме. Но в последнее время я не знаю, чего хочу в будущем. Однако бросить музыкалку... Это всё равно, что почти доплыть до берега и повернуть назад, потому что ты устал. Ещё и новенький этот — как будто с другой планеты прибыл, а такие не особо нравятся. Новая учительница по биологии меня явно невзлюбила, теперь дополнительные занятия прибавятся. А самое странное, я никак не ожидала, что по стечению обстоятельств именно с новеньким мне будет так спокойно и интересно общаться...» </t>
  </si>
  <si>
    <t>9785378354191</t>
  </si>
  <si>
    <t>6bd58783bce83dcfb764c5528043536b</t>
  </si>
  <si>
    <t>147х203х20</t>
  </si>
  <si>
    <t>278100</t>
  </si>
  <si>
    <t>МОЙ ЛИЧНЫЙ "КРАСНЫЙ ФЛАГ" мат.ламин, выб.лак, офсет 145х203</t>
  </si>
  <si>
    <t>978-5-378-36130-4</t>
  </si>
  <si>
    <t>Меня зовут Рома. В прошлом году пришлось сменить школу — много всего случилось. Со временем меня вроде отпустило, даже друг появился. А у друга, как выяснилось, есть младшая сестра. И это та самая девушка, которая уже месяц мерещится мне. После нашей встречи это было ожидаемо, но всё равно странно. Она меня не помнит. Или притворятеся. Интересно, брат вообше знает, чем она занимается? И почему она всё время отмалчивается?</t>
  </si>
  <si>
    <t>9785378361304</t>
  </si>
  <si>
    <t>144х204х27</t>
  </si>
  <si>
    <t>264431</t>
  </si>
  <si>
    <t>ПОЛЛИАННА мат.ламин, выб.лак, офсет 145х203</t>
  </si>
  <si>
    <t>978-5-378-35864-9</t>
  </si>
  <si>
    <t>Тёплая и невероятно душевная книга Элинор Портер расскажет вам о непростой судьбе девочки. В своём юном возрасте она пережила серьёзные жизненные потери, а теперь вынуждена мириться со сложным характером тёти, не питающей к ней никаких чувств. Чтобы выживать и не терять веры в людей и себя, Поллианна играет «в радость». Как это? Вам непременно нужно это узнать и обязательно попробовать повторить! Перевод Марины Батищевой тонко передал всю нежность и доброту этой истории, текст увлекает с первых строк и держит в объятиях до последней страницы!</t>
  </si>
  <si>
    <t>9785378358649</t>
  </si>
  <si>
    <t>Портер Элинор</t>
  </si>
  <si>
    <t>264fa2df6e99927231a6e7227a4d112d</t>
  </si>
  <si>
    <t>240186</t>
  </si>
  <si>
    <t>ПРИНЦ, ЕГО СВИТА И Я мат.ламин, выб.лак, офсет 147х203</t>
  </si>
  <si>
    <t>978-5-378-35205-0</t>
  </si>
  <si>
    <t>«В этом году я сменила школу и решила во что бы то ни стало измениться — стать по-настоящему классной девчонкой. Из тех, кого с интересом слушают, замечают, как только те входят в класс, спрашивают, где же они раздобыли такую крутую блузку, и приглашают на ночёвки. Но больше всего мне хочется влюбиться. И, конечно, в самого красивого и доброго парня на свете. Гардероб я сменила, в новом классе отлично себя зарекомендовала и принца нашла! А вот о его свите я совсем не мечтала… Почему его другу-клоуну нужно быть рядом 24/7? Ещё и соперница появилась. Ну ничего, за любовь нужно бороться, а цель оправдывает средства, ведь так?»</t>
  </si>
  <si>
    <t>9785378352050</t>
  </si>
  <si>
    <t>ca7fe446fba357db4d777809d6099138</t>
  </si>
  <si>
    <t>260232</t>
  </si>
  <si>
    <t>ТАЙНЫЙ ПОКЛОННИК мат.ламин, выб.лак, офсет 145х203</t>
  </si>
  <si>
    <t>978-5-378-35714-7</t>
  </si>
  <si>
    <t>«Меня зовут Вера, и в этом учебном году я по уши влюбилась. Это произошло внезапно... Просто в один момент я будто посмотрела на лучшего игрока нашей баскетбольной команды другими глазами. Игорь — самый быстрый, сильный, а главное, очень серьёзный... Он первым подошёл ко мне, заговорил и даже проводил до дома. Я уже погрузилась в фантазии о том, как мы начнём встречаться. Однажды забирая почту, я обнаружила первое любовное письмо, адресованное мне. Правда, отправитель не был указан. Но это точно Игорь! Кто ещё мог так оригинально осыпать меня комплиментами? Я была абсолютно счастлива, только вот за всё время наших отношений Игорь ни разу не заговорил о письмах. Разве это не странно? Не могла же я получать и радоваться письмам неизвестного парня...»</t>
  </si>
  <si>
    <t>9785378357147</t>
  </si>
  <si>
    <t>a82677ee1ad9644889309804a5915f7d</t>
  </si>
  <si>
    <t>260231</t>
  </si>
  <si>
    <t>ТРЕТИЙ ЛИШНИЙ мат.ламин, выб.лак, офсет 145х203</t>
  </si>
  <si>
    <t>978-5-378-35715-4</t>
  </si>
  <si>
    <t>«Меня зовут Лиля, и я самая обычная девчонка. В жизни моей всё было спокойно и ровно до того момента, пока я не поняла, что влюблена в своего друга-одноклассника… Его зовут Вова, и он настоящий гений. Когда-то его признание я по глупости отвергла.
Теперь мне нужно вернуть его любовь! Но все мои попытки вновь заставить его увидеть во мне больше, чем друга, обратились провалом, ещё и одна из королев школы ему томно в глаза заглядывает. Я уже думала страдать до конца своих дней... Но недавно со мной познакомился просто невероятно харизматичный парень, он ещё и актёром оказался! Раньше моё сердце так билось только с Вовой... Он, кстати, не одобряет моего нового знакомого и упорно пытается донести, что тот не лучшая пара для меня. Но ему-то какая разница? Мы же просто друзья, ведь так?»</t>
  </si>
  <si>
    <t>9785378357154</t>
  </si>
  <si>
    <t>b1a2f240adec748cd9370a28606e9715</t>
  </si>
  <si>
    <t>СЕРИЯ: ХИЛИНГ-РОМАНЫ ДЛЯ ДЕВОЧЕК офсет, выб лак 147х203</t>
  </si>
  <si>
    <t>267374</t>
  </si>
  <si>
    <t>ПЫШЕЧНАЯ, СОГРЕВАЮЩАЯ СЕРДЦА мат.ламин, выб.лак, офсет 145х203</t>
  </si>
  <si>
    <t>978-5-378-35918-9</t>
  </si>
  <si>
    <t>Хилинг-роман, пропитанный запахом пышек и атмосферой Cанкт-Петербурга. Маша Литвинова привыкла стойко справляться с трудностями и молчать о своих проблемах. Но всё меняется, когда она с семьёй переезжает в Петербург, и родители открывают маленькую пышечную у набережной Карповки. Тревожная жизнь Маши наполняется ароматом жареного теста, сонным гудением кофемашины под шум дождя за окном, чувством причастности к общему делу. А главное — душевными разговорами с незнакомцами, которые незаметно становятся очень близкими. В место, где даже самый холодный и дождливый петербургский день наполняется ароматом свежей выпечки.</t>
  </si>
  <si>
    <t>9785378359189</t>
  </si>
  <si>
    <t>382c5f7d856d348292a55f647838d25d</t>
  </si>
  <si>
    <t>СЕРИЯ: ЧАТ-РОМАН КБС выб.лак, 140х195</t>
  </si>
  <si>
    <t>273283</t>
  </si>
  <si>
    <t xml:space="preserve">ЧАТ-РОМАН КБС. Только между нами </t>
  </si>
  <si>
    <t>978-5-378-36044-4</t>
  </si>
  <si>
    <t>Знаете, что хранится в секретном чате трёх подруг? Целая подростковая жизнь! Мы - Даша, Софи и Ари - обсуждаем здесь всё: от предательства бывшей подруги до первой симпатии к красавчику-новенькому. Обсудим, осудим, поддержим. Открой этот роман и читай переписку, от которой невозможно оторваться. Спойлер: мальчики - это классно, но дружба - это навсегда!</t>
  </si>
  <si>
    <t>9785378360444</t>
  </si>
  <si>
    <t>b95268279306411a58a65016873f059e</t>
  </si>
  <si>
    <t>140х195х13</t>
  </si>
  <si>
    <t>СЕРИЯ: КЛАССИКА офсет, выб лак, КБС 140х195</t>
  </si>
  <si>
    <t>265100</t>
  </si>
  <si>
    <t>КЛАССИКА. Дж.Лондон. Мартин Иден</t>
  </si>
  <si>
    <t>978-5-378-35871-7</t>
  </si>
  <si>
    <t xml:space="preserve">Что может произойти, когда ради любви ты решаешь изменить свою судьбу? Мартин Иден — простой моряк, сильный и грубоватый, — и не подозревает, какая бездна разделяет его и Руфь, хрупкую девушку из высшего общества. Их миры сталкиваются, и одна лишь встреча переворачивает жизнь Мартина. Он бросает вызов самому себе: изнурительный труд, бессонные ночи за книгами, отчаянная борьба с бедностью и необразованностью. Ради своей мечты и любви он готов пройти через все. Но сможет ли он стать тем, кем хочет, и остаться собой? И что ждет его на вершине, к которой он так яростно стремится? </t>
  </si>
  <si>
    <t>9785378358717</t>
  </si>
  <si>
    <t>Лондон Джек</t>
  </si>
  <si>
    <t>9193a91f52820d875297effc9125c0d8</t>
  </si>
  <si>
    <t>136х195х33</t>
  </si>
  <si>
    <t>264278</t>
  </si>
  <si>
    <t>КЛАССИКА. Дж.Оруэлл. 1984</t>
  </si>
  <si>
    <t>978-5-378-35855-7</t>
  </si>
  <si>
    <t>Роман «1984» — антиутопия Джорджа Оруэлла, действие которой происходит в тоталитарном обществе, где государство, олицетворяемое Большим Братом, контролирует каждый аспект жизни граждан. Главный герой, Уинстон Смит, работающий в Министерстве Правды, тайно противопоставляет себя партии, что даже на уровне мыслей в государстве считается преступлением. Спустя время Уинстон встречает девушку и влюбляется в неё, что делает его уязвимым: любовные отношения в Океании запрещены. Трагическая история человека, живущего под прессом тоталитарного общества, написанная Джорджем Оруэллом заставляет задуматься о свободе и праве выбора каждого человека.</t>
  </si>
  <si>
    <t>9785378358557</t>
  </si>
  <si>
    <t>Оруэлл Джордж</t>
  </si>
  <si>
    <t>5a4f74686b324a4e5cb22d59c1078a25</t>
  </si>
  <si>
    <t>136х195х25</t>
  </si>
  <si>
    <t>265099</t>
  </si>
  <si>
    <t>КЛАССИКА. М.А.Булгаков. Мастер и Маргарита</t>
  </si>
  <si>
    <t>978-5-378-35873-1</t>
  </si>
  <si>
    <t>Москва 1930-х.
Одинокий писатель, известный под именем Мастер, сжигает рукопись романа о Понтии Пилате. Чтобы спасти своего избранника, его возлюбленная Маргарита готова на сделку с темными силами. А в это время в столицу прибывает загадочный иностранец — профессор Воланд, чьи пророческие шутки оборачиваются хаосом. Кто он: шарлатан, безумец — или нечто куда более древнее? Булгаков создает головокружительный микс из мистики, сатиры и вечной любви, где за вихрем абсурда скрываются вопросы о добре, зле и цене истинного творчества. «Мастер и Маргарита» — это роман, который читатель переживает, как заклинание: однажды попав под его власть, уже не может освободиться.</t>
  </si>
  <si>
    <t>9785378358731</t>
  </si>
  <si>
    <t>Булгаков Михаил</t>
  </si>
  <si>
    <t>fdc47e5ec9c8c6b49c7f441d738007d6</t>
  </si>
  <si>
    <t>265104</t>
  </si>
  <si>
    <t>КЛАССИКА. М.А.Булгаков. Собачье сердце</t>
  </si>
  <si>
    <t>978-5-378-35872-4</t>
  </si>
  <si>
    <t>Повесть Михаила Булгакова «Собачье сердце» — сатирическое произведение, в котором раскрывается критика большевизма и идеи преобразования человечества. По сюжету гениальный ученый профессор Преображенский идет на небывалый эксперимент — он пересаживает гипофиз хулигана и пьяницы Клима Чугункина бездомной собаке. Великий эксперимент! Оправдаются ли ожидания ученого? Ответ читатели узнают в книге!</t>
  </si>
  <si>
    <t>9785378358724</t>
  </si>
  <si>
    <t>135х195х12</t>
  </si>
  <si>
    <t>264279</t>
  </si>
  <si>
    <t>КЛАССИКА. Н.В.Гоголь.Вечера на хуторе близ Диканьки</t>
  </si>
  <si>
    <t>978-5-378-35856-4</t>
  </si>
  <si>
    <t>«Вечера на хуторе близ Диканьки» — сборник из восьми рассказов, вдохновленных фольклором Малороссии. Николай Гоголь смог сплести воедино мистику и юмор так, чтобы произведения стали классикой русской литературы, которую интересно читать и детям, и взрослым. В сборнике представлены все восемь рассказов из цикла: «Сорочинская ярмарка», «Вечер накануне Ивана Купала», «Майская ночь,или Утопленница», «Пропавшая грамота», «Ночь перед Рождеством», «Страшная месть», «Иван Федорович Шпонька и его тётушка», «Заколдованное место».</t>
  </si>
  <si>
    <t>9785378358564</t>
  </si>
  <si>
    <t>cb476058a78262f4c93eeb22eb7c8cbf</t>
  </si>
  <si>
    <t>136х195х21</t>
  </si>
  <si>
    <t>265101</t>
  </si>
  <si>
    <t>КЛАССИКА. О.Уайльд. Портрет Дориана Грея</t>
  </si>
  <si>
    <t>978-5-378-35870-0</t>
  </si>
  <si>
    <t>Прекрасный юноша Дориан Грей желает навсегда остаться молодым, но за вечную молодость ему приходится заплатить слишком высокую цену...
Гениальное произведение Оскара Уайльда о тщетности культа красоты, искушении, тщеславии, безудержном стремлении к удовольствиям и развращающей силе порока — роман, который остается актуальным по сей день.</t>
  </si>
  <si>
    <t>9785378358700</t>
  </si>
  <si>
    <t>Оскар Уайльд</t>
  </si>
  <si>
    <t>2984fc9e777836a45adb77b07febe29c</t>
  </si>
  <si>
    <t>136х195х19</t>
  </si>
  <si>
    <t>264280</t>
  </si>
  <si>
    <t>КЛАССИКА. Э.Бронте. Грозовой перевал</t>
  </si>
  <si>
    <t>978-5-378-35857-1</t>
  </si>
  <si>
    <t>«Грозовой перевал» Эмили Бронте — бессмертная история страсти, мести и роковой любви. Погрузитесь в мрачные и завораживающие пейзажи Йоркшира, где разворачивается история Хитклифа и Кэтрин — двух душ, связанных неразрывной, но губительной страстью. Их чувства, полные ярости и отчаяния, разрушают судьбы нескольких поколений, превращая любовь в проклятие. Этот роман — не просто классика, а глубокий психологический шедевр.</t>
  </si>
  <si>
    <t>9785378358571</t>
  </si>
  <si>
    <t>Бронте Эмили</t>
  </si>
  <si>
    <t>d72423c76861fc0fb3defe1f123c408e</t>
  </si>
  <si>
    <t>138х195х31</t>
  </si>
  <si>
    <t>СЕРИЯ: ЛЁГКАЯ КЛАССИКА ДЛЯ ДЕТЕЙ мат.лами, выб.лак, офсет, 145х203 (адаптация)</t>
  </si>
  <si>
    <t>253334</t>
  </si>
  <si>
    <t>ЛЁГКАЯ КЛАССИКА ДЛЯ ДЕТЕЙ. Алиса в Стране чудес</t>
  </si>
  <si>
    <t>978-5-378-35587-7</t>
  </si>
  <si>
    <t>Удивительную сказку Льюиса Кэролла «Алиса в Стране чудес» для серии «Лёгкая классика для детей» адаптировали член Союза детских и юношеских писателей России Этери Заболотная и её соавтор Тамара Демченкова. Текст написан простым и понятным для детей языком. В книге крупный шрифт и множество иллюстраций, что делает чтение лёгким и приятным. «Алиса в Стране чудес» — это увлекательная история о маленькой девочке, которая однажды из любопытства нырнула в кроличью нору и оказалась в удивительной стране, полной чудес и невероятных существ. Вместе с Алисой нам предстоит встретиться с мудрым Чеширским Котом, поучаствовать в безумном чаепитии и пережить множество других захватывающих приключений.</t>
  </si>
  <si>
    <t>9785378355877</t>
  </si>
  <si>
    <t>Льюис Кэрролл, адаптация Заболотной Этери и Демченковой Тамары</t>
  </si>
  <si>
    <t>150fa7aa25d4cbff5142d48858579475</t>
  </si>
  <si>
    <t>145x205x9</t>
  </si>
  <si>
    <t>260233</t>
  </si>
  <si>
    <t>ЛЁГКАЯ КЛАССИКА ДЛЯ ДЕТЕЙ. Остров сокровищ</t>
  </si>
  <si>
    <t>978-5-378-35720-8</t>
  </si>
  <si>
    <t>Знаменитый роман шотландского писателя Роберта Стивенсона пересказали для наших юных читателей современные писатели Этери Заболотная и Тамара Демченкова. Они передали в своём повествовании всю атмосферу приключений, связанную с поиском сокровищ на далёком острове так, чтобы сюжет был интересен и понятен для детей младшего школьного возраста. Юный Джим Хокинс отправляется в опасное путешествие за сокровищами, сталкивается с предательством, заводит новых друзей. Обстоятельства вынуждают юношу стать решительным, мужественным, закаляют его характер. Наш герой с честью выдерживает все испытания и вместе с товарищами находит заветные сокровища!</t>
  </si>
  <si>
    <t>9785378357208</t>
  </si>
  <si>
    <t>Стивенсон Роберт Льюис</t>
  </si>
  <si>
    <t>6119240c449b2d6dff529c4214d3fac9</t>
  </si>
  <si>
    <t>256208</t>
  </si>
  <si>
    <t>ЛЁГКАЯ КЛАССИКА ДЛЯ ДЕТЕЙ. Робинзон Крузо</t>
  </si>
  <si>
    <t>978-5-378-35643-0</t>
  </si>
  <si>
    <t>Знаменитый роман английского писателя Даниэля Дефо пересказал для наших юных читателей современный писатель Александр Егоров. Александр — чуткий автор и большой поклонник истории о путешественнике Робинзоне — смог передать удивительный
сюжет так, чтобы он был понятен и интересен детям младшего школьного возраста. Юный Робинзон Крузо, мечтающий о морских приключениях и богатстве, отправляется в плавание, которое переворачивает его жизнь раз и навсегда. Кораблекрушение вынуждает юношу поселиться на необитаемом острове и выживать в суровых условиях. Но трудности закаляют! Наш герой с честью выдерживает жизненное испытание и даже приобретает добрых товарищей!</t>
  </si>
  <si>
    <t>9785378356430</t>
  </si>
  <si>
    <t>Дефо Даниэль</t>
  </si>
  <si>
    <t>6976edb6f277cb688a33f54db8947f50</t>
  </si>
  <si>
    <t>256209</t>
  </si>
  <si>
    <t>ЛЁГКАЯ КЛАССИКА ДЛЯ ДЕТЕЙ. Шерлок Холмс. Знак четырёх. Часть 2</t>
  </si>
  <si>
    <t>978-5-378-35639-3</t>
  </si>
  <si>
    <t>Детективную повесть Артура Конан Дойла «Знак четырёх» для серии «Лёгкая классика для детей» адаптировал автор книг для подростков Юрий Ситников. Текст написан простым и понятным языком, без сложных слов и конструкций. В книге забавные иллюстрации, что делает чтение ещё более приятным. Это издание поможет ребёнку с юных лет полюбить художественную литературу! «Знак четырёх» — это вторая книга цикла приключений детектива-консультанта Шерлока Холмса и его компаньона доктора Ватсона. Вы узнаете, что интересного произошло в их жизни и познакомитесь с новыми героями. Конечно, вас ждет очередное невероятно запутанное дело, которое детектив и его друг постараются раскрыть при помощи уникального метода дедукции!</t>
  </si>
  <si>
    <t>9785378356393</t>
  </si>
  <si>
    <t>Дойль Артур Конан,адаптация Юрия Ситникова</t>
  </si>
  <si>
    <t>e5a2211f9ce27a2a5c361ac47456226b</t>
  </si>
  <si>
    <t>248056</t>
  </si>
  <si>
    <t>ЛЁГКАЯ КЛАССИКА ДЛЯ ДЕТЕЙ. Шерлок Холмс. Этюд в багровых тонах. Часть 1</t>
  </si>
  <si>
    <t>978-5-378-35445-0</t>
  </si>
  <si>
    <t>Детективную повесть Артура Конан Дойла «Этюд в багровых тонах» для серии «Лёгкая классика для детей» адаптировали финалист премии Русский детектив 2024 Этери Заболотная и её соавтор Тамара Демченкова. Текст написан простым и понятным языком, без сложных слов и конструкций. В книге крупный шрифт и иллюстрации на каждом развороте, что делает чтение лёгким и приятным. Это издание поможет ребёнку с юных лет полюбить читать! «Этюд в багровых тонах» открывает цикл приключений детектива-консультанта Шерлока Холмса и его компаньона доктора Ватсона. В этой книге мы познакомимся с главными героями и увидим, как мастерски Шерлок Холмс может раскрыть преступление при помощи своего уникального метода дедукции.</t>
  </si>
  <si>
    <t>9785378354450</t>
  </si>
  <si>
    <t>Дойль Артур Конан,адаптация Заболотной Этери и Демченковой Тамары</t>
  </si>
  <si>
    <t>4d4aba946c761215e812baba16cda97d</t>
  </si>
  <si>
    <t>145x203x11</t>
  </si>
  <si>
    <t>СЕРИЯ: ПЕРВЫЕ ЛЮБИМЫЕ КНИЖКИ глянц.ламин 175х188</t>
  </si>
  <si>
    <t>278165</t>
  </si>
  <si>
    <t>ПЕРВЫЕ ЛЮБИМЫЕ КНИЖКИ. SOS! Пропал пёс!</t>
  </si>
  <si>
    <t>978-5-378-36095-6</t>
  </si>
  <si>
    <t>Книжка о том, что друга можно любить без всяких условий, просто за то, что он есть...</t>
  </si>
  <si>
    <t>9785378360956</t>
  </si>
  <si>
    <t>f09b4e2cdbf5e72d717b417b5b7052b6</t>
  </si>
  <si>
    <t>175х190х5</t>
  </si>
  <si>
    <t>280982</t>
  </si>
  <si>
    <t>ПЕРВЫЕ ЛЮБИМЫЕ КНИЖКИ. Занимательные головоломки. Новогодние</t>
  </si>
  <si>
    <t>978-5-378-36179-3</t>
  </si>
  <si>
    <t>9785378361793</t>
  </si>
  <si>
    <t>bf4c6aa2f48e4bccf65e77905527222f</t>
  </si>
  <si>
    <t>175х190х6</t>
  </si>
  <si>
    <t>278164</t>
  </si>
  <si>
    <t>ПЕРВЫЕ ЛЮБИМЫЕ КНИЖКИ. Когда друг рядом</t>
  </si>
  <si>
    <t>978-5-378-36094-9</t>
  </si>
  <si>
    <t>Книжка о том, что важно ценить доброе отношение и отвечать взаимностью...</t>
  </si>
  <si>
    <t>9785378360949</t>
  </si>
  <si>
    <t>0752ed59bff4ee36c58242950d755cb6</t>
  </si>
  <si>
    <t>265848</t>
  </si>
  <si>
    <t>ПЕРВЫЕ ЛЮБИМЫЕ КНИЖКИ. Лучший для мамы</t>
  </si>
  <si>
    <t>978-5-378-35891-5</t>
  </si>
  <si>
    <t>Книжка о том, что даже проказник всегда самый любимый для своей мамы...</t>
  </si>
  <si>
    <t>9785378358915</t>
  </si>
  <si>
    <t>9c4d623fd750ead388f5f38f4e5744b6</t>
  </si>
  <si>
    <t>265847</t>
  </si>
  <si>
    <t>ПЕРВЫЕ ЛЮБИМЫЕ КНИЖКИ. Макс в детском саду</t>
  </si>
  <si>
    <t>978-5-378-35890-8</t>
  </si>
  <si>
    <t>Книжка о том, что в детском саду интересно, весело и совсем не страшно...</t>
  </si>
  <si>
    <t>9785378358908</t>
  </si>
  <si>
    <t>66d478e1b3e7b295c364f642cd29f42e</t>
  </si>
  <si>
    <t>281716</t>
  </si>
  <si>
    <t>ПЕРВЫЕ ЛЮБИМЫЕ КНИЖКИ. Полезные сказки с Синим Трактором</t>
  </si>
  <si>
    <t>978-5-378-36192-2</t>
  </si>
  <si>
    <t>9785378361922</t>
  </si>
  <si>
    <t>1da8a6ff5420b877e2167fc337b3b6cf</t>
  </si>
  <si>
    <t>265812</t>
  </si>
  <si>
    <t>ПЕРВЫЕ ЛЮБИМЫЕ КНИЖКИ. Самый храбрый муравей</t>
  </si>
  <si>
    <t>978-5-378-35885-4</t>
  </si>
  <si>
    <t>Книжка о том, что даже самый маленький способен на большие поступки...</t>
  </si>
  <si>
    <t>9785378358854</t>
  </si>
  <si>
    <t>450dec051a54048a6db6659b0479ce67</t>
  </si>
  <si>
    <t>280133</t>
  </si>
  <si>
    <t>ПЕРВЫЕ ЛЮБИМЫЕ КНИЖКИ. Синий Трактор и новогодние чудеса</t>
  </si>
  <si>
    <t>978-5-378-36106-9</t>
  </si>
  <si>
    <t>Что делать, если скоро самый волшебный день в году, а вокруг нет ни одного чуда, хотя бы самого маленького? Конечно, сотворить его самим! Ведь настоящие волшебники не ждут чудес – они их делают сами. Читайте новую историю о зимних приключениях Синего Трактора и встречайте Новый год вместе с любимыми героями!</t>
  </si>
  <si>
    <t>9785378361069</t>
  </si>
  <si>
    <t>d64349b97785ce56dd460c002f0117ba</t>
  </si>
  <si>
    <t>281715</t>
  </si>
  <si>
    <t>ПЕРВЫЕ ЛЮБИМЫЕ КНИЖКИ. Сказки на ночь с Синим Трактором</t>
  </si>
  <si>
    <t>978-5-378-36191-5</t>
  </si>
  <si>
    <t>9785378361915</t>
  </si>
  <si>
    <t>fb2a7c7350ed922fb1ad8178ab1ed05c</t>
  </si>
  <si>
    <t>265843</t>
  </si>
  <si>
    <t>ПЕРВЫЕ ЛЮБИМЫЕ КНИЖКИ. Трактор Вик и большая гонка</t>
  </si>
  <si>
    <t>978-5-378-35886-1</t>
  </si>
  <si>
    <t>Книжка о том, что, несмотря на все преграды, нужно всегда идти к своей мечте...</t>
  </si>
  <si>
    <t>9785378358861</t>
  </si>
  <si>
    <t>2cb29edd4b3d4ce5c5935bdf0373085a</t>
  </si>
  <si>
    <t>265844</t>
  </si>
  <si>
    <t>ПЕРВЫЕ ЛЮБИМЫЕ КНИЖКИ. Трактор Вик и его пожарная команда</t>
  </si>
  <si>
    <t>978-5-378-35887-8</t>
  </si>
  <si>
    <t>Книжка о том, что мы часто заблуждаемся, когда думаем о ком-то плохо...</t>
  </si>
  <si>
    <t>9785378358878</t>
  </si>
  <si>
    <t>a6b3b2cf0bbbf86783e5bed790d8609f</t>
  </si>
  <si>
    <t>265845</t>
  </si>
  <si>
    <t>ПЕРВЫЕ ЛЮБИМЫЕ КНИЖКИ. Трактор Вик спасает лес</t>
  </si>
  <si>
    <t>978-5-378-35888-5</t>
  </si>
  <si>
    <t>Книжка о том, что сообща можно справиться с любой бедой...</t>
  </si>
  <si>
    <t>9785378358885</t>
  </si>
  <si>
    <t>355e78abe64c2261a0032b34b3e4ade6</t>
  </si>
  <si>
    <t>СЕРИЯ: Сборники 7БЦ ЭКОНОМ глянц. ламин. 64 стр 170х246</t>
  </si>
  <si>
    <t>170440</t>
  </si>
  <si>
    <t>Наш общий дом Земля</t>
  </si>
  <si>
    <t>978-5-378-32186-5</t>
  </si>
  <si>
    <t>9785378321865</t>
  </si>
  <si>
    <t>Иванская Майя Александровна</t>
  </si>
  <si>
    <t>170x246x10</t>
  </si>
  <si>
    <t>170439</t>
  </si>
  <si>
    <t>Нескучные правила и советы для умных малышей</t>
  </si>
  <si>
    <t>978-5-378-32190-2</t>
  </si>
  <si>
    <t>9785378321902</t>
  </si>
  <si>
    <t>170435</t>
  </si>
  <si>
    <t>Уроки здоровья для малышей</t>
  </si>
  <si>
    <t>978-5-378-32185-8</t>
  </si>
  <si>
    <t>9785378321858</t>
  </si>
  <si>
    <t>СЕРИЯ: ТРОГАТЕЛЬНЫЕ ИСТОРИИ глянц.ламин, тиснение 145х203</t>
  </si>
  <si>
    <t>274992</t>
  </si>
  <si>
    <t>ТРОГАТЕЛЬНЫЕ ИСТОРИИ. Котёнок Брысь обретает дом</t>
  </si>
  <si>
    <t>978-5-378-36093-2</t>
  </si>
  <si>
    <t>Брысь — так чаще всего называют серого дворового кота, который каждое утро встречает сонных жителей у дверей подъезда и провожает их по делам. Он очень любит людей, но люди несправедливы к нему: прогоняют, ругают, не пускают под крышу. А Брысь всё равно остаётся рядом — терпеливый, добрый и удивительно преданный. В книге собраны трогательные истории о котёнке Брысе, которого на самом деле зовут Дымок. Рассказы познакомят вас с теми, чьи жизни незаметно меняет этот пушистый
добряк, поведают о детях и взрослых, о равнодушии и заботе, доброте и маленьких ежедневных чудесах. Тёплая, искренняя книга о сострадании, ответственности и о том, как важно уметь видеть сердцем.</t>
  </si>
  <si>
    <t>9785378360932</t>
  </si>
  <si>
    <t>ffd6be29331d13b9aadc4875c43bc7d4</t>
  </si>
  <si>
    <t>ламин+тисн.голограф.фольг</t>
  </si>
  <si>
    <t>144х203х12</t>
  </si>
  <si>
    <t>278118</t>
  </si>
  <si>
    <t>ТРОГАТЕЛЬНЫЕ ИСТОРИИ. Мой лучший друг. Каждому нужен дом</t>
  </si>
  <si>
    <t>978-5-378-36137-3</t>
  </si>
  <si>
    <t>Однажды ты встретишь его. Своего лучшего друга. И эта встреча навсегда изменит твою жизнь. В книге собраны трогательные истории о мальчиках и девочках, которые нашли хвостатых друзей. И о зверушках, которые нашли своих людей. Вы узнаете, как щенок, выброшенный на помойку, обрёл лучший дом, как рыжий котёнок-хулиган завоевал сердце строгого папы, и почему бездомный пёс получил имя Сусанин. Сборник расскажет ребёнку, почему нельзя бросать друзей, как важно брать ответственность за тех, кого приручил, и что даже у обычной дворняги может быть самое большое
сердце в мире.</t>
  </si>
  <si>
    <t>9785378361373</t>
  </si>
  <si>
    <t>Старикова Екатерина</t>
  </si>
  <si>
    <t>ламинация, голография</t>
  </si>
  <si>
    <t>278117</t>
  </si>
  <si>
    <t>ТРОГАТЕЛЬНЫЕ ИСТОРИИ. Собачка Булка находит семью</t>
  </si>
  <si>
    <t>978-5-378-36136-6</t>
  </si>
  <si>
    <t>Булка — дворняжка. Она живёт под мостом. Вольная жизнь ей по душе, и она искренне не понимает своих друзей, мечтающих о каком-то там домашнем уюте и «своём» человеке. Но однажды Булка попадает в приют «Тёплые руки». Тут её ждут удивительные знакомства с самыми разными людьми, собачья выставка и даже модельный подиум. Но ни один человек не проходит её строгий экзамен. Добрая и трогательная история о том, что настоящая семья ищет и ждёт тебя именно таким, какой ты есть. О том, что дом — это не стены, а запах свежей выпечки и место, где тебе всегда рады. Идеально для чтения в обнимку с собакой:)</t>
  </si>
  <si>
    <t>9785378361366</t>
  </si>
  <si>
    <t>42070df19a6a2664dccc123dfd7ac9c5</t>
  </si>
  <si>
    <t>144х203х11</t>
  </si>
  <si>
    <t>СЕРИЯ: Я ЧИТАЮ глянц.ламин, КБС 165х240</t>
  </si>
  <si>
    <t>218650</t>
  </si>
  <si>
    <t>Я ЧИТАЮ. 13 страшных историй 144стр</t>
  </si>
  <si>
    <t>978-5-378-34540-3</t>
  </si>
  <si>
    <t>Любишь пощекотать нервы? Тогда скорей открывай эту книгу - сборник жутких рассказов, от которых холодеют руки и бросает в дрожь! Со слов героев, все истории - чистая правда. Но кто знает, может, страшилки - это небылицы ребят, которые соревнуются между собой в фантазии и выдумке?</t>
  </si>
  <si>
    <t>9785378345403</t>
  </si>
  <si>
    <t>d7a25288386735e3240d652e939973bb</t>
  </si>
  <si>
    <t>218651</t>
  </si>
  <si>
    <t>Я ЧИТАЮ. Блокадный танец Ленинграда 128стр</t>
  </si>
  <si>
    <t>978-5-378-34542-7</t>
  </si>
  <si>
    <t>9785378345427</t>
  </si>
  <si>
    <t>eb4a5444bd79951da73fd532a0a4f3f5</t>
  </si>
  <si>
    <t>30.11.2023 0:00:00</t>
  </si>
  <si>
    <t>218647</t>
  </si>
  <si>
    <t>Я ЧИТАЮ. Волшебная песня мышки Поли 128стр</t>
  </si>
  <si>
    <t>978-5-378-34539-7</t>
  </si>
  <si>
    <t>Много лет назад в старом сапоге, брошенном кем-то на берегу реки, поселилось славное мышиное семейство. Долгое время в доме царили тишина и спокойствие, пока не родилась Поли — мышка с удивительно красивым и сильным голосом. Малышка так любила петь, что голосила днями напролёт. Поначалу семья не могла нарадоваться её таланту, но вскоре восторг сменился разочарованием: она ведь больше ничего не умеет! С тех пор Поли только помогала родным по хозяйству. И совсем перестала петь... Но однажды к берегу причалил дядюшка, давно покинувший сапог в поисках морских приключений. Его мечта пока не сбылась, зато он готов помочь голосистой племяннице стать великой певицей...</t>
  </si>
  <si>
    <t>9785378345397</t>
  </si>
  <si>
    <t>Гундер Анастасия Витальевна</t>
  </si>
  <si>
    <t>73870e59b99c7b88f8455259c0bc2666</t>
  </si>
  <si>
    <t>228343</t>
  </si>
  <si>
    <t>Я ЧИТАЮ. Детективное агентство "Чёрный коготь" 80стр</t>
  </si>
  <si>
    <t>978-5-378-34789-6</t>
  </si>
  <si>
    <t>9785378347896</t>
  </si>
  <si>
    <t>aee7b84e742c63f8425a92f112234971</t>
  </si>
  <si>
    <t>228342</t>
  </si>
  <si>
    <t>Я ЧИТАЮ. Загадка пропавшей капибары 80стр</t>
  </si>
  <si>
    <t>978-5-378-34788-9</t>
  </si>
  <si>
    <t>9785378347889</t>
  </si>
  <si>
    <t>3a10458cc646a55f2d461d13301a65db</t>
  </si>
  <si>
    <t>218649</t>
  </si>
  <si>
    <t>Я ЧИТАЮ. Исчезновение королевского перстня 144стр</t>
  </si>
  <si>
    <t>978-5-378-34544-1</t>
  </si>
  <si>
    <t>9785378345441</t>
  </si>
  <si>
    <t>3080e1032a57cc8a443e2f240960919b</t>
  </si>
  <si>
    <t>240163</t>
  </si>
  <si>
    <t>Я ЧИТАЮ. Моя весёлая семейка, или Зоопарк на седьмом этаже 80стр</t>
  </si>
  <si>
    <t>978-5-378-35195-4</t>
  </si>
  <si>
    <t>Думаешь, тебя окружают странные люди? Как бы не так! Посмотри вокруг, а лучше прочитай книгу, которую держишь в руках. Весёлая повесть о семье, дружбе и братьях наших меньших, основанная на реальных событиях, непременно поднимет настроение и рассмешит.
В обычной городской многоэтажке живёт 10-летний мальчик с мамой.
Антоша готов помочь всем животным – от обычного ежа до испанского иглистого тритона. Служитель искусства Ольга Викторовна тоже не прочь заселить в квартиру экзотическую живность, но её больше увлекают редкие музыкальные инструменты, способные звучать в унисон с её сердцем.</t>
  </si>
  <si>
    <t>9785378351954</t>
  </si>
  <si>
    <t>e9676b271e0647333ee80b440d8807bf</t>
  </si>
  <si>
    <t>228333</t>
  </si>
  <si>
    <t>Я ЧИТАЮ. Страшные истории нашего двора 96стр</t>
  </si>
  <si>
    <t>978-5-378-34735-3</t>
  </si>
  <si>
    <t>Хорошо тем, кого летом повезли на море. Или, например, отправили в лагерь. Но чем заняться, если все каникулы предстоит провести в городе? Конечно, рассказывать страшилки! Тем более, что можно самому выбрать концовку. Жуткую до дрожи для бывалых или лёгкую для новичков? Давай же, принимай решение!</t>
  </si>
  <si>
    <t>9785378347353</t>
  </si>
  <si>
    <t>9c9661c60c6a32ed727869fe72ffd697</t>
  </si>
  <si>
    <t>218648</t>
  </si>
  <si>
    <t>Я ЧИТАЮ. Сундучок храбрости 96стр</t>
  </si>
  <si>
    <t>978-5-378-34541-0</t>
  </si>
  <si>
    <t>Это история о настоящей дружбе, доброте, оптимизме и жизнелюбии.
Женька впервые попадает в отделение детской больницы и узнаёт, что ему предстоит пробыть там несколько дней без мамы. Справиться со страхами ему помогают новые друзья, у которых есть небольшой сундучок с волшебным секретом...</t>
  </si>
  <si>
    <t>9785378345410</t>
  </si>
  <si>
    <t>3a100a14ebdc4845828303f38fa7d0ba</t>
  </si>
  <si>
    <t>240165</t>
  </si>
  <si>
    <t>Я ЧИТАЮ. Тайна молочника из королевского сервиза 80стр</t>
  </si>
  <si>
    <t>978-5-378-35196-1</t>
  </si>
  <si>
    <t>К мистеру Хамо в руки попадает на первый взгляд обычный молочник.
Но после этого начинают происходить странные вещи: за Хамо следят, в его дом забираются неизвестные, а из буфета пропадает точно такой же молочник. Хамо решает, что всё это неспроста, и обращается за помощью к Лиле и Питеру. Детективное агентство
«Чёрный коготь» снова в деле!</t>
  </si>
  <si>
    <t>9785378351961</t>
  </si>
  <si>
    <t>f2f059aeeb010efbf5ab328d3c3b0bdc</t>
  </si>
  <si>
    <t>СКАЗКИ</t>
  </si>
  <si>
    <t>СЕРИЯ: 3 ЛЮБИМЫЕ СКАЗКИ офсет 160 гр, глянц.ламин. 145х203</t>
  </si>
  <si>
    <t>256159</t>
  </si>
  <si>
    <t>3 ЛЮБИМЫЕ СКАЗКИ. КОЛОБОК</t>
  </si>
  <si>
    <t>978-5-378-35625-6</t>
  </si>
  <si>
    <t>Серия «3 любимые сказки» - это сборники лучших детских сказок со всего света. Интересные истории, украшенные яркими иллюстрациями, понравятся детям любых возрастов. Эта книжка откроет маленькому читателю дверцу в волшебный мир.</t>
  </si>
  <si>
    <t>9785378356256</t>
  </si>
  <si>
    <t>в обработке Ушинского Константина Дмитриевича,Толстого Алексея Николаевича,Афанасьева Александра Николаевича</t>
  </si>
  <si>
    <t>fca940b4f4d174a4667aa63ded4b2c81</t>
  </si>
  <si>
    <t>256161</t>
  </si>
  <si>
    <t>3 ЛЮБИМЫЕ СКАЗКИ. КРАСНАЯ ШАПОЧКА</t>
  </si>
  <si>
    <t>978-5-378-35628-7</t>
  </si>
  <si>
    <t>9785378356287</t>
  </si>
  <si>
    <t>Перро Шарль, Братья Гримм</t>
  </si>
  <si>
    <t>b3f43e7df26df3d5a361c90d4c72f214</t>
  </si>
  <si>
    <t>256164</t>
  </si>
  <si>
    <t>3 ЛЮБИМЫЕ СКАЗКИ. КУРОЧКА РЯБА</t>
  </si>
  <si>
    <t>978-5-378-35626-3</t>
  </si>
  <si>
    <t>9785378356263</t>
  </si>
  <si>
    <t>в обработке Ушинского Константина Дмитриевича, Афанасьева Александра Николаевича</t>
  </si>
  <si>
    <t>f0de618e0dc4508c01ba4dbe210a882c</t>
  </si>
  <si>
    <t>256165</t>
  </si>
  <si>
    <t>3 ЛЮБИМЫЕ СКАЗКИ. РЕПКА</t>
  </si>
  <si>
    <t>978-5-378-35627-0</t>
  </si>
  <si>
    <t>9785378356270</t>
  </si>
  <si>
    <t>в обработке Толстого Алексея Николаевича, Ушинского Константина Дмитриевича</t>
  </si>
  <si>
    <t>8a02d6312184341f2c8bafb7bd1078ac</t>
  </si>
  <si>
    <t>СЕРИЯ: 3 ЛЮБИМЫХ СКАЗКИ офсет 100 гр, глянц.ламин. 140х200</t>
  </si>
  <si>
    <t>027923</t>
  </si>
  <si>
    <t>ТРИ ЛЮБИМЫХ СКАЗКИ. ДВА ВЕСЁЛЫХ ГУСЯ</t>
  </si>
  <si>
    <t>978-5-378-20301-7</t>
  </si>
  <si>
    <t>В этом ярком сборнике вы найдете три прекрасные потешки, которые обязательно понравятся даже самым юным читателям. Красочные иллюстрации захватят внимание вашего ребенка, а простые и интересные строки он сможет не только с интересом прочесть, но и наверняка с лёгкостью выучит многие из них наизусть!</t>
  </si>
  <si>
    <t>9785378203017</t>
  </si>
  <si>
    <t>22.09.2017 0:00:00</t>
  </si>
  <si>
    <t>Три любимых сказки</t>
  </si>
  <si>
    <t>140x200x6</t>
  </si>
  <si>
    <t>027915</t>
  </si>
  <si>
    <t>ТРИ ЛЮБИМЫХ СКАЗКИ. КОЛОБОК</t>
  </si>
  <si>
    <t>978-5-378-20378-9</t>
  </si>
  <si>
    <t>В этой книге вас и вашего ждут любимые русские народные сказки о самых любимых и известных героях: о веселом и забавном Колобке, который от всех убегал, о курочке Рябе и ее необычном яичке, и о хитром мужике и медведе, которые делили общий урожай. А яркие иллюстрации добавят новые краски в знакомые истории.</t>
  </si>
  <si>
    <t>9785378203789</t>
  </si>
  <si>
    <t>14382d53b5a62bbebae334f1386c1d3f</t>
  </si>
  <si>
    <t>04.04.2018 0:00:00</t>
  </si>
  <si>
    <t>027930</t>
  </si>
  <si>
    <t>ТРИ ЛЮБИМЫХ СКАЗКИ. ПЕТУШОК-ЗОЛОТОЙ ГРЕБЕШОК</t>
  </si>
  <si>
    <t>978-5-378-20296-6</t>
  </si>
  <si>
    <t>Три любимых сказки ждут вас и вашего малыша на страницах этого сборника: «Петушок-золотой гребешок», «Мальчик-с-пальчик» и «Лисичка со скалочкой». Эти добрые, поучительные, занимательные истории никогда не смогут надоесть. Как весело снова и снова читать о забавных приключениях хитрой лисички, о храбром Мальчике-с-пальчике и задорном петушке. Книгу полюбят даже самые маленькие благодаря ярким интересным иллюстрациям.</t>
  </si>
  <si>
    <t>9785378202966</t>
  </si>
  <si>
    <t>6acf2d643209976daa2392066fd01a8d</t>
  </si>
  <si>
    <t>18.10.2017 0:00:00</t>
  </si>
  <si>
    <t>027934</t>
  </si>
  <si>
    <t>ТРИ ЛЮБИМЫХ СКАЗКИ. СОРОКА-БЕЛОБОКА</t>
  </si>
  <si>
    <t>978-5-378-20304-8</t>
  </si>
  <si>
    <t>Три любимых потешки ждут вас и вашего малыша на страницах этого сборника: «Сорока-белобока», «Серенький козлик» и «Топ-топ топотушки». Потешки — детские весёлые стишки, которые отлично подходят для чтения взрослыми даже самым маленьким деткам. Ритм, рифма и разнообразие интонаций подарят ребёнку море положительных впечатлений. Книга станет отличным дополнением любой детской книжной полки.</t>
  </si>
  <si>
    <t>9785378203048</t>
  </si>
  <si>
    <t>под ред. А. Дюжиковой</t>
  </si>
  <si>
    <t>773130a7de7501ee697922e11662e102</t>
  </si>
  <si>
    <t>СЕРИЯ: БОЛЬШАЯ КНИГА СКАЗОК ДЛЯ МАЛЫШЕЙ тиснение, глянц.ламин. офсет 55 гр, 170х215</t>
  </si>
  <si>
    <t>240172</t>
  </si>
  <si>
    <t>БОЛЬШАЯ КНИГА СКАЗОК ДЛЯ МАЛЫШЕЙ. 250 СКАЗОК, СТИХОВ И БАСЕН</t>
  </si>
  <si>
    <t>978-5-378-35194-7</t>
  </si>
  <si>
    <t>250 разнообразных произведений для малышей в одной книге — что может быть лучше?! Загадки, стихи, потешки, сказки и басни — всё это ждёт читателей на страницах сборника. Загляните в книгу и попадите в мир увлекательных историй, весёлых приключений и смелых героев!</t>
  </si>
  <si>
    <t>9785378351947</t>
  </si>
  <si>
    <t>9d593d3237bb6a9fb04f11c772f1df8b</t>
  </si>
  <si>
    <t>110560</t>
  </si>
  <si>
    <t>БОЛЬШАЯ КНИГА СКАЗОК ДЛЯ МАЛЫШЕЙ. А.С. ПУШКИН. СТИХИ И СКАЗКИ</t>
  </si>
  <si>
    <t>978-5-378-29308-7</t>
  </si>
  <si>
    <t>Перед вами сборник произведений великого русского поэта Александра Сергеевича Пушкина. Внутри вы найдёте все его сказки, самые известные стихотворения, которые включены в школьную программу, а также поэму "Руслан и Людмила".</t>
  </si>
  <si>
    <t>9785378293087</t>
  </si>
  <si>
    <t>Пушкин Александр Сергеевич</t>
  </si>
  <si>
    <t>164972</t>
  </si>
  <si>
    <t>БОЛЬШАЯ КНИГА СКАЗОК ДЛЯ МАЛЫШЕЙ. ВСЕ СКАЗКИ ДЛЯ МАЛЫШЕЙ</t>
  </si>
  <si>
    <t>978-5-378-31868-1</t>
  </si>
  <si>
    <t>В книге собраны первые, самые популярные и любимые сказки для малышей - как русские, так и зарубежные. Поучительные истории, необыкновенные приключения, весёлые и забавные герои, а также качественные современные иллюстрации - всё это ждёт ваших малышей, стоит только открыть книгу!</t>
  </si>
  <si>
    <t>9785378318681</t>
  </si>
  <si>
    <t>0fcfb21dc6d7f7d951a53abd17899dd8</t>
  </si>
  <si>
    <t>198331</t>
  </si>
  <si>
    <t>БОЛЬШАЯ КНИГА СКАЗОК ДЛЯ МАЛЫШЕЙ. ПОЛЕЗНЫЕ СКАЗКИ ДЛЯ МАЛЫШЕЙ</t>
  </si>
  <si>
    <t>978-5-378-34160-3</t>
  </si>
  <si>
    <t>В этой книге собраны сказки современных авторов. На ярких страницах сборника юный читатель встретит забавных, дружных и любознательных героев, жизнь которых полна волшебства и приключений, а происходящие события покажут, насколько важна поддержка, как преодолеть стеснение и поверить в себя, как исполнить мечту и почему так важно чистить зубки.</t>
  </si>
  <si>
    <t>9785378341603</t>
  </si>
  <si>
    <t>Хворост Александра Юрьевна,Бонда Дарья,Каграманова Екатерина Рамзиковна,Голубятникова Ольга Ивановна</t>
  </si>
  <si>
    <t>960195a5cab7244ec897d4cbd65c9d2f</t>
  </si>
  <si>
    <t>170х216х12</t>
  </si>
  <si>
    <t>281678</t>
  </si>
  <si>
    <t>БОЛЬШАЯ КНИГА СКАЗОК ДЛЯ МАЛЫШЕЙ. СКАЗКИ БРАТЬЕВ ГРИММ</t>
  </si>
  <si>
    <t>978-5-378-36237-0</t>
  </si>
  <si>
    <t>Этот сборник открывает дверь в удивительный мир классических
немецких сказок братьев Якоба и Вильгельма Гримм. На его страницах оживают смелые герои, верные друзья, мудрые лесные звери и коварные злодеи. Юные читатели с удовольствием погрузятся в захватывающие приключения из сказок «Белоснежка», «Гензель и Гретель», «Бременские музыканты» и других шедевров мирового фольклора. Богатое иллюстративное оформление и увлекательные сюжеты подарят маленьким мечтателям много положительных эмоций.</t>
  </si>
  <si>
    <t>9785378362370</t>
  </si>
  <si>
    <t>Братья Гримм</t>
  </si>
  <si>
    <t>251735</t>
  </si>
  <si>
    <t>БОЛЬШАЯ КНИГА СКАЗОК ДЛЯ МАЛЫШЕЙ. СКАЗКИ Г.Х.АНДЕРСЕНА</t>
  </si>
  <si>
    <t>978-5-378-35416-0</t>
  </si>
  <si>
    <t>На страницах этой волшебной книги собраны самые известные и любимые сказки великого датского писателя Ганса Христиана Андерсена. Каждая история переносит юных читателей в мир фантазии, где оживают удивительные персонажи: храбрые принцессы, мудрые животные и добрые волшебники. Читатель познакомится со сказками «Снежная королева», «Гадкий утёнок», «Оле Лукойе» и многими другими, которые учат дружбе, смелости и доброте. Яркие иллюстрации и увлекательные сюжеты не только принесут детям радость, но и заставят задуматься о главных жизненных ценностях.</t>
  </si>
  <si>
    <t>9785378354160</t>
  </si>
  <si>
    <t>b29081125073c605e4b61619efd7ba7f</t>
  </si>
  <si>
    <t>170х220х20</t>
  </si>
  <si>
    <t>159113</t>
  </si>
  <si>
    <t>БОЛЬШАЯ КНИГА СКАЗОК ДЛЯ МАЛЫШЕЙ. СКАЗКИ И РАССКАЗЫ РУССКИХ ПИСАТЕЛЕЙ</t>
  </si>
  <si>
    <t>978-5-378-31468-3</t>
  </si>
  <si>
    <t>В этой замечательной книге собраны знаменитые произведения русских писателей, ставшие классикой детской литературы. Поучительные истории расскажут о добре и справедливости, взаимовыручке и настоящей дружбе. Красочные иллюстрации никого не оставят равнодушным и помогут превратить семейное чтение в настоящую традицию.</t>
  </si>
  <si>
    <t>9785378314683</t>
  </si>
  <si>
    <t>Ушинский Константин Дмитриевич,Толстой Алексей Николаевич,Мамин-Сибиряк Дмитрий Наркисович,Толстой Лев Николаевич,Пришвин Михаил Михайлович,Бажов Павел Петрович,Чарская Лидия Алексеевна,Платонов Андрей Платонович,Бианки Виталий Валентинович</t>
  </si>
  <si>
    <t>cf67218a1919fc1e953e07b25b5d4ff6</t>
  </si>
  <si>
    <t>240170</t>
  </si>
  <si>
    <t>БОЛЬШАЯ КНИГА СКАЗОК ДЛЯ МАЛЫШЕЙ. СКАЗКИ НА НОЧЬ</t>
  </si>
  <si>
    <t>978-5-378-35211-1</t>
  </si>
  <si>
    <t>В этой книге собраны стихи, рассказы и сказки, которые можно читать на ночь. Стихотворения помогут быстрее уснуть малышам, а сказки и былины погрузят в волшебный мир фантазий. Стихи К. Чуковского и других поэтов, цикл произведений «Сказки дядюшки Римуса», былины и русские народные сказки — всё это ждёт вас в этой книге!</t>
  </si>
  <si>
    <t>9785378352111</t>
  </si>
  <si>
    <t>e22270b5c6772e49ff2446aa308c08af</t>
  </si>
  <si>
    <t>268486</t>
  </si>
  <si>
    <t>БОЛЬШАЯ КНИГА СКАЗОК ДЛЯ МАЛЫШЕЙ. СКАЗКИ СИНЕГО ТРАКТОРА</t>
  </si>
  <si>
    <t>978-5-378-35915-8</t>
  </si>
  <si>
    <t>На страницах этой книги малыши и их родители найдут рассказы о новых приключениях Синего Трактора, любимые русские народные и зарубежные сказки, а также весёлые истории о том, как Синий Трактор и его друзья — Поливалка, Грузовик и Каток — играют на детской площадке, познают мир вокруг, учатся дружить, признавать свои ошибки и помогать друг другу. Читайте вместе с любимыми героями!</t>
  </si>
  <si>
    <t>9785378359158</t>
  </si>
  <si>
    <t>Васягина Веста Анатольевна,Толстой Лев Николаевич,Андерсен Ганс Христиан и др</t>
  </si>
  <si>
    <t>68af2582967e8199eaacd15434079856</t>
  </si>
  <si>
    <t>СЕРИЯ: ВСЯ КЛАССИКА ДЕТСКОЙ ЛИТЕРАТУРЫ мат.лами, выб.лак, офсет, 145х203</t>
  </si>
  <si>
    <t>248051</t>
  </si>
  <si>
    <t>ВСЕ ДЕНИСКИНЫ РАССКАЗЫ мат.ламин, выбор.лак, офсет. 147х203</t>
  </si>
  <si>
    <t>978-5-378-35446-7</t>
  </si>
  <si>
    <t>«Денискины рассказы» Виктора Драгунского — это сборник весёлых и добрых историй о детстве, написанных от лица мальчика Дениса Кораблёва. Автор с юмором описывает повседневные вещи, при этом затрагивая важные этические вопросы, такие как дружба, семейные взаимоотношения, отзывчивость, умение брать на себя ответственность, трусость и подстрекательство, ложь старшим и многое другое. Каждый рассказ помогает детям задуматься о своих поступках и их последствиях, что делает чтение не только увлекательным, но и ценным. А лёгкий и увлекательный язык писателя делает книгу доступной для понимания и любимой многими поколениями читателей.</t>
  </si>
  <si>
    <t>9785378354467</t>
  </si>
  <si>
    <t>Драгунский Виктор Юзефович</t>
  </si>
  <si>
    <t>3410e53c9cc01bfc74662ee15761ee7e</t>
  </si>
  <si>
    <t>143х203х25</t>
  </si>
  <si>
    <t>281689</t>
  </si>
  <si>
    <t>ВСЕ РУССКИЕ НАРОДНЫЕ СКАЗКИ мат.лам, выб.лак, офсет. 147х203</t>
  </si>
  <si>
    <t>978-5-378-36239-4</t>
  </si>
  <si>
    <t xml:space="preserve">В этой книге вы найдёте лучшие русские народные сказки для детей, такие как «Сивко-бурко», «Коза-дереза», «Сказка о серебряном блюдечке и наливном яблочке», «Финист — Ясный сокол», «Сестрица Алёнушка и братец Иванушка», а также русские былины: «Илья Муромец и Соловей-разбойник», «Садко» и другие. Русские народные сказки — кладезь мудрости, передающийся из поколения в поколение. В каждой сказке — бесценные уроки добра и любви, взаимовыручки и прощения. Сказки проиллюстрированы чёрно-белыми и цветными картинками с изображениями любимых героев. </t>
  </si>
  <si>
    <t>9785378362394</t>
  </si>
  <si>
    <t>в обработке Афанасьева Александра Николаевича, Толстого Алексея Николаевича, Ушинского Константина Дмитриевича, адаптация Самоделовой Екатерины.</t>
  </si>
  <si>
    <t>145х205х20</t>
  </si>
  <si>
    <t>249527</t>
  </si>
  <si>
    <t>ВСЕ СКАЗКИ ДЛЯ МАЛЫШЕЙ мат.лам, выб.лак, офсет. 147х203</t>
  </si>
  <si>
    <t>978-5-378-35480-1</t>
  </si>
  <si>
    <t>В этой книге собраны самые любимые русские народные и зарубежные сказки. Курочка Ряба, Колобок, Серый волк, Лисичка, Петушок-золотой гребешок, Гуси-лебеди, Красная Шапочка, Кот в сапогах, Дюймовочка и многие другие сказочные персонажи встретятся малышам на её страницах. Они научат детей не расстраиваться по пустякам, быть находчивыми и решительными, покажут как важно ответственно выполнять поручения родителей, отличать добро от зла, не верить незнакомцам и быть осторожными, расскажут о хитрости, честности и жадности. Каждую сказочную историю сопровождают иллюстрации. Они обязательно привлекут внимание и заинтересуют самых маленьких читателей!</t>
  </si>
  <si>
    <t>9785378354801</t>
  </si>
  <si>
    <t>e928eb2b8e982780d1b8a0cf6bad8586</t>
  </si>
  <si>
    <t>248049</t>
  </si>
  <si>
    <t>ВСЕ СКАЗКИ И СТИХИ А.С. ПУШКИНА мат.ламин, выбор.лак, офсет. 147х203</t>
  </si>
  <si>
    <t>978-5-378-35436-8</t>
  </si>
  <si>
    <t>Заглянув в эту книгу, вы погрузитесь в удивительный мир, созданный непревзойдённым слогом Александра Сергеевича Пушкина. Сборник включает все сказки великого русского поэта, знаменитую поэму «Руслан и Людмила» и «Песнь о Вещем Олеге», а также стихотворения классика, включённые в школьную программу. Пушкин не только увлекает читателя в мир сказочных событий, но и затрагивает важные темы, такие как добро и зло, любовь и предательство, награда и наказание. Его произведения всегда остаются актуальными, ведь они учат справедливости и мудрости, а также развивают воображение. Эта книга станет прекрасным дополнением вашей домашней детской библиотеки!</t>
  </si>
  <si>
    <t>9785378354368</t>
  </si>
  <si>
    <t>e038989c0f568675cea2c3db10946224</t>
  </si>
  <si>
    <t>255310</t>
  </si>
  <si>
    <t>ВСЕ СКАЗКИ КОРНЕЯ ЧУКОВСКОГО мат.ламин, выбор.лак, офсет. 147х203</t>
  </si>
  <si>
    <t>978-5-378-35613-3</t>
  </si>
  <si>
    <t>Этот сборник познакомит малышей с творчеством Корнея Ивановича Чуковского, откроет дверь в удивительный мир его сказочных персонажей. На страницах книги ребятам встретятся Айболит, Бармалей, Муха-Цокотуха, Мойдодыр, Тараканище и другие герои.
Дети узнают, что значит доброта, смелость, чистоплотность и сочувствие, и поймут, как важно уметь постоять за себя, не бояться трудностей, быть честным и слушаться родителей. Каждую сказочную историю сопровождают иллюстрации. Они обязательно привлекут внимание и заинтересуют самых маленьких читателей!</t>
  </si>
  <si>
    <t>9785378356133</t>
  </si>
  <si>
    <t>a224329e6d1c08110fad07faa9ebb4ef</t>
  </si>
  <si>
    <t>СЕРИЯ: КОЛЛЕКЦИОННАЯ СЕРИЯ (С ВЫРУБКОЙ) офсет, глиттер, мелов.бум.,тв.обл. 200х255</t>
  </si>
  <si>
    <t>031373</t>
  </si>
  <si>
    <t>К.С. (С ВЫРУБКОЙ) ТРИ ТОЛСТЯКА</t>
  </si>
  <si>
    <t>978-5-378-24798-1</t>
  </si>
  <si>
    <t>Знаменитая сказка Юрия Олеши "Три толстяка" обязательно понравится ребятам. В ней столько удивительных приключений, ярких и запоминающихся героев! Добро и справедливость в этой сказке торжествуют над злом и жестокостью,а прекрасные иллюстрации Евгении Иванеевой удивительно гармонируют с содержанием произведения.</t>
  </si>
  <si>
    <t>9785378247981</t>
  </si>
  <si>
    <t>Олеша Юрий Карлович</t>
  </si>
  <si>
    <t>12.04.2016 0:00:00</t>
  </si>
  <si>
    <t>Коллекционная серия (с вырубкой)</t>
  </si>
  <si>
    <t>200x255x14</t>
  </si>
  <si>
    <t>СЕРИЯ: КОЛЛЕКЦИЯ ЛУЧШИХ СКАЗОК мат.ламин, выб.лак КБС 155х210</t>
  </si>
  <si>
    <t>264285</t>
  </si>
  <si>
    <t>КОЛЛЕКЦИЯ ЛУЧШИХ СКАЗОК. Русские народные сказки</t>
  </si>
  <si>
    <t>978-5-378-35859-5</t>
  </si>
  <si>
    <t>Баба Яга, Кощей бессмертный, Финист – Ясный сокол и другие персонажи ждут наших читателей под обложкой этого сборника. В книге вы найдёте лучшие русские народные сказки для детей, такие как «Хаврошечка», «Коза-дереза», «Сказка о серебряном блюдечке и наливном яблочке», «Сестрица Алёнушка и братец Иванушка», а также русские былины: «Илья Муромец и Соловей-разбойник», «Святогор-богатырь» и другие. Русские народные сказки – кладезь мудрости, передающийся из поколения в поколение. В каждой сказке – бесценные уроки добра и любви, взаимовыручки и прощения.</t>
  </si>
  <si>
    <t>9785378358595</t>
  </si>
  <si>
    <t>7194125528712b375f2e8477cc2f5ac1</t>
  </si>
  <si>
    <t>155х210х18</t>
  </si>
  <si>
    <t>СЕРИЯ: ЛУЧШАЯ КНИГА СКАЗОК офсет 100гр, глянц.ламин. 247х328</t>
  </si>
  <si>
    <t>278173</t>
  </si>
  <si>
    <t>ЛУЧШАЯ КНИГА СКАЗОК. ДОБРЫЕ ИСТОРИИ</t>
  </si>
  <si>
    <t>978-5-378-36111-3</t>
  </si>
  <si>
    <t>Детские сказки - это не просто лёгкие истории, призванные развлечь или рассмешить. В каждой из них - бесценные уроки добра и любви, взаимовыручки и прощения. Усвоив их, маленький читатель непременно выберет правильный путь в жизни и честно будет ему следовать.</t>
  </si>
  <si>
    <t>9785378361113</t>
  </si>
  <si>
    <t>Бонда Дарья</t>
  </si>
  <si>
    <t>246х330х7</t>
  </si>
  <si>
    <t>263043</t>
  </si>
  <si>
    <t>ЛУЧШАЯ КНИГА СКАЗОК. ЗАРУБЕЖНЫЕ СКАЗКИ</t>
  </si>
  <si>
    <t>978-5-378-35803-8</t>
  </si>
  <si>
    <t>9785378358038</t>
  </si>
  <si>
    <t>Перро Шарль, Братья Гримм, Андерсен Ганс Христиан</t>
  </si>
  <si>
    <t>e16094a7aaec933b1506a0647bdb1b28</t>
  </si>
  <si>
    <t>263046</t>
  </si>
  <si>
    <t>ЛУЧШАЯ КНИГА СКАЗОК. ЛУЧШИЙ ДЛЯ МАМЫ</t>
  </si>
  <si>
    <t>978-5-378-35805-2</t>
  </si>
  <si>
    <t>9785378358052</t>
  </si>
  <si>
    <t>314c6dbb249998f5dd32202d8922b5c2</t>
  </si>
  <si>
    <t>263048</t>
  </si>
  <si>
    <t>ЛУЧШАЯ КНИГА СКАЗОК. НОВОГОДНИЕ СКАЗКИ</t>
  </si>
  <si>
    <t>978-5-378-35807-6</t>
  </si>
  <si>
    <t>9785378358076</t>
  </si>
  <si>
    <t>Яковлева Нюта,Бурак Елена Сергеевна</t>
  </si>
  <si>
    <t>30e1b443d06bb69f119d410145c8a3ae</t>
  </si>
  <si>
    <t>263039</t>
  </si>
  <si>
    <t>ЛУЧШАЯ КНИГА СКАЗОК. ПОЛЕЗНЫЕ СКАЗКИ</t>
  </si>
  <si>
    <t>978-5-378-35800-7</t>
  </si>
  <si>
    <t>9785378358007</t>
  </si>
  <si>
    <t>Харитонова Мария,Дмитриева Светлана</t>
  </si>
  <si>
    <t>fffdaab335ba669fd3cd82775acf1c02</t>
  </si>
  <si>
    <t>263040</t>
  </si>
  <si>
    <t>ЛУЧШАЯ КНИГА СКАЗОК. РУССКИЕ НАРОДНЫЕ СКАЗКИ</t>
  </si>
  <si>
    <t>978-5-378-35801-4</t>
  </si>
  <si>
    <t>9785378358014</t>
  </si>
  <si>
    <t>b43ab9ab30d6fe8c70f086ae92eb1e01</t>
  </si>
  <si>
    <t>263044</t>
  </si>
  <si>
    <t>ЛУЧШАЯ КНИГА СКАЗОК. СКАЗКИ ПРО КОТЁНКА ПУХА</t>
  </si>
  <si>
    <t>978-5-378-35804-5</t>
  </si>
  <si>
    <t>9785378358045</t>
  </si>
  <si>
    <t>c4a35d39a58170d42a88a33d2519a3cc</t>
  </si>
  <si>
    <t>263047</t>
  </si>
  <si>
    <t>ЛУЧШАЯ КНИГА СКАЗОК. СКАЗКИ ПУШКИНА</t>
  </si>
  <si>
    <t>978-5-378-35806-9</t>
  </si>
  <si>
    <t>9785378358069</t>
  </si>
  <si>
    <t>9781375c0d65cd5169bfa19022ae868a</t>
  </si>
  <si>
    <t>263041</t>
  </si>
  <si>
    <t>ЛУЧШАЯ КНИГА СКАЗОК. СКАЗКИ СИНЕГО ТРАКТОРА</t>
  </si>
  <si>
    <t>978-5-378-35802-1</t>
  </si>
  <si>
    <t>9785378358021</t>
  </si>
  <si>
    <t>1555176d365c380451c113119a7c068b</t>
  </si>
  <si>
    <t>278176</t>
  </si>
  <si>
    <t>ЛУЧШАЯ КНИГА СКАЗОК. СКАЗОЧНЫЕ ДЕТЕКТИВЫ</t>
  </si>
  <si>
    <t>978-5-378-36112-0</t>
  </si>
  <si>
    <t>9785378361120</t>
  </si>
  <si>
    <t>СЕРИЯ: ЛУЧШЕЕ ДЛЯ НАШИХ МАЛЫШЕЙ офсет 100гр, глянц.ламин. 145х200</t>
  </si>
  <si>
    <t>222326</t>
  </si>
  <si>
    <t>ЛУЧШЕЕ ДЛЯ НАШИХ МАЛЫШЕЙ. Малышам о насекомых</t>
  </si>
  <si>
    <t>978-5-378-34614-1</t>
  </si>
  <si>
    <t>Малыш, скорее открывай книгу! Внутри ты найдёшь четыре увлекательные истории о божьей коровке, улитке, муравье и пчёлке. Эти насекомые такие удивительные! Божья коровка борется с тлёй и другими вредителями, улитка всегда носит свой дом с собой, у муравьишки самая большая семья, а пчёлка целыми днями собирает нектар. Очаровательные букашки расскажут тебе много интересного о своей жизни, привычках и увлечениях! Обещаем, будет интересно!</t>
  </si>
  <si>
    <t>9785378346141</t>
  </si>
  <si>
    <t>d54f0434b0388f78e0dab0d58695aa8f</t>
  </si>
  <si>
    <t>220559</t>
  </si>
  <si>
    <t>ЛУЧШЕЕ ДЛЯ НАШИХ МАЛЫШЕЙ. Малышам о транспорте</t>
  </si>
  <si>
    <t>978-5-378-34445-1</t>
  </si>
  <si>
    <t>Малыш, скорее открывай книгу! Внутри ты найдёшь четыре увлекательные истории об автобусе, вертолёте, корабле и подводной лодке. Они такие разные: кто-то передвигается по воде, кто-то по воздуху, а кто-то по дороге. У каждого транспортного средства есть водитель, пилот или капитан. Они расскажут тебе много интересного о своих стальных друзьях, их особенностях и возможностях. Обещаем, будет интересно!</t>
  </si>
  <si>
    <t>9785378344451</t>
  </si>
  <si>
    <t>Лобко Анастасия,Строителева Анна Владимировна</t>
  </si>
  <si>
    <t>84ad5f2eb055ea66d9e410f857ef54e6</t>
  </si>
  <si>
    <t>214502</t>
  </si>
  <si>
    <t>ЛУЧШЕЕ ДЛЯ НАШИХ МАЛЫШЕЙ. Щенок Пончик и его друзья</t>
  </si>
  <si>
    <t>978-5-378-34446-8</t>
  </si>
  <si>
    <t>Малыш, скорее открывай книгу! Щенок Пончик, кошечка Бусинка, лисёнок Апельсин и медвежонок Мишутка ждут встречи с тобой! Зверята расскажут тебе много интересного о своих вкусах, увлечениях и друзьях! В книге ты найдёшь четыре увлекательные истории о смелом щенке, балованной кошечке, непоседливом лисёнке и находчивом медвежонке. Обещаем, будет интересно!</t>
  </si>
  <si>
    <t>9785378344468</t>
  </si>
  <si>
    <t xml:space="preserve">под ред. А. Лобко </t>
  </si>
  <si>
    <t>6b248b0adcf16f64568468015ac2c1ee</t>
  </si>
  <si>
    <t>СЕРИЯ: ЛЮБИМЫЕ СКАЗКИ (ПОДАРОЧНЫЕ) офсет, глянц.ламин, тв.обл. 203х257</t>
  </si>
  <si>
    <t>018931</t>
  </si>
  <si>
    <t>Л.С. ДЕНИСКИНЫ РАССКАЗЫ 96с.</t>
  </si>
  <si>
    <t>978-5-378-05015-4</t>
  </si>
  <si>
    <t>В книгу вошли самые лучшие произведения из цикла Виктора Драгунского «Денискины рассказы», полюбившиеся уже не одному поколению читателей. В них раскрывается удивительный, радостный и светлый мир детства. Забавные и смешные истории, о которых повествует Денис Кораблев, не теряют своей актуальности и по-прежнему вызывают у юных читателей горячий интерес. Дети обязательно оценят эту книгу! «Денискины рассказы» принесут им много положительных эмоций и впечатлений. В издании представлены замечательные иллюстрации Надежды Пономаревой.</t>
  </si>
  <si>
    <t>9785378050154</t>
  </si>
  <si>
    <t>Любимые сказки (подарочные)</t>
  </si>
  <si>
    <t>200x265x13</t>
  </si>
  <si>
    <t>016731</t>
  </si>
  <si>
    <t>Л.С. КРЫЛОВ. БАСНИ МАЛЫШАМ</t>
  </si>
  <si>
    <t>978-5-378-02563-3</t>
  </si>
  <si>
    <t>Произведения великого русского баснописца И.А. Крылова знают и любят во всем мире. Это сокровище русской литературы. «Его басни, – говорил Н.В. Гоголь, – есть достояние народное, оно составляет книгу мудрости самого народа». И взрослые, и дети могут многому поучиться у героев произведений И.А. Крылова. В книгу вошли самые лучшие и понятные маленькому читателю басни: «Стрекоза и Муравей», «Ворона и Лисица», «Лебедь, Щука и Рак», «Слон и Моська», «Мартышка и очки» и многие другие. Тексты этих произведений сопровождают крупные яркие иллюстрации, которые обязательно понравятся детям.</t>
  </si>
  <si>
    <t>9785378025633</t>
  </si>
  <si>
    <t>Крылов Иван Андреевич</t>
  </si>
  <si>
    <t>8f1c8604e9da2bc193bfc97661dcd2bd</t>
  </si>
  <si>
    <t>004855</t>
  </si>
  <si>
    <t>Л.С. СКАЗКИ АНДЕРСЕНА</t>
  </si>
  <si>
    <t>978-5-94582-037-1</t>
  </si>
  <si>
    <t>Сказки Ганса Христиана Андерсена уже давным-давно стали классикой мировой детской литературы. Сложно найти человека, который не знает их. Сборник произведений этого писателя обязательно должен быть в каждом доме. В данном издании собраны самые известные истории: «Гадкий утёнок», «Русалочка», «Оловянный солдатик», «Дюймовочка» и другие. Трогательные и душевные сказки не могут никого оставить равнодушным. А замечательное художественное оформление иллюстратора Виктора Нечитайло отлично сочетается с тканью повествования.</t>
  </si>
  <si>
    <t>9785945820371</t>
  </si>
  <si>
    <t>26.12.2017 0:00:00</t>
  </si>
  <si>
    <t>171773</t>
  </si>
  <si>
    <t>Л.С. СКАЗКИ ДЯДЮШКИ РИМУСА</t>
  </si>
  <si>
    <t>978-5-378-32272-5</t>
  </si>
  <si>
    <t>Братец Кролик, Братец Лис, Братец Волк, матушка Мидоус и многие другие персонажи любимы с детства читателями из самых разных стран! Скорее открывайте книгу и вместе с маленьким Джоэлем погружайтесь в удивительный сказочный мир дядюшки Римуса! Автор – всемирно известный фольклорист Джоэль Чандлер Харрис, классический перевод Михаила Гершензона, потрясающие иллюстрации Ольги Ковалёвой.</t>
  </si>
  <si>
    <t>9785378322725</t>
  </si>
  <si>
    <t>Харрис Джоэль Чандлер</t>
  </si>
  <si>
    <t>004864</t>
  </si>
  <si>
    <t xml:space="preserve">Л.С. СКАЗКИ. БРАТЬЯ ГРИММ </t>
  </si>
  <si>
    <t>978-5-378-00154-5</t>
  </si>
  <si>
    <t>Сказки о Красной Шапочке, Золушке, коте в сапогах и другие, знакомые с детства любому ребёнку, называют «культурным наследием человечества». Эту почётную квалификацию сказкам присвоила ООН (ЮНЕСКО). Сборник, в который вошли упомянутые сказки, создали немецкие писатели братья Якоб и Вильгельм Гримм в начале XIX века. С тех пор они переведены на сотни языков. Братья Гримм не писали сами, они составляли сборники сказок. Они разыскали, издали, перевели и прокомментировали многие памятники германских, романских, скандинавских и кельтских древностей.</t>
  </si>
  <si>
    <t>9785378001545</t>
  </si>
  <si>
    <t>94fa6b18c24604f6c1ff233f8c0bbd56</t>
  </si>
  <si>
    <t>007157</t>
  </si>
  <si>
    <t>Л.С. ЧУКОВСКИЙ. СТИХИ И СКАЗКИ (ЗЕЛЕНАЯ)</t>
  </si>
  <si>
    <t>978-5-94582-145-3</t>
  </si>
  <si>
    <t>Стихи и сказки Корнея Чуковского знает и любит не одно поколение читателей. Его произведения заслуженно стали классикой детской литературы, и без них сегодня не обходится ни одна домашняя библиотека. Этот ярко иллюстрированный сборник познакомит маленьких читателей с такими сказками Чуковского, как «Айболит», «Мойдодыр», «Федорино горе», «Муха-Цокотуха», «Тараканище» и многими другими. Добрые и веселые, они научат ребенка различать, где добро и зло, научат поступать справедливо и правильно. Чтение книги «Стихи и сказки» не только скрасит досуг малыша, но и принесет много пользы.</t>
  </si>
  <si>
    <t>9785945821453</t>
  </si>
  <si>
    <t>448413d4124dc09d8af5b0641944b070</t>
  </si>
  <si>
    <t>059447</t>
  </si>
  <si>
    <t>Л.С. ШАРЛЬ ПЕРРО. СКАЗКИ</t>
  </si>
  <si>
    <t>978-5-378-27123-8</t>
  </si>
  <si>
    <t>Шарль Перро — один из самых известных собирателей сказок. Он объездил не одну французскую провинцию в поисках волшебных сюжетов. И вот самые популярные сказки того времени вы держите в руках: Золушка, Красная Шапочка, Кот в сапогах... А об остальных вы узнаете, прочитав эту книгу, наполненную магией и загадками.</t>
  </si>
  <si>
    <t>9785378271238</t>
  </si>
  <si>
    <t>Перро Шарль</t>
  </si>
  <si>
    <t>209a289b2a2de6c2f11348e7cfb8114f</t>
  </si>
  <si>
    <t>СЕРИЯ: МОЯ БИБЛИОТЕКА офсет 100гр, глянц.ламин. 130х205</t>
  </si>
  <si>
    <t>195218</t>
  </si>
  <si>
    <t>МОЯ БИБЛИОТЕКА. Сундучок храбрости 96 стр</t>
  </si>
  <si>
    <t>978-5-378-34059-0</t>
  </si>
  <si>
    <t>Это история о настоящей дружбе, доброте, оптимизме и жизнелюбии.
Женька впервые попадает в отделение детской больницы и узнает, что ему предстоит пробыть там несколько дней без мамы. Справиться со страхами ему помогают новые друзья, у которых есть небольшой сундучок с волшебным секретом...</t>
  </si>
  <si>
    <t>9785378340590</t>
  </si>
  <si>
    <t>be153e2442cb4c0e7198d398f69e9ec8</t>
  </si>
  <si>
    <t>130х205х10</t>
  </si>
  <si>
    <t>195220</t>
  </si>
  <si>
    <t>МОЯ БИБЛИОТЕКА. Чудесная песня мышки Поли 128 стр</t>
  </si>
  <si>
    <t>978-5-378-34060-6</t>
  </si>
  <si>
    <t>9785378340606</t>
  </si>
  <si>
    <t>СЕРИЯ: СКАЗКИ ДЕТЯМ глянц.ламин, офсет 100гр, 145х203</t>
  </si>
  <si>
    <t>260216</t>
  </si>
  <si>
    <t>СКАЗКИ ДЕТЯМ. Красивые сказки Ганса Христиана Андерсена</t>
  </si>
  <si>
    <t>978-5-378-35739-0</t>
  </si>
  <si>
    <t>Сказки – это не просто лёгкие истории, призванные развлечь или рассмешить. В каждой из них – бесценные уроки добра и любви, взаимовыручки и прощения. Усвоив их, маленький читатель непременно выберет правильный путь в жизни и честно будет ему следовать. В серии представлены русские народные сказки, а также лучшие произведения мировых классиков жанра.</t>
  </si>
  <si>
    <t>9785378357390</t>
  </si>
  <si>
    <t>2df3adcd7359700b070ac559c0299c7b</t>
  </si>
  <si>
    <t>260218</t>
  </si>
  <si>
    <t>СКАЗКИ ДЕТЯМ. Лучшие сказки Шарля Перро</t>
  </si>
  <si>
    <t>978-5-378-35741-3</t>
  </si>
  <si>
    <t>9785378357413</t>
  </si>
  <si>
    <t>03ce1ed32957ce1915862b27a2168e65</t>
  </si>
  <si>
    <t>260217</t>
  </si>
  <si>
    <t>СКАЗКИ ДЕТЯМ. Любимые сказки братьев Гримм</t>
  </si>
  <si>
    <t>978-5-378-35740-6</t>
  </si>
  <si>
    <t>9785378357406</t>
  </si>
  <si>
    <t>1f14de8a97ca411b977f2d09333c598b</t>
  </si>
  <si>
    <t>260212</t>
  </si>
  <si>
    <t>СКАЗКИ ДЕТЯМ. Первые сказки</t>
  </si>
  <si>
    <t>978-5-378-35737-6</t>
  </si>
  <si>
    <t>9785378357376</t>
  </si>
  <si>
    <t>3dbe21216858bd4930a9b296d6db9ec3</t>
  </si>
  <si>
    <t>260214</t>
  </si>
  <si>
    <t>СКАЗКИ ДЕТЯМ. Русские народные сказки</t>
  </si>
  <si>
    <t>978-5-378-35738-3</t>
  </si>
  <si>
    <t>9785378357383</t>
  </si>
  <si>
    <t>fb52d96fd8b5f6393e64080121d87557</t>
  </si>
  <si>
    <t>260210</t>
  </si>
  <si>
    <t>СКАЗКИ ДЕТЯМ. Сказки Пушкина</t>
  </si>
  <si>
    <t>978-5-378-35736-9</t>
  </si>
  <si>
    <t>9785378357369</t>
  </si>
  <si>
    <t>026c64007c66bd21789a47890af12bd2</t>
  </si>
  <si>
    <t>СЕРИЯ: СКАЗКОТЕРАПИЯ глянц.ламин, офсет 145х203</t>
  </si>
  <si>
    <t>260220</t>
  </si>
  <si>
    <t>СКАЗКОТЕРАПИЯ. ЗЛОСТЬ, УХОДИ!</t>
  </si>
  <si>
    <t>978-5-378-35708-6</t>
  </si>
  <si>
    <t>Тигрёнок Ярик не умеет управлять своим рёвом – из-за этого с ним постоянно случаются неприятности. Младшая дочка енотов Ната сердится, когда ей что-то запрещают, и попадает в нелепые ситуации. Ёжик Веня ссорится с друзьями, потому что не может укротить свои иголки. Что же делать зверятам? Сказки, написанные психологами, помогут детям узнать о том, как можно справиться со злостью. К каждой сказке подобраны специальные упражнения для закрепления навыков эмоциональной саморегуляции.</t>
  </si>
  <si>
    <t>9785378357086</t>
  </si>
  <si>
    <t>Дмитриева Светлана Викторовна,Харитонова Мария Станиславовна</t>
  </si>
  <si>
    <t>faad663470dc5542964c739de35fe969</t>
  </si>
  <si>
    <t>260219</t>
  </si>
  <si>
    <t>СКАЗКОТЕРАПИЯ. НЕ БУДУ ОБИЖАТЬСЯ</t>
  </si>
  <si>
    <t>978-5-378-35709-3</t>
  </si>
  <si>
    <t>Бельчонок Яша обижается на маму и попадает в заколдованный лес. Волчонок Кир РАССТРАИВАЕТСЯ из-за проигрыша и встречает странное существо. Бобрёнок Бася дуется на дедушку Лося, потому что думает, что тот его бросил. Что же делать зверятам? Сказки, написанные психологами, помогут детям узнать о том, как можно справиться с обидой. К каждой сказке подобраны специальные упражнения для закрепления навыков эмоциональной саморегуляции.</t>
  </si>
  <si>
    <t>9785378357093</t>
  </si>
  <si>
    <t>63c1c578a2cab5e59b377f494d09b999</t>
  </si>
  <si>
    <t>258325</t>
  </si>
  <si>
    <t>СКАЗКОТЕРАПИЯ. УЧИМСЯ ПОБЕЖДАТЬ СТРАХ</t>
  </si>
  <si>
    <t>978-5-378-35653-9</t>
  </si>
  <si>
    <t>Смелый днём, зайчонок Сеня ночью превращается в трусишку. Оленёнок Май не может собраться с духом и перескочить глубокий овраг. Мышонок Фима так боится грозы, что пропускает соревнования и подводит свою команду. Как быть зверятам? Сказки, написанные психологами, помогут детям узнать о том, как можно справиться со страхом. К каждой истории подобраны специальные упражнения для закрепления навыков эмоциональной саморегуляции.</t>
  </si>
  <si>
    <t>9785378356539</t>
  </si>
  <si>
    <t>8bfd74ac2b746ce3ba5d4f1a6d11786e</t>
  </si>
  <si>
    <t>261436</t>
  </si>
  <si>
    <t>СКАЗКОТЕРАПИЯ. Я НЕ РЕВНУЮ</t>
  </si>
  <si>
    <t>978-5-378-35749-9</t>
  </si>
  <si>
    <t>Медвежонок Тиша недоволен тем, что его другу интересно играть с новым соседом. Лисичка Мила хочет, чтобы воспитательница любила только её. Барсучонок Рони не рад появлению сестрёнки: ему кажется, что мама и папа больше не обращают на него внимания. Что же делать зверятам? Сказки, написанные психологами, помогут детям узнать о том, как можно справиться с ревностью. К каждой сказке подобраны специальные упражнения для закрепления навыков эмоциональной саморегуляции.</t>
  </si>
  <si>
    <t>9785378357499</t>
  </si>
  <si>
    <t>ea19e92e8a3bdfccac0db2702d6c4e71</t>
  </si>
  <si>
    <t>УЧИМСЯ ЧИТАТЬ</t>
  </si>
  <si>
    <t>СЕРИЯ: ХОЧУ ЧИТАТЬ САМ офсет 100 гр, глянц.ламин. 200х240</t>
  </si>
  <si>
    <t>173219</t>
  </si>
  <si>
    <t>ХОЧУ ЧИТАТЬ САМ. КРУПНЫЕ БУКВЫ. В.Драгунский. Денискины рассказы</t>
  </si>
  <si>
    <t>978-5-378-32430-9</t>
  </si>
  <si>
    <t xml:space="preserve">В серии «Хочу читать сам» представлены книги для чтения по слогам и издания с крупными буквами. Вы можете выбрать подходящий вариант для вашего малыша в зависимости от его навыков чтения. Чтобы читать было не только полезно, но и интересно, мы подобрали увлекательные детские истории с динамичными сюжетами. Рассказы Виктора Драгунского — детская классика,  с которой ребёнку понравится знакомиться самостоятельно, а крупные буквы сделают чтение нескучным и плодотворным занятием. </t>
  </si>
  <si>
    <t>9785378324309</t>
  </si>
  <si>
    <t>aac81c031997de951e37b1778aa80f1a</t>
  </si>
  <si>
    <t>200x240x6</t>
  </si>
  <si>
    <t>176538</t>
  </si>
  <si>
    <t>ХОЧУ ЧИТАТЬ САМ. КРУПНЫЕ БУКВЫ. Про садик, каникулы и удивительные открытия</t>
  </si>
  <si>
    <t>978-5-378-32734-8</t>
  </si>
  <si>
    <t>В серии «Хочу читать сам» представлены книги для чтения по слогам и издания с крупными буквами. Вы можете выбрать подходящий вариант для вашего малыша в зависимости от его навыков чтения. Чтобы читать было не только полезно, но и интересно, мы подобрали увлекательные детские истории с динамичными сюжетами. Рассказы современного детского автора Елены Добош — это добрые сюжеты про дружбу, совместные занятия и отношения в любящей семье. А крупные буквы сделают чтение нескучным и плодотворным занятием.</t>
  </si>
  <si>
    <t>9785378327348</t>
  </si>
  <si>
    <t>Добош Елена Сергеевна</t>
  </si>
  <si>
    <t>fe8730552a5dac6699aa30a8af2da30b</t>
  </si>
  <si>
    <t>173220</t>
  </si>
  <si>
    <t>ХОЧУ ЧИТАТЬ САМ. ПО СЛОГАМ. Русские народные сказки</t>
  </si>
  <si>
    <t>978-5-378-32431-6</t>
  </si>
  <si>
    <t>В серии «Хочу читать сам» представлены книги для чтения по слогам и издания с крупными буквами. Вы можете выбрать подходящий вариант для вашего малыша в зависимости от его навыков чтения. Чтобы читать было не только полезно, но и интересно, мы подобрали увлекательные детские истории с динамичными сюжетами. Русские народные сказки юному читателю обязательно понравится осваивать самостоятельно, а деление слов на слоги будет важным подспорьем, облегчающим непростое занятие. В добрый путь!</t>
  </si>
  <si>
    <t>9785378324316</t>
  </si>
  <si>
    <t>под ред. В. Костиной</t>
  </si>
  <si>
    <t>66f8f5f2c704da001fa25a426ceef0e5</t>
  </si>
  <si>
    <t>173221</t>
  </si>
  <si>
    <t>ХОЧУ ЧИТАТЬ САМ. ПО СЛОГАМ. Стихи для первого чтения</t>
  </si>
  <si>
    <t>978-5-378-32432-3</t>
  </si>
  <si>
    <t>В серии «Хочу читать сам» представлены книги для чтения по слогам и издания с крупными буквами. Вы можете выбрать подходящий вариант для вашего малыша в зависимости от его навыков чтения. Чтобы читать было не только полезно, но и интересно, мы подобрали самые популярные и знакомые детям стихотворения. Несложные стихи легко заучить наизусть, а деление слов на слоги станет важным подспорьем, облегчающим непростое занятие. В добрый путь!</t>
  </si>
  <si>
    <t>9785378324323</t>
  </si>
  <si>
    <t>Чуковский Корней Иванович,Александрова Зинаида Александровна,Кушак Юрий Наумович,Осеева Валентина Александровна</t>
  </si>
  <si>
    <t>СЕРИЯ: ЧИТАЕМ ПО СЛОГАМ глянц.ламин, 145х203</t>
  </si>
  <si>
    <t>264425</t>
  </si>
  <si>
    <t>ЧИТАЕМ ПО СЛОГАМ. УРОВЕНЬ 2. Тексты от 30 до 40</t>
  </si>
  <si>
    <t>978-5-378-35835-9</t>
  </si>
  <si>
    <t>Вы держите в руках книгу, которая поможет вашему ребёнку полюбить литературу и улучшить навык чтения. В серии 4 книги — для разного уровня навыков. Для комфортного и увлекательного чтения на каждой странице есть рисунки по мотивам рассказов, а текст написан большими буквами. Уровень 2 «Тексты от 30 до 40 слов» — рассказы в этой книге немного сложнее и длиннее, чем на первом уровне. Это подготовительная стадия для осмысленного чтения: после прочтения можно обращать внимание ребёнка на картинки. Таким образом, прочитанное будет запоминаться, что важно для дальнешей работы с текстом в рамках школьной программы.
Серия подходит для подготовки к школе дошкольников и ученикам начальных классов для закрепления навыка чтения.</t>
  </si>
  <si>
    <t>9785378358359</t>
  </si>
  <si>
    <t>Костина Мария</t>
  </si>
  <si>
    <t>1650fbdd256438e4984044c5740cf9b4</t>
  </si>
  <si>
    <t>264426</t>
  </si>
  <si>
    <t>ЧИТАЕМ ПО СЛОГАМ. УРОВЕНЬ 3. Тексты от 40 слов</t>
  </si>
  <si>
    <t>978-5-378-35836-6</t>
  </si>
  <si>
    <t>Вы держите в руках книгу, которая поможет вашему ребёнку полюбить литературу и улучшить навык чтения. В серии 4 книги — для разного уровня навыков. Для комфортного и увлекательного чтения на каждой странице есть рисунки по мотивам рассказов, а текст написан большими буквами. Уровень 3 «Тексты от 40 слов» — для ребят, которые хорошо справляются с простыми текстами и готовы к осмысленному чтению. Для этого под каждым рассказом написаны вопросы закрытого типа. Они легкие для восприятия, но в то же время готовят детей к дальнейшей работе с текстом. Серия подходит для подготовки к школе дошкольников и ученикам начальных классов для закрепления навыка чтения.</t>
  </si>
  <si>
    <t>9785378358366</t>
  </si>
  <si>
    <t>9e8708d2adf2dd10bd586b92d67cf280</t>
  </si>
  <si>
    <t>264427</t>
  </si>
  <si>
    <t>ЧИТАЕМ ПО СЛОГАМ. УРОВЕНЬ 4. Тексты от 50 слов</t>
  </si>
  <si>
    <t>978-5-378-35837-3</t>
  </si>
  <si>
    <t>Вы держите в руках книгу, которая поможет вашему ребёнку полюбить литературу и улучшить навык чтения. В серии 4 книги — для разного уровня навыков. Для комфортного и увлекательного чтения на каждой странице есть рисунки по мотивам рассказов, а текст написан большими буквами. Уровень 4 «Тексты от 50 слов» — книга с самыми длинными текстами в серии. Здесь есть вопросы двух типов: закрытого и открытого. С помощью них ребёнок, прочитав текст, сможет попробовать его пересказать или рассказать историю о похожих героях и событиях. Такие задания направлены на формирование связной речи ребёнка. Серия подходит для подготовки к школе дошкольников и ученикам начальных классов для закрепления навыка чтения.</t>
  </si>
  <si>
    <t>9785378358373</t>
  </si>
  <si>
    <t>315093f189d0ceb04e3d660d0fca19ac</t>
  </si>
  <si>
    <t>СЕРИЯ: ЧИТАЮ САМ офсет. 200х255</t>
  </si>
  <si>
    <t>045814</t>
  </si>
  <si>
    <t>ЧИТАЮ САМ ПО СЛОГАМ. ЛЮБИМЫЕ ЗАРУБЕЖНЫЕ СКАЗКИ</t>
  </si>
  <si>
    <t>978-5-378-26365-3</t>
  </si>
  <si>
    <t>Серия «Читаю сам по слогам» создана специально для детей, которые только учатся читать. Малышу будет очень интересно самостоятельно читать интереснейшие истории о животных. Бременские музыканты: осёл, петух, кот, пёс - послужат для ребёнка примером настоящей дружбы и взаимовыручки. На примере страшного волка, семерых козлят и их мамы, маленький читатель поймёт, что зло всегда будет наказано. Сказки из этой книжки не только интересные, но и поучительные!</t>
  </si>
  <si>
    <t>9785378263653</t>
  </si>
  <si>
    <t>fb573804dfb4fae156386f8bad6ad05c</t>
  </si>
  <si>
    <t>Читаю сам</t>
  </si>
  <si>
    <t>200x255x7</t>
  </si>
  <si>
    <t>045812</t>
  </si>
  <si>
    <t>ЧИТАЮ САМ ПО СЛОГАМ. РУССКИЕ НАРОДНЫЕ СКАЗКИ</t>
  </si>
  <si>
    <t>978-5-378-26360-8</t>
  </si>
  <si>
    <t>Серия «Читаю сам по слогам» создана специально для детей, которые только учатся читать. В этой книге собраны русские народные сказки, которые читаются и рассказываются детям одними из первых. Теперь ребёнок может сам прочитать свои любимые сказки, ведь слова так удобно разбиты на слоги. Добрая курочка, умна Машенька, дружная семья из «Репки», трудолюбивая Крошечка-Хаврошечка покажут ребёнку самые лучшие человеческие качества, необходимые каждому.</t>
  </si>
  <si>
    <t>9785378263608</t>
  </si>
  <si>
    <t>f1bf66da7e60959dd3c24cc352057554</t>
  </si>
  <si>
    <t>039544</t>
  </si>
  <si>
    <t>ЧИТАЮ САМ. З. АЛЕКСАНДРОВА. ЛЮБИМЫЕ СТИХИ</t>
  </si>
  <si>
    <t>978-5-378-25693-8</t>
  </si>
  <si>
    <t>Серия «Читаю сам» создана специально для маленьких читателей, которые только начинают своё путешествие по прекрасному миру литературы. В этой книжке собраны одни из самых лучших стихотворений замечательной русской поэтессы Зинаиды Александровой. Добрые и весёлые стихотворения, которые вы здесь найдёте, - это маленькие истории про детей, зверей и птиц, которые так весело и полезно читать вслух.</t>
  </si>
  <si>
    <t>9785378256938</t>
  </si>
  <si>
    <t>Александрова Зинаида Николаевна</t>
  </si>
  <si>
    <t>f59f673f873230f3e8359426940150cf</t>
  </si>
  <si>
    <t>039545</t>
  </si>
  <si>
    <t>ЧИТАЮ САМ. И. КРЫЛОВ. БАСНИ</t>
  </si>
  <si>
    <t>978-5-378-25692-1</t>
  </si>
  <si>
    <t>Серия «Читаю сам» создана специально для маленьких читателей, которые только начинают своё путешествие по прекрасному миру литературы. И это путешествие лучше всего начать именно с басен Ивана Андреевича Крылова! В этой книге собраны самые знаменитые и любимые всеми басни: «Стрекоза и муравей», «Зеркало и обезьяна», «Кот и повар» и многие другие. Лучшие произведения автора сопровождаются замечательными иллюстрациями. Ребёнок найдёт много интересного и поучительного в этих маленьких жизненных историях животных, символизирующих людей.</t>
  </si>
  <si>
    <t>9785378256921</t>
  </si>
  <si>
    <t>8cfa3a5d4e7c72e098494cf5778530da</t>
  </si>
  <si>
    <t>21.11.2017 0:00:00</t>
  </si>
  <si>
    <t>039549</t>
  </si>
  <si>
    <t>ЧИТАЮ САМ. ЛУЧШИЕ СКАЗКИ ДЛЯ МАЛЫШЕЙ</t>
  </si>
  <si>
    <t>978-5-378-25664-8</t>
  </si>
  <si>
    <t>Серия «Читаю сам» создана специально для маленьких читателей, которые только начинают своё путешествие по прекрасному миру литературы. В этой книге малыш сможет прочитать интереснейшие сказки из России, Дании и Франции. Сообразительный солдат, хитрая лиса, коварный волк и хвастливый заяц заинтересуют любого маленького читателя. Забавные истории этих героев дополнены красочными иллюстрациями, что делает процесс чтения для малыша ещё увлекательнее.</t>
  </si>
  <si>
    <t>9785378256648</t>
  </si>
  <si>
    <t>Андерсен Ганс Христиан,Перро Шарль,народные тексты</t>
  </si>
  <si>
    <t>7ed7c3b059f1c1477cba88ff02a3ae3b</t>
  </si>
  <si>
    <t>039546</t>
  </si>
  <si>
    <t>ЧИТАЮ САМ. ЛЮБИМЫЕ СКАЗКИ</t>
  </si>
  <si>
    <t>978-5-378-25652-5</t>
  </si>
  <si>
    <t>Серия «Читаю сам» создана специально для маленьких читателей, которые только начинают своё путешествие по прекрасному миру литературы. Читая сказки, собранные в этой книге, ребёнок познакомится с замечательными русскими народными сказками. Снегурушка, бычок-смоляной бочок, лисица, коза и другие герои этой книги помогут ребёнку провести время с пользой и удовольствием, а также узнать много нового и интересного. Малыш захочет прочесть эти сказки ещё не раз, ведь они станут его любимыми.</t>
  </si>
  <si>
    <t>9785378256525</t>
  </si>
  <si>
    <t>aae75f8cbb8301b98439aa6e6a846d65</t>
  </si>
  <si>
    <t>039548</t>
  </si>
  <si>
    <t>ЧИТАЮ САМ. РУССКИЕ НАРОДНЫЕ СКАЗКИ</t>
  </si>
  <si>
    <t>978-5-378-25749-2</t>
  </si>
  <si>
    <t>Серия «Читаю сам» создана специально для маленьких читателей, которые только начинают своё путешествие по прекрасному миру литературы. Огромное удовольствие - читать русские народные сказки, собранные в этой книге. Каждую сказку, будь то «Три медведя» или «Курочка Ряба», ребёнок будет читать с огромным увлечением, потому что они не только поучительные, но и очень интересные. Частые повторы помогают ребёнку развивать память, а яркие иллюстрации - воображение.</t>
  </si>
  <si>
    <t>9785378257492</t>
  </si>
  <si>
    <t>Толстой Лев Николаевич и народные тексты</t>
  </si>
  <si>
    <t>74aa57d8d207cfe1b3bb70cdef221409</t>
  </si>
  <si>
    <t>12.10.2016 0:00:00</t>
  </si>
  <si>
    <t>039550</t>
  </si>
  <si>
    <t>ЧИТАЮ САМ. СКАЗКИ АНДЕРСЕНА</t>
  </si>
  <si>
    <t>978-5-378-25666-2</t>
  </si>
  <si>
    <t>Серия «Читаю сам» создана специально для маленьких читателей, которые только начинают своё путешествие по прекрасному миру литературы. В эту книгу вошли одни из самых лучших сказок Г.Х. Андерсена. В этой книге маленький читатель вместе с героями сказок переживёт множество ярких приключений. Храбрая Герда, решительная Русалочка, отважная принцесса Элиза и добрая Дюймовочка познакомят малыша с лучшими качествами, которыми может обладать человек.</t>
  </si>
  <si>
    <t>9785378256662</t>
  </si>
  <si>
    <t>6bd48a1c78989790b6096cbfd6aec9db</t>
  </si>
  <si>
    <t>039551</t>
  </si>
  <si>
    <t>ЧИТАЮ САМ. СКАЗКИ БРАТЬЕВ ГРИММ</t>
  </si>
  <si>
    <t>978-5-378-25665-5</t>
  </si>
  <si>
    <t>Серия «Читаю сам» создана специально для маленьких читателей, которые только начинают своё путешествие по прекрасному миру литературы. Эта книга собрала в себе одни из самых лучших сказок братьев Гримм. Прекрасная Белоснежка, которую спасает принц; умный кот, который помогает своему хозяину; животные, которые подружились и решили стать бродячими музыкантам; Рапунцель, которая была заточена в башне, и маленькая девочка, которая получила волшебный горшочек, наверняка станут любимыми героями малыша.</t>
  </si>
  <si>
    <t>9785378256655</t>
  </si>
  <si>
    <t>b93a5606dd77fedd8754d4178cd280a2</t>
  </si>
  <si>
    <t>ФЭНТЕЗИ</t>
  </si>
  <si>
    <t>СЕРИЯ: ФЭНТЕЗИ КБС мат.ламин, выб.лак, тиснение 140х195</t>
  </si>
  <si>
    <t>273284</t>
  </si>
  <si>
    <t xml:space="preserve">ФЭНТЕЗИ КБС. СТРАЖИ МИРОВ </t>
  </si>
  <si>
    <t>978-5-378-36043-7</t>
  </si>
  <si>
    <t>Когда древнее божество коснулось её своим даром, мир перевернулся. Теперь Чара должна отправиться в другую реальность. Ей предстоит найти тех, кто прикроет спину. И, возможно, того, кто заставит сердце биться чаще даже посреди хаоса.</t>
  </si>
  <si>
    <t>9785378360437</t>
  </si>
  <si>
    <t>Ильина Наталья</t>
  </si>
  <si>
    <t>3a3119b0682e911cabb74da041639e3d</t>
  </si>
  <si>
    <t>138х195х30</t>
  </si>
  <si>
    <t>280135</t>
  </si>
  <si>
    <t>ФЭНТЕЗИ КБС. ТАЙНА МАГИЧЕСКОГО ЗЕЛЬЯ</t>
  </si>
  <si>
    <t>978-5-378-36153-3</t>
  </si>
  <si>
    <t>Грю наконец-то приехал к папе на каникулы, а тот работает с утра до ночи! Оказывается, в Королевских садах Вильмоста нашли окаменевшую птицу. Это значит, что кому-то удалось воссоздать утраченный рецепт самого опасного в мире зелья — зелья окаменения. Кто воссоздал рецепт? Когда преступник начнёт действовать? Грю решает помочь папе и тайком проводит собственное расследование.</t>
  </si>
  <si>
    <t>9785378361533</t>
  </si>
  <si>
    <t>Булдакова Анастасия</t>
  </si>
  <si>
    <t>139х195х25</t>
  </si>
  <si>
    <t>СЕРИЯ: ФЭНТЕЗИ мат.ламин, выб.лак 145х203</t>
  </si>
  <si>
    <t>283193</t>
  </si>
  <si>
    <t>ФЭНТЕЗИ. АРОМАВЕДЬМА мат.ламин, выб.лак 145х203</t>
  </si>
  <si>
    <t>978-5-378-36258-5</t>
  </si>
  <si>
    <t>Дина только окончила школу и на летних каникулах хотела найти
подработку. Повезло, что у неё есть необычное хобби — создавать авторские духи. Именно оно помогло девушке получить предложение, от которого невозможно отказаться, — место управляющей в парфюмерной лавке. Правда, лавка находится далековато, но договор уже подписан... Теперь Дине предстоит возродить умирающий бизнес и почувствовать себя ведьмой, ведь её клиенты — не только люди. А один симпатичный клыкастик и вовсе запал в душу. Жаль только, что в Черноозёрском герцогстве он вне закона. Но разве это остановит юную аромаведьму?</t>
  </si>
  <si>
    <t>9785378362585</t>
  </si>
  <si>
    <t>145х204х20</t>
  </si>
  <si>
    <t>СЕРИЯ: ФЭНТЕЗИ мат.ламин,выб.лак, тиснение, цветной срез 145х203</t>
  </si>
  <si>
    <t>278102</t>
  </si>
  <si>
    <t>ФЭНТЕЗИ. СТРАЖИ МИРОВ мат.ламин, выб.лак, тиснение 145х203</t>
  </si>
  <si>
    <t>978-5-378-36041-3</t>
  </si>
  <si>
    <t>9785378360413</t>
  </si>
  <si>
    <t>a32804aed56831c9e95ef2c2fa294521</t>
  </si>
  <si>
    <t>144х204х24</t>
  </si>
  <si>
    <t>270073</t>
  </si>
  <si>
    <t>ФЭНТЕЗИ. ТРИНАДЦАТЬ МЕСЯЦЕВ мат.ламин, выб.лак, тиснение 145х203</t>
  </si>
  <si>
    <t>978-5-378-36011-6</t>
  </si>
  <si>
    <t>В зимнем лесу была ночь, а с неба вместе со снегом падал пепел. Он летел от огромного костра, вокруг которого собрались безупречно прекрасные мужчины и юноши. Очаровательные незнакомцы были любезны и обходительны с напуганной и замерзшей девушкой. А потом сказали: «Беги!» и устроили на нее жестокую охоту. И тогда за ними пришла ее злая сестра...</t>
  </si>
  <si>
    <t>9785378360116</t>
  </si>
  <si>
    <t>Молчанова Ирина</t>
  </si>
  <si>
    <t>5ad4e12953f0612c6a892eadf83bbb87</t>
  </si>
  <si>
    <t>ШКОЛЬНАЯ ПРОГРАММА</t>
  </si>
  <si>
    <t>СБОРНИКИ ДЛЯ ШКОЛЫ офсет, глянц.ламин. 145х203</t>
  </si>
  <si>
    <t>273297</t>
  </si>
  <si>
    <t>ВНЕКЛАССНОЕ ЧТЕНИЕ 1-4 КЛАСС</t>
  </si>
  <si>
    <t>978-5-378-36050-5</t>
  </si>
  <si>
    <t>«Внеклассное чтение» — это сборник главных произведений русских
и зарубежных классиков, входящих в школьную программу обучения. В этой книге собраны и проиллюстрированы лучшие сказки, рассказы и повести, которые помогут в освоении читательских навыков и привьют любовь к литературе.</t>
  </si>
  <si>
    <t>9785378360505</t>
  </si>
  <si>
    <t>Толстой Лев Николаевич, Даль Владимир Иванович, Тургенев Иван Сергеевич, Чехов Антон Павлович, Ахматова Анна Андреевна, Пушкин Александр Сергеевич, Гайдар Аркадий Петрович, Одоевский Александр Иванович, Баратынский Евгений Абрамович, Тютчев Фёдор Иванович, Фет Афанасий Афанасьевич, Есенин Сергей Александрович, Некрасов Николай Алексеевич, Лермонтов Михаил Юрьевич, Шварц Евгений Львович, Одоевский Владимир Фёдорович, Гауф Вильгельм, Андерсен Ганс Христиан, Перро Шарль, Братья Гримм, Уайльд Оскар, Куприн Александр Иванович и др.</t>
  </si>
  <si>
    <t>144х203х29</t>
  </si>
  <si>
    <t>СЕРИЯ: ВНЕКЛАССНОЕ ЧТЕНИЕ офсет, глянц.ламин.</t>
  </si>
  <si>
    <t>098549</t>
  </si>
  <si>
    <t>ВНЕКЛАССНОЕ ЧТЕНИЕ. А. Пушкин. СКАЗКИ</t>
  </si>
  <si>
    <t>978-5-378-28839-7</t>
  </si>
  <si>
    <t>Книги серии "Внеклассное чтение" - незаменимый помощник юного школьника в самостоятельном знакомстве с миром литературы. Сборник сказок А.С. Пушкина включает в себя несколько самых любимых произведений автора: "Сказка о рыбаке и рыбке", "Сказка о золотом петушке", "Сказка о мёртвой царевне и о семи богатырях" и другие. Все произведения печатаются без сокращений.</t>
  </si>
  <si>
    <t>9785378288397</t>
  </si>
  <si>
    <t>Внеклассное чтение</t>
  </si>
  <si>
    <t>144x220x5</t>
  </si>
  <si>
    <t>211194</t>
  </si>
  <si>
    <t>ВНЕКЛАССНОЕ ЧТЕНИЕ. А. Толстой. ЗОЛОТОЙ КЛЮЧИК, ИЛИ ПРИКЛЮЧЕНИЯ БУРАТИНО</t>
  </si>
  <si>
    <t>978-5-378-34363-8</t>
  </si>
  <si>
    <t>Книги серии "Внеклассное чтение" - незаменимый помощник юного школьника в самостоятельном знакомстве с миром литературы.  Все произведения печатаются без сокращений. Сказочную повесть Алексея Толстого "Золотой ключик, или Приключения Буратино" читают и любят миллионы детишек. Писатель подарил ребятам прекрасную добрую книгу о необычайной истории про деревянного мальчика, которого смастерил из полена шарманщик Карло. С самого первого дня жизнь озорного и непослушного Буратино полна невероятных приключений. Деревянный мальчик находит верных друзей, побеждает с ними злого Карабаса Барабаса и с помощью золотого ключика открывает новый кукольный театр. Книга красочно проиллюстрирована художником Ильей Есауловым.</t>
  </si>
  <si>
    <t>9785378343638</t>
  </si>
  <si>
    <t>Толстой Алексей Николаевич</t>
  </si>
  <si>
    <t>fc975a41f2352580fbf1a1fab6135920</t>
  </si>
  <si>
    <t>145x203x10</t>
  </si>
  <si>
    <t>098544</t>
  </si>
  <si>
    <t>ВНЕКЛАССНОЕ ЧТЕНИЕ. БОГИ И ГЕРОИ ДРЕВНЕЙ ГРЕЦИИ</t>
  </si>
  <si>
    <t>978-5-378-28888-5</t>
  </si>
  <si>
    <t>Эта книга познакомит юного школьника с самыми яркими представителями древнегреческой мифологии и расскажет о сфере покровительства каждого из них. Ребёнок узнает, кто такие Зевс, Гера, Афродита, Посейдон, Деметра и многие другие божества. Перед школьником откроется загадочный мир Олимпа, наполненный необыкновенными превращениями и загадочными тайнами.</t>
  </si>
  <si>
    <t>9785378288885</t>
  </si>
  <si>
    <t>Яхнин Леонид Львович</t>
  </si>
  <si>
    <t>098546</t>
  </si>
  <si>
    <t>ВНЕКЛАССНОЕ ЧТЕНИЕ. В. Драгунский. ДЕНИСКИНЫ РАССКАЗЫ</t>
  </si>
  <si>
    <t>978-5-378-28835-9</t>
  </si>
  <si>
    <t>Эта замечательная книга познакомит юного школьника с находчивым мальчиком Дениской Кораблёвым и расскажет множество удивительных случаев из его жизни. На примере главного героя и его окружения ребёнок научится искренней дружбе, бескорыстной доброте и, самое главное, навсегда запомнит, что «всё тайное всегда становится явным».</t>
  </si>
  <si>
    <t>9785378288359</t>
  </si>
  <si>
    <t>118773</t>
  </si>
  <si>
    <t>ВНЕКЛАССНОЕ ЧТЕНИЕ. В.Маяковский. КЕМ БЫТЬ?</t>
  </si>
  <si>
    <t>978-5-378-29604-0</t>
  </si>
  <si>
    <t>В этой книге вы найдёте ритмичные лёгкие для запоминания стихи Владимира Маяковского, написанные специально для маленьких ребят. Стихи научат ребёнка быть смелым, честным, уважать взрослых и разбираться в том, что такое хорошо, а что такое плохо.</t>
  </si>
  <si>
    <t>9785378296040</t>
  </si>
  <si>
    <t>Маяковский Владимир Владимирович</t>
  </si>
  <si>
    <t>211192</t>
  </si>
  <si>
    <t>ВНЕКЛАССНОЕ ЧТЕНИЕ. Г.Х. Андерсен. СКАЗКИ</t>
  </si>
  <si>
    <t>978-5-378-34372-0</t>
  </si>
  <si>
    <t>Книги серии "Внеклассное чтение" - незаменимый помощник юного школьника в самостоятельном знакомстве с миром литературы.  Все произведения печатаются без сокращений.  В сборник "Сказки. Г. Х. Андерсен" вошли самые известные и любимые сказки датского писателя Ганса Христиана Андерсена. Книга представляет собой настоящее сокровище, ведь она содержит такие произведения, как "Принцесса на горошине", "Новое платье короля", "Огниво", "Снежная королева" и "Дикие лебеди". Прекрасно иллюстрирован.</t>
  </si>
  <si>
    <t>9785378343720</t>
  </si>
  <si>
    <t>87617a02363d8b048c2dc2d26a77a1f7</t>
  </si>
  <si>
    <t>145x203x9</t>
  </si>
  <si>
    <t>211195</t>
  </si>
  <si>
    <t>ВНЕКЛАССНОЕ ЧТЕНИЕ. Дж.Чандлер Харрис. СКАЗКИ ДЯДЮШКИ РИМУСА</t>
  </si>
  <si>
    <t>978-5-378-34362-1</t>
  </si>
  <si>
    <t>Книги серии "Внеклассное чтение" - незаменимый помощник юного школьника в самостоятельном знакомстве с миром литературы.  Все произведения печатаются без сокращений. Братец Кролик, Братец Лис, Братец Волк, матушка Мидоус и многие другие персонажи любимы с детства читателями из самых разных стран! Скорее открывайте книгу и вместе с маленьким Джоэлем погружайтесь в удивительный сказочный мир дядюшки Римуса! Автор – всемирно известный фольклорист Джоэль Чандлер Харрис, классический перевод Михаила Гершензона, потрясающие иллюстрации Ольги Ковалёвой.</t>
  </si>
  <si>
    <t>9785378343621</t>
  </si>
  <si>
    <t>206967</t>
  </si>
  <si>
    <t>ВНЕКЛАССНОЕ ЧТЕНИЕ. И. Крылов. БАСНИ</t>
  </si>
  <si>
    <t>978-5-378-34315-7</t>
  </si>
  <si>
    <t>Книги серии "Внеклассное чтение" - незаменимый помощник юного школьника в самостоятельном знакомстве с миром литературы. Все произведения печатаются без сокращений. Произведения великого русского баснописца И.А. Крылова знают и любят во всем мире. Это сокровище русской литературы. «Его басни, – говорил Н.В. Гоголь, – есть достояние народное, оно составляет книгу мудрости самого народа». И взрослые, и дети могут многому поучиться у героев произведений И.А. Крылова. В книгу вошли самые лучшие и понятные маленькому читателю басни: "Стрекоза и Муравей", "Ворона и Лисица", "Лебедь, Щука и Рак", "Слон и Моська", "Мартышка и очки" и многие другие. Тексты этих произведений сопровождают крупные яркие иллюстрации, которые обязательно понравятся детям.</t>
  </si>
  <si>
    <t>9785378343157</t>
  </si>
  <si>
    <t>6444c181d57f32b4d55101f11cca474f</t>
  </si>
  <si>
    <t>098548</t>
  </si>
  <si>
    <t>ВНЕКЛАССНОЕ ЧТЕНИЕ. П. Ершов. КОНЁК-ГОРБУНОК</t>
  </si>
  <si>
    <t>978-5-378-28861-8</t>
  </si>
  <si>
    <t>Эта замечательная книга познакомит юного школьника с Иванушкой-дурачком и его верным другом Коньком-горбунком, расскажет об их приключениях и путешествиях. Научит, что нет на свете ничего ценнее настоящей и преданной дружбы. Ребёнок навсегда усвоит, что друзьям «по плечу» любые трудности и вместе можно справиться даже с самым сложным заданием.</t>
  </si>
  <si>
    <t>9785378288618</t>
  </si>
  <si>
    <t>Ершов Пётр Павлович</t>
  </si>
  <si>
    <t>258277</t>
  </si>
  <si>
    <t>ВНЕКЛАССНОЕ ЧТЕНИЕ. П.П. Бажов СЕРЕБРЯНОЕ КОПЫТЦЕ</t>
  </si>
  <si>
    <t>978-5-378-35640-9</t>
  </si>
  <si>
    <t>«Серебряное копытце» серии "Внеклассное чтение" — книга со знаменитыми сказками Павла Бажова, вошедших в золотой фонд русской детской литературы. На основе уральских легенд и преданий автор создал волшебные рассказы: "Малахитовая шкатулка", "Хозяйка мекдной горы", "Голубая змейка" и многие другие.
Эти сказки сочетают реальность и фантастику, передают глубокое уважение к природе, народной мудрости и труду. Яркие образы, простой, но выразительный язык делают рассказы понятными и интересными для детей и взрослых.</t>
  </si>
  <si>
    <t>9785378356409</t>
  </si>
  <si>
    <t>Бажов Павел Петрович</t>
  </si>
  <si>
    <t>5e9e67e4f035769a423c31268d563eee</t>
  </si>
  <si>
    <t>118774</t>
  </si>
  <si>
    <t>ВНЕКЛАССНОЕ ЧТЕНИЕ. РУССКИЕ НАРОДНЫЕ СКАЗКИ</t>
  </si>
  <si>
    <t>978-5-378-29591-3</t>
  </si>
  <si>
    <t>В сборнике «Русские народные сказки» представлены знакомые с детства истории о Василисе Прекрасной, Никите Кожемяке, бабе Яге, Кощее Бессмертном. Богато иллюстрированные поучительные истории о мудрости, доброте, храбрости и трудолюбии будут интересны не только детям, но и взрослым.</t>
  </si>
  <si>
    <t>9785378295913</t>
  </si>
  <si>
    <t>ред. Ольга Зозуля</t>
  </si>
  <si>
    <t>198c8fdd9da51017da45d1259bbf6fa7</t>
  </si>
  <si>
    <t>145x203x8</t>
  </si>
  <si>
    <t>215232</t>
  </si>
  <si>
    <t>ВНЕКЛАССНОЕ ЧТЕНИЕ. СТИХИ И РАССКАЗЫ О ВОЙНЕ</t>
  </si>
  <si>
    <t xml:space="preserve">978-5-378-34497-0 </t>
  </si>
  <si>
    <t>"Стихи и рассказы о войне" - книга об отваге, чести и мужестве, в неё вошли произведения таких авторов: Анна Ахматова, Анатолий Митяев, Александр Пушкин, Константин Симонов, Лев Толстой, Сергей Алексеев, Валентин Берестов. Уважение к Родине и её защитникам воспитывается с ранних лет,  сборник станет отличным подспорьем в этом важном деле.</t>
  </si>
  <si>
    <t>9785378344970</t>
  </si>
  <si>
    <t>Симонов Константин, Толстой Лев Николаевич, Алексеев Сергей, Берестов Валентин</t>
  </si>
  <si>
    <t>8b8ad40c03c50ec9c759a1f1af4513c9</t>
  </si>
  <si>
    <t>СЕРИЯ: МИРОВАЯ КЛАССИКА мат.ламин, тиснение 145х203</t>
  </si>
  <si>
    <t>246451</t>
  </si>
  <si>
    <t>МИРОВАЯ КЛАССИКА. Александр Грибоедов. Горе от ума  176 стр</t>
  </si>
  <si>
    <t>978-5-378-35417-7</t>
  </si>
  <si>
    <t>Комедия в стихах Александра Грибоедова «Горе от ума» — это блестящее сатирическое произведение, которое высмеивает пороки и недостатки высшего общества России начала XIX века. Главный герой, молодой и прогрессивный дворянин Александр Андреевич Чацкий, проведя несколько лет в странствиях, возвращается в Москву полным идей и стремления к переменам. Однако в обществе он сталкивается с непониманием, осуждением и ханжеством. Остроумные замечания и философские монологи героя о смысле жизни и роли разума вызывают лишь насмешки у окружающих. Через комические и трагические моменты автор раскрывает глубокие социальные и культурные конфликты, оставляя читателю много пищи для размышлений о вечных истинах.</t>
  </si>
  <si>
    <t>9785378354177</t>
  </si>
  <si>
    <t>Грибоедов Александр Сергеевич</t>
  </si>
  <si>
    <t>11ed9d8fde4ee2da33a7ce8edd264d47</t>
  </si>
  <si>
    <t>145х203х17</t>
  </si>
  <si>
    <t>179113</t>
  </si>
  <si>
    <t>МИРОВАЯ КЛАССИКА. Александр Грин. Алые паруса. Бегущая по волнам 384 стр</t>
  </si>
  <si>
    <t>978-5-378-35464-1</t>
  </si>
  <si>
    <t>«Алые паруса» — повесть-феерия, которую писатель посвятил своей второй жене. Эта история о мечте и вере в настоящее чудо. Главная героиня, Ассоль, живет в маленьком приморском городке. В младенчестве она потеряла мать, из близких у нее остался только отец. В родном городе нет человека, который бы согрел ее сердце. Ассоль уверена, что когда-нибудь в гавани увидит корабль с большими алыми парусами, а на нем — своего принца, который увезет ее в счастливую жизнь. «Бегущая по волнам» — одно из культовых произведений Александра Грина. Автору удалось создать невероятные женские образы: Фрези Грант, Дэзи Бенсон, Биче Сениэль. Их на своем нелегком пути встречает молодой Томас Гарвей. Вместе и порознь им придется пройти через множество испытаний, чтобы в итоге обрести свое счастье. Любовь, тайны бытия, красота и сила природы — обо всем этом талантливо пишет русский прозаик и поэт.</t>
  </si>
  <si>
    <t>9785378354641</t>
  </si>
  <si>
    <t>Грин Александр Степанович</t>
  </si>
  <si>
    <t>6db095613b01c0976d88991741bf33d9</t>
  </si>
  <si>
    <t>179109</t>
  </si>
  <si>
    <t>МИРОВАЯ КЛАССИКА. Александр Куприн. Гранатовый браслет. Олеся  176 стр</t>
  </si>
  <si>
    <t>978-5-378-33110-9</t>
  </si>
  <si>
    <t>Две прекрасные повести Александра Куприна, в которых русский писатель затрагивает важные темы для каждого человека: любовь, страсть и судьба. «Олеся» В центре сюжета — история любви молодого человека Ивана Тимофеевича и загадочной девушки Олеси, живущей в глухой деревне. Иван, приехавший в деревню по делам, случайно встречает Олесю и её бабушку, которые живут в уединении и считаются местными жителями ведьмами. Но чувству, зародившемуся между ними, не суждено продлиться долго, ведь на их пути встают человеческая злоба и сила предрассудков. 
«Гранатовый браслет» — история о неразделённой любви. Георгий Желтков — мелкий чиновник, без оглядки полюбивший замужнюю женщину. В своём наваждении он всеми силами пытается добиться ответного чувства от княгини Веры Николаевны, которая не воспринимает его всерьёз. Своими действиями он вызывает возмущение Василия Львовича — мужа княгини, который требует оставить её в покое. Георгий не знает, как заставить себя быть вдали от любимой, а потому видит единственный выход...</t>
  </si>
  <si>
    <t>9785378331109</t>
  </si>
  <si>
    <t>Куприн Александр Иванович</t>
  </si>
  <si>
    <t>32a5fa3da6870e36f593b4ca29e09c7f</t>
  </si>
  <si>
    <t>145х205х14</t>
  </si>
  <si>
    <t>246449</t>
  </si>
  <si>
    <t>МИРОВАЯ КЛАССИКА. Александр Островский. Бесприданница. Гроза  208 стр</t>
  </si>
  <si>
    <t>978-5-378-35410-8</t>
  </si>
  <si>
    <t>Александр Николаевич Островский по праву считается основоположником национального театра. В данный сборник включены два самых известных произведения драматурга: «Бесприданница» и «Гроза». В центре сюжета «Бесприданницы» взаимоотношения главной героини с тремя мужчинами: Карандышевым, небогатым женихом героини; Паратовым, человеком богатым и обаятельным, но легкомысленным; и Вожеватовым, представителем крупного купечества, равнодушным к чувствам других людей. Лариса, будучи бесприданницей, вынуждена подчиниться матери и выйти замуж по расчёту. Однако девушка мечтает о настоящей любви и свободе выбора. В «Грозе» автор исследует конфликт между традиционными устоями общества и свободой отдельной личности. Главная героиня, Катерина, страдает от давления со стороны свекрови, Кабанихи, яркой представительницы патриархального общества. Внутренний конфликт девушки обостряется после встречи с Борисом, человеком, который, кажется, может предложить ей свободу и любовь.</t>
  </si>
  <si>
    <t>9785378354108</t>
  </si>
  <si>
    <t>Островский Александр Николаевич</t>
  </si>
  <si>
    <t>d185ded083e1cad5d38064c06fb0b880</t>
  </si>
  <si>
    <t>145х203х19</t>
  </si>
  <si>
    <t>179102</t>
  </si>
  <si>
    <t>МИРОВАЯ КЛАССИКА. Александр Пушкин. Дубровский. Повести Белкина  192 стр</t>
  </si>
  <si>
    <t>978-5-378-33106-2</t>
  </si>
  <si>
    <t xml:space="preserve">Разбойничий роман Александра Сергеевича Пушкина «Дубровский» волнует сердца людей и спустя почти 200 лет. История о предательстве и благородстве, о лжи и честности, о любви и мести... и о том, сколько судеб способны погубить люди, поддавшись последней… Герой романа Владимир Дубровский, юный дворянин, обманутый и оскорблённый действиями друга своего отца, богатого помещика Кирилы Петровича Троекурова. Под влиянием обостряющихся обстоятельств и внутренних побуждений Владимир решает взять на себя роль защитника и найти способ разобраться со своими врагами. Но всё становится гораздо сложнее, когда он знакомится с дочерью своего врага… Драматические повороты сюжета, эмоциональные переживания героев и неизбежное столкновение добра со злом. Роман «Дубровский» является уникальным произведением, представляющим интерес для любителей классической русской литературы. </t>
  </si>
  <si>
    <t>9785378331062</t>
  </si>
  <si>
    <t>0648ff6167ebee086ddc817851fad156</t>
  </si>
  <si>
    <t>179106</t>
  </si>
  <si>
    <t>МИРОВАЯ КЛАССИКА. Александр Пушкин. Евгений Онегин  240 стр</t>
  </si>
  <si>
    <t>978-5-378-33108-6</t>
  </si>
  <si>
    <t xml:space="preserve">«Евгений Онегин» — это роман в стихах, написанный  Александром Сергеевичем Пушкиным и опубликованный в 1833 году. Произведение является одним из лучших образцов русской литературы и стало источником вдохновения для многих поколений читателей. Главный герой романа — Евгений Онегин, молодой дворянин, которого одолевает скука, и он отчаянно ищет развлечений. Приехав в свои владения в деревню, он знакомится с молодым поэтом Владимиром Ленским. У них возникает дружба, но со временем Онегина начинает раздражать повседневность жизни в провинции. Судьба сводит Онегина с прекрасной Татьяной Лариной — молодой и невинной девушкой, которая влюбляется в молодого повесу. Любовь, метания, страх, отчаяние и разочарование — героям романа придётся преодолеть много препятствий в попытке обрести счастье. </t>
  </si>
  <si>
    <t>9785378331086</t>
  </si>
  <si>
    <t>7521fb58ec3775bf382994a8e536ad18</t>
  </si>
  <si>
    <t>145х205х15</t>
  </si>
  <si>
    <t>179100</t>
  </si>
  <si>
    <t>МИРОВАЯ КЛАССИКА. Александр Пушкин. Капитанская дочка  176 стр</t>
  </si>
  <si>
    <t>978-5-378-35409-2</t>
  </si>
  <si>
    <t>«Капитанская дочка» — исторический роман Александра Сергеевича Пушкина, впервые опубликованный в 1836 году. Произведение повествует о событиях крестьянского восстания под предводительством Емельяна Пугачёва в XVIII веке. «Береги честь смолоду» — это не просто эпиграф романа. Это жизненный ориентир, которому следует главный герой. Молодой дворянин Пётр Гринёв по настоянию отца отправляется служить в Белогорскую крепость, где встречает прекрасную девушку Марию Миронову. Но их любви предстоит преодолеть множество препятствий на своём пути. Не по своей воле влюблённые оказываются втянуты в события крестьянского восстания, которые перевернут их судьбы. Петру придётся решить, что для него важнее: собственная жизнь или честь той, которую он любит. История о смелости, чести и истинной любви никого не оставит равнодушным.</t>
  </si>
  <si>
    <t>9785378354092</t>
  </si>
  <si>
    <t>ec1dfa35720add3cb3b665dd3116ecd8</t>
  </si>
  <si>
    <t>179112</t>
  </si>
  <si>
    <t>МИРОВАЯ КЛАССИКА. Антон Чехов. Рассказы  256 стр</t>
  </si>
  <si>
    <t>978-5-378-33113-0</t>
  </si>
  <si>
    <t>В сборник входят произведения известного русского мастера рассказа, драматурга и врача Антона Павловича Чехова. В его рассказах отражены жизнь, трагедии и радости обычных людей, с которыми мы можем соприкоснуться и обнаружить себя в их историях. Чехов часто использовал свой проницательный и ироничный взгляд на жизнь, а также тонкий психологизм и наблюдательность. Его рассказы могут быть такими разными, как «Ванька» — трогательная история о сложных отношениях между детьми и взрослыми, и «Дама с собачкой» — невероятно глубокий и чувственный рассказ о запретной любви. В рассказах поднимается множество тем: от любви и семейных отношений до болезни, смерти и одиночества. Каждый из них — это уникальная история, после которой захочется поразмышлять.</t>
  </si>
  <si>
    <t>9785378331130</t>
  </si>
  <si>
    <t>Чехов Антон Павлович</t>
  </si>
  <si>
    <t>2405ac96653cc4776f71b009850eb812</t>
  </si>
  <si>
    <t>145х205х17</t>
  </si>
  <si>
    <t>179098</t>
  </si>
  <si>
    <t>МИРОВАЯ КЛАССИКА. Иван Гончаров. Обломов  672 стр</t>
  </si>
  <si>
    <t>978-5-378-33104-8</t>
  </si>
  <si>
    <t>«Обломов» — знаменитый роман Ивана Александровича Гончарова, опубликованный в 1859 году. Произведение стало знаковым для русской литературы, отражая реалии жизни российского общества XIX века, а также внутреннюю борьбу человека с собой и окружающим миром. Главный герой, Илья Ильич Обломов, воплощает явление, названное по его имени «обломовщиной», характеризующееся апатией, нежеланием действовать и затруднениями в принятии решений. Обломов живет в своем уютном петербургском доме, ведя размеренный образ жизни, который включает в себя ежедневную рутину и бесконечные размышления о смысле жизни. Его характер резко контрастирует с динамичным и амбициозным характером его друга Штольца, который демонстрирует активный подход к жизни и стремление к успеху. Роман исследует темы лени, бездействия и утраты жизненной энергии, а также показывает, насколько сложно изменить свои привычки и взгляды.</t>
  </si>
  <si>
    <t>9785378331048</t>
  </si>
  <si>
    <t>Гончаров Иван Александрович</t>
  </si>
  <si>
    <t>f5b41ee6fa2a53cea2310677d7f1bb8a</t>
  </si>
  <si>
    <t>145х203х50</t>
  </si>
  <si>
    <t>179111</t>
  </si>
  <si>
    <t>МИРОВАЯ КЛАССИКА. Иван Тургенев. Отцы и дети  256 стр</t>
  </si>
  <si>
    <t>978-5-378-33112-3</t>
  </si>
  <si>
    <t xml:space="preserve">«Отцы и дети» — знаменитый роман Ивана Тургенева, опубликованный в 1862 году. Это произведение стало одним из наиболее значимых в русской литературе XIX века. Главная тема романа — противопоставление старого и нового поколений, конфликт между отцами и их детьми. Основное противостояние сосредоточено вокруг двух персонажей — Евгения Базарова и Николая Петровича Кирсанова. Евгений Базаров — представитель нового поколения, молодой, рациональный и скептически настроенный к традициям и идеям своего времени. Он проповедует научный подход к жизни и отвергает старые идеалы и ценности. Напротив, Николай Петрович Кирсанов — взрослый мужчина, приверженец традиций и землевладелец. Он представляет старое поколение, которое не готово принять новые идеи и вызовы. Конфликт между представителями «отцов» и «детей» становится эмоциональным, интеллектуальным и идеологическим сюжетом романа. Роман оказал глубокое влияние на развитие общественного мышления и культуры своего времени. </t>
  </si>
  <si>
    <t>9785378331123</t>
  </si>
  <si>
    <t>Тургенев Иван Сергеевич</t>
  </si>
  <si>
    <t>3163dd61ce52558308559ab711e45b7b</t>
  </si>
  <si>
    <t>258361</t>
  </si>
  <si>
    <t>МИРОВАЯ КЛАССИКА. Истории Волшебного Рождества 256 стр</t>
  </si>
  <si>
    <t>978-5-378-35601-0</t>
  </si>
  <si>
    <t>Перед вами особый выпуск серии "Мировая классика", приуроченный к новогодним праздникам.
"Истории волшебного Рождества" порадуют читателей новогодними рассказами, пронизанными добром, волшебством и верой в лучшее. "Метель" А.С. Пушкина, "Бедный принц" и "Чудесный доктор" А. Куприна, "Дары Волхвов" и "Ёлка с сюрпризом" О. Грина, "Рождественская песнь в прозе" Ч. Диккенса - в этой книге собраны классические произведения, которые настроят читателя на праздничный лад.
Книга имеют тематическое оформление в блоке, а также тиснение на обложке, что придаёт изданию подарочный вид.</t>
  </si>
  <si>
    <t>9785378356010</t>
  </si>
  <si>
    <t>Пушкин Александр Сергеевич,Грин Александр,Куприн Иван,Станюкович К.М,Чехов Антон Павлович,Лесков Н.С,Генри О, Диккенс Ч</t>
  </si>
  <si>
    <t>08dbf9c5e43e1a0b624ffc302dc39113</t>
  </si>
  <si>
    <t>145х203х40</t>
  </si>
  <si>
    <t>179104</t>
  </si>
  <si>
    <t>МИРОВАЯ КЛАССИКА. Марк Твен. Приключения Тома Сойера  256 стр</t>
  </si>
  <si>
    <t>978-5-378-33107-9</t>
  </si>
  <si>
    <t xml:space="preserve">«Приключения Тома Сойера» — это знаменитая повесть Марка Твена, опубликованная в 1876 году. Книга рассказывает историю мальчика по имени Том Сойер, живущего в американском городке Сент- Питерсберг в середине XIX века. Том Сойер — обычный мальчишка с живым воображением и склонностью к шалостям. Он обожает играть со своими с друзьями и мечтает об увлекательных приключениях. Но когда его жизнь сталкивается с реальными опасностями, Тому предстоит разобраться со своими страхами и доказать себе и окружающим, что он настоящий герой. Автор ставит перед читателями вечные вопросы о взрослении, природе авантюризма и роли фантазии в жизни ребёнка. </t>
  </si>
  <si>
    <t>9785378331079</t>
  </si>
  <si>
    <t>Марк Твен</t>
  </si>
  <si>
    <t>8d85198d060dd3906d528b31261b0a43</t>
  </si>
  <si>
    <t>246450</t>
  </si>
  <si>
    <t>МИРОВАЯ КЛАССИКА. Михаил Лермонтов. Герой нашего времени 192 стр</t>
  </si>
  <si>
    <t>978-5-378-35408-5</t>
  </si>
  <si>
    <t>«Герой нашего времени», несмотря на то, что при первой публикации в 1840 году он не был тепло встречен публикой, занимает одно из ведущих мест среди произведений русской литературы первой половины XIX века. Центральным персонажем первого в русской литературе психологического романа является Григорий Александрович Печорин, молодой офицер, чьё сложное внутреннее состояние и противоречивый характер сделали его одной из наиболее ярких фигур в истории отечественной прозы. Произведение представляет собой сборник повестей, каждая из которых освещает разные стороны личности главного героя. В образе Печорина М. Ю. Лермонтов выражает свои размышления о судьбе, свободе выбора и внутреннем конфликте человека. В настоящее время «Герой нашего времени» продолжает оставаться актуальным произведением, привлекающим внимание читателей своим глубоким анализом человеческой природы и философскими размышлениями о смысле жизни и предназначении человека.</t>
  </si>
  <si>
    <t>9785378354085</t>
  </si>
  <si>
    <t>Лермонтов Михаил Юрьевич</t>
  </si>
  <si>
    <t>2b87c6378ef60f3c1bb6bbce417ee7e8</t>
  </si>
  <si>
    <t>256178</t>
  </si>
  <si>
    <t>МИРОВАЯ КЛАССИКА. Николай Гоголь. Вечера на хуторе близ Диканьки 192 стр</t>
  </si>
  <si>
    <t>978-5-378-35641-6</t>
  </si>
  <si>
    <t>«Вечера на хуторе близ Диканьки» — сборник рассказов Николая Гоголя, впервые опубликованный в 1831 году. В этом произведении автор создает яркую картину жизни украинского села, наполненную фольклорными элементами, мифами и легендами. Каждая история в сборнике пронизана духом народной культуры, отражает быт и традиции крестьян, а также исследует темы любви, судьбы и человеческих страстей. Сборник включает в себя рассказы: «Ночь перед Рождеством», «Сорочинская ярмарка», «Пропавшая грамота» и другие произведения.</t>
  </si>
  <si>
    <t>9785378356416</t>
  </si>
  <si>
    <t>5c8744c737f54ad15c94792011939528</t>
  </si>
  <si>
    <t>179096</t>
  </si>
  <si>
    <t>МИРОВАЯ КЛАССИКА. Николай Гоголь. Мертвые души  512 стр</t>
  </si>
  <si>
    <t>978-5-378-33103-1</t>
  </si>
  <si>
    <t>«Мертвые души» — это одно из наиболее известных произведений Николая Васильевича Гоголя, опубликованное в 1842 году. Сатирическая поэма погружает читателя в мир России XIX века, который полон социальных пороков, бюрократии и человеческой алчности. Главный герой, Павел Иванович Чичиков, — мошенник, который придумал хитроумный план, чтобы разбогатеть. В ходе своих приключений Чичиков встречает помещиков, каждого из которых Гоголь описывает яркими красками. Эти персонажи олицетворяют различные недостатки общества и человеческие пороки: корысть, лицемерие, обман и безнравственность. Каждая встреча открывает перед читателем новые грани человеческой
натуры и суровые реалии жизни того времени.</t>
  </si>
  <si>
    <t>9785378331031</t>
  </si>
  <si>
    <t>43d7122f1559974187ae843f9d04e2b3</t>
  </si>
  <si>
    <t>280125</t>
  </si>
  <si>
    <t>МИРОВАЯ КЛАССИКА. Рождественские и новогодние рассказы 304 стр</t>
  </si>
  <si>
    <t>978-5-378-36163-2</t>
  </si>
  <si>
    <t>Новый год и Рождество - самое волшебное время в году. В эти дни мы можем насладиться своими любимыми делами, в том числе чтением.
Трогательные, мистические и поучительные рождественские истории ждут читателей на страницах этой книги.
В этой книге собраны классические произведения, которые настроят читателя на праздничный лад.
Книга имеют тематическое оформление в блоке, а также тиснение на обложке, что придаёт изданию подарочный вид.</t>
  </si>
  <si>
    <t>9785378361632</t>
  </si>
  <si>
    <t>Черский Леонид Федорович, Чехов Антон павлович, Черный Саша, Одоевский Владимир Федорович, Станюкович Константин Михайлович, Загоскин Михаил Николаевич, Андреев Леонид Николаевич, Куприн Александр Иванович, Гоголь Николай Васильевич и др</t>
  </si>
  <si>
    <t>179110</t>
  </si>
  <si>
    <t>МИРОВАЯ КЛАССИКА. Уильям Шекспир. Ромео и Джульетта 176 стр</t>
  </si>
  <si>
    <t>978-5-378-34716-2</t>
  </si>
  <si>
    <t>Трагедия, написанная Уильямом Шекспиром в XVI веке, остаётся одной из самых печально известных историй в мировой литературе. Главные герои — Ромео Монтекки и Джульетта Капулетти — влюбляются друг в друга, несмотря на вражду между своими семействами. И решают бороться за свою любовь. Однако обстоятельства неожиданно становятся роковыми для юных влюблённых. В этой трагедии Шекспир исследует темы силы любви, семейной вражды и природы судьбы, подчёркивая трагические последствия ненависти и неразумных решений.</t>
  </si>
  <si>
    <t>9785378347162</t>
  </si>
  <si>
    <t>Шекспир Уильям</t>
  </si>
  <si>
    <t>012e25f24da7110973b452b6c9ee26ed</t>
  </si>
  <si>
    <t>246455</t>
  </si>
  <si>
    <t>МИРОВАЯ КЛАССИКА. Фёдор Достоевский. Преступление и наказание 736 стр</t>
  </si>
  <si>
    <t>978-5-378-33105-5</t>
  </si>
  <si>
    <t>Роман Федора Достоевского «Преступление и наказание» — это глубокое исследование человеческой природы, морали и искупления. Главный герой, Родион Раскольников, — бедный студент, который впадает в отчаяние из-за нищеты и социальной несправедливости. Пытаясь оправдать свое решение избавиться от злой старухи-процентщицы, он разрабатывает теорию о людях, которые имеют право на преступление ради высшей цели. На фоне конфликта между моралью и аморальностью Достоевский поднимает важнейшие
вопросы о свободе выбора, ответственности и возможности искупления. Личные трагедии героев, неожиданные повороты сюжета и философские размышления создают мощную атмосферу, заставляющую переосмыслить привычные представления о добре и зле.</t>
  </si>
  <si>
    <t>9785378331055</t>
  </si>
  <si>
    <t>Достоевский Фёдор Михайлович</t>
  </si>
  <si>
    <t>456d8f4a30d1220814b52e93bedc8287</t>
  </si>
  <si>
    <t>145х203х55</t>
  </si>
  <si>
    <t>СЕРИЯ: ХРЕСТОМАТИЯ офсет 80 гр, мат.ламин. выб.лак 140х205</t>
  </si>
  <si>
    <t>212030</t>
  </si>
  <si>
    <t>ХРЕСТОМАТИЯ ДЛЯ ВНЕКЛАССНОГО ЧТЕНИЯ. 1-4 КЛАСС</t>
  </si>
  <si>
    <t>978-5-378-34416-1</t>
  </si>
  <si>
    <t>Хрестоматия включает в себя произведения русской народной литературы, прозу и поэзию русских классиков, а также сказки зарубежных авторов. Все произведения, составившие хрестоматию, входят в программы по школьному и внеклассному чтению. Этот сборник обязательно пригодится ученикам начальной школы и станет полезным помощником в изучении литературы!</t>
  </si>
  <si>
    <t>9785378344161</t>
  </si>
  <si>
    <t>37ebb5423ae02ffa45680b77077558c6</t>
  </si>
  <si>
    <t>212029</t>
  </si>
  <si>
    <t>ХРЕСТОМАТИЯ С КРУПНЫМИ БУКВАМИ</t>
  </si>
  <si>
    <t>978-5-378-34393-5</t>
  </si>
  <si>
    <t>Крупный шрифт текстов хрестоматии будет удобен как для начинающих читателей-дошкольников, так и для учеников младших классов. Все произведения сборника входят в программы по школьному и внеклассному чтению. Обязательно дополните домашнюю детскую библиотеку этой полезной и красивой книгой!</t>
  </si>
  <si>
    <t>9785378343935</t>
  </si>
  <si>
    <t>3357d79d5a13fb7e70775f922d9c6622</t>
  </si>
  <si>
    <t>СЕРИЯ: ХРЕСТОМАТИЯ. ШКОЛЬНАЯ БИБЛИОТЕКА. офсет 60 гр, глянц.ламин. 165х215</t>
  </si>
  <si>
    <t>190550</t>
  </si>
  <si>
    <t>ХРЕСТОМАТИЯ ДЛЯ 1 КЛАССА</t>
  </si>
  <si>
    <t>978-5-378-33854-2</t>
  </si>
  <si>
    <t>Хрестоматия состоит из четырёх разделов и включает в себя произведения русской народной литературы, прозу и поэзию русских классиков, а также сказки зарубежных авторов. Все произведения, составившие хрестоматию, входят в программы по школьному и внеклассному чтению.</t>
  </si>
  <si>
    <t>9785378338542</t>
  </si>
  <si>
    <t>Пришвин Михаил Михайлович,Мамин-Сибиряк Дмитрий Наркисович,Гайдар Аркадий Петрович,Одоевский Владимир Фёдорович,Драгунский Виктор Юзефович,Пантелеев Леонид,Андерсен Ганс Христиан,Перро Шарль</t>
  </si>
  <si>
    <t>8402d100367ad0fa906297adf8eae244</t>
  </si>
  <si>
    <t>165х215х15</t>
  </si>
  <si>
    <t>190552</t>
  </si>
  <si>
    <t>ХРЕСТОМАТИЯ ДЛЯ 2 КЛАССА</t>
  </si>
  <si>
    <t>978-5-378-33444-5</t>
  </si>
  <si>
    <t>9785378334445</t>
  </si>
  <si>
    <t>Пришвин Михаил Михайлович,Платонов Андрей Платонович,Житков Борис Степанович,Жуковский Василий Андреевич,Куприн Александр Иванович,Гаршин Всеволод Михайлович,Пантелеев Леонид,Драгунский Виктор Юзефович,Шварц Евгений Львович,Андерсен Ганс Христиан,Перро Шарль,Харрис Джоэль Чандлер</t>
  </si>
  <si>
    <t>3b9e3975525c96409a0b983e342d7bed</t>
  </si>
  <si>
    <t>190554</t>
  </si>
  <si>
    <t>ХРЕСТОМАТИЯ ДЛЯ 3 КЛАССА</t>
  </si>
  <si>
    <t>978-5-378-33855-9</t>
  </si>
  <si>
    <t>9785378338559</t>
  </si>
  <si>
    <t>Пантелеев Леонид,Чехов Антон Павлович,Куприн Александр Иванович,Одоевский Владимир Фёдорович,Бажов Павел Петрович,Платонов Андрей Платонович,Драгунский Виктор Юзефович,Перро Шарль,Андерсен Ганс Христиан,Братья Гримм</t>
  </si>
  <si>
    <t>af3ff8b871b99b338fd70ba94451227a</t>
  </si>
  <si>
    <t>190555</t>
  </si>
  <si>
    <t>ХРЕСТОМАТИЯ ДЛЯ 4 КЛАССА</t>
  </si>
  <si>
    <t>978-5-378-33530-5</t>
  </si>
  <si>
    <t>Хрестоматия состоит из пяти разделов и включает в себя произведения русской народной литературы, прозу и поэзию русских классиков, сказки зарубежных авторов, а также знакомит школьников с мифологией Древней Греции. Все произведения, составившие хрестоматию, входят в программы по школьному и внеклассному чтению.</t>
  </si>
  <si>
    <t>9785378335305</t>
  </si>
  <si>
    <t>Блок Александр Александрович,Толстой Алексей Николаевич,Жуковский Василий Андреевич,Даль Владимир Иванович,Гаршин Всеволод Михайлович,Куприн Александр Иванович,Чёрный Саша,Мамин-Сибиряк Дмитрий Наркисович,Толстой Лев Николаевич,Чехов Антон Павлович,Драгунский Виктор Юзефович,Гауф Вильгельм,Андерсен Ганс Христиан,Перро Шарль</t>
  </si>
  <si>
    <t>5fb910e12ff874136540c91a4f0c41c6</t>
  </si>
  <si>
    <t>СЕРИЯ: ЧТЕНИЕ НА ЛЕТО глянц.ламин, 7БЦ 170х220</t>
  </si>
  <si>
    <t>251743</t>
  </si>
  <si>
    <t>ЧТЕНИЕ НА ЛЕТО. Переходим в 3 класс</t>
  </si>
  <si>
    <t>978-5-378-35491-7</t>
  </si>
  <si>
    <t>Что почитать школьнику во время летнего отдыха? Сборник «Чтение на лето» собрал в себе множество произведений для учеников начальной школы, которые можно прочесть на каникулах. В этой книге юный читатель познакомится с рассказами Константина Ушинского, Льва Толстого, Редьярда Киплинга и окунётся в мир русских народных сказок. Список произведений соответствует школьной программе.</t>
  </si>
  <si>
    <t>9785378354917</t>
  </si>
  <si>
    <t>Ушинский Константин Дмитриевич, Толстой Лев Николаевич, Гаршин Всеволод Михайлович, Горький Максим, Мамин-Сибиряк Дмитрий Наркисович, Житков Борис Степанович, Драгунский Виктор Юзефович, Гайдар Аркадий Петрович и др.</t>
  </si>
  <si>
    <t>399209811d72617a936823ff8de26c5c</t>
  </si>
  <si>
    <t>170x220x19</t>
  </si>
  <si>
    <t>251744</t>
  </si>
  <si>
    <t>ЧТЕНИЕ НА ЛЕТО. Переходим в 4 класс</t>
  </si>
  <si>
    <t>978-5-378-35529-7</t>
  </si>
  <si>
    <t>Что почитать школьнику во время летнего отдыха? Сборник «Чтение на лето» собрал в себе множество произведений для учеников начальной школы, которые можно прочесть на каникулах. В этой книге юный читатель познакомится с рассказами Антона Чехова, Виктора Драгунского, Александра Куприна, а также окунётся в мир сказок Ганса Христиана Андерсена, Александра Пушкина и других известных авторов. Список произведений соответствует школьной программе.</t>
  </si>
  <si>
    <t>9785378355297</t>
  </si>
  <si>
    <t>Пушкин Александр Сергеевич, Аксаков Сергей Тимофеевич, Лермонтов Михаил Юрьевич, Погорельский Антоний, Одоевский Владимир Фёдорович, Крылов Иван Андреевич, Толстой Лев Николаевич и др.</t>
  </si>
  <si>
    <t>219b0c3f6df161c2ea4b6a9fe5ae7e2b</t>
  </si>
  <si>
    <t>251745</t>
  </si>
  <si>
    <t>ЧТЕНИЕ НА ЛЕТО. Переходим в 5 класс</t>
  </si>
  <si>
    <t>978-5-378-35530-3</t>
  </si>
  <si>
    <t>Что почитать школьнику во время летнего отдыха? Сборник «Чтение на лето» собрал в себе множество произведений для учеников начальной школы, которые можно прочесть на каникулах. В этой книге юный читатель познакомится с мифами древних греков, сказками Павла Бажова, мистическими повестями Николая Гоголя, рассказами Ивана Тургенева, Александра Куприна, Антона Чехова и других известных писателей. Список произведений соответствует школьной программе.</t>
  </si>
  <si>
    <t>9785378355303</t>
  </si>
  <si>
    <t>Кун Николай Альбертович, Жуковский Василий Андреевич, Бажов Павел Петрович, Гоголь Николай Васильевич, Лесков Николай Семёнович, Рылеев Кондратий Фёдорович, Пушкин Александр Сергеевич и др.</t>
  </si>
  <si>
    <t>f78b031359bb1846d925300b1cae3364</t>
  </si>
  <si>
    <t>251742</t>
  </si>
  <si>
    <t>ЧТЕНИЕ НА ЛЕТО. Переходим во 2 класс</t>
  </si>
  <si>
    <t>978-5-378-35490-0</t>
  </si>
  <si>
    <t>Что почитать школьнику во время летнего отдыха? Сборник «Чтение на лето» собрал в себе множество произведений для учеников начальной школы, которые можно прочесть на каникулах. В этой книге юный читатель познакомится с рассказами Льва Толстого, Михаила Пришвина, Виктора Драгунского, Валентины Осеевой и других известных авторов лучших детских произведений. Список произведений соответствует школьной программе.</t>
  </si>
  <si>
    <t>9785378354900</t>
  </si>
  <si>
    <t>Толстой Лев Николаевич, Пришвин Михаил Михайлович, Пушкин Александр Сергеевич, Мамин-Сибиряк Дмитрий Наркисович, Бажов Павел Петрович, Драгунский Виктор Юзефович, Осеева Валентина Александровна, Антонова Ирина Алекссевна, Андерсен Ганс Христиан, Перро Шарль</t>
  </si>
  <si>
    <t>6266e182a476f0d80197dbb629b32fc3</t>
  </si>
  <si>
    <t>СЕРИЯ: ШКОЛЬНАЯ БИБЛИОТЕКА тв.переплет. глянц.ламин. 165х215</t>
  </si>
  <si>
    <t>082339</t>
  </si>
  <si>
    <t>ШКОЛЬНАЯ БИБЛИОТЕКА. АЛЁНУШКИНЫ СКАЗКИ (Д. Мамин-Сибиряк) 96с.</t>
  </si>
  <si>
    <t>978-5-378-28080-3</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</si>
  <si>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В этот сборник вошли замечательные произведения Д.Н. Мамина-Сибиряка из цикла «Алёнушкины сказки». Писатель создал их специально для своей маленькой дочки Алёнушки и вложил в них свою любовь и тепло.</t>
  </si>
  <si>
    <t>9785378280803</t>
  </si>
  <si>
    <t>Мамин-Сибиряк Дмитрий Наркисович</t>
  </si>
  <si>
    <t>0507ea62e47752879da765dfda86a96a</t>
  </si>
  <si>
    <t>Школьная библиотека</t>
  </si>
  <si>
    <t>165x215x10</t>
  </si>
  <si>
    <t>072088</t>
  </si>
  <si>
    <t>ШКОЛЬНАЯ БИБЛИОТЕКА. АЛЫЕ ПАРУСА (А. Грин) 112с.</t>
  </si>
  <si>
    <t>978-5-378-27831-2</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</si>
  <si>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Замечательная романтическая история Александра Грина о чудесах и надежде любима многими поколениями читателей. Чудесные иллюстрации делают книгу ещё более волшебной и прекрасной.</t>
  </si>
  <si>
    <t>9785378278312</t>
  </si>
  <si>
    <t>c4c5a7aa0085e72cf4a82c73542043dc</t>
  </si>
  <si>
    <t>25.09.2017 0:00:00</t>
  </si>
  <si>
    <t>052397</t>
  </si>
  <si>
    <t>ШКОЛЬНАЯ БИБЛИОТЕКА. БАСНИ (И.А. Крылов) 128с.</t>
  </si>
  <si>
    <t>978-5-378-26777-4</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</si>
  <si>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И. А. Крылов — замечательнейший русский поэт и баснописец. Он создал множество поучительных и мудрых произведений, которые будут актуальны всегда.</t>
  </si>
  <si>
    <t>9785378267774</t>
  </si>
  <si>
    <t>765b578ff1d43f6f7c9e9f1677b6a7e3</t>
  </si>
  <si>
    <t>052388</t>
  </si>
  <si>
    <t>ШКОЛЬНАЯ БИБЛИОТЕКА. БЕСПРИДАННИЦА (А. Островский) 112с.</t>
  </si>
  <si>
    <t>978-5-378-26864-1</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</si>
  <si>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«Бесприданница» - пьеса А.Н. Островского, которая носила весьма новаторский характер во то время, когда её увидел свет. Именно такая смелая подача и интересный сюжет сделали произведение необычайно особенным.</t>
  </si>
  <si>
    <t>9785378268641</t>
  </si>
  <si>
    <t>08e1cb7ecc7a32de826f178df3aea524</t>
  </si>
  <si>
    <t>052383</t>
  </si>
  <si>
    <t>ШКОЛЬНАЯ БИБЛИОТЕКА. ВОЛШЕБНОЕ СЛОВО (В.А. Осеева) 112с.</t>
  </si>
  <si>
    <t>978-5-378-26802-3</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</si>
  <si>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Рассказы советской детской писательницы Валентины Осеевой станут отличным развлечением для ребёнка, расскажут о моральных ценностях, дружбе и многом другом.</t>
  </si>
  <si>
    <t>9785378268023</t>
  </si>
  <si>
    <t>Осеева Валентина Александровна</t>
  </si>
  <si>
    <t>224852a3a8acb88303775f917b17f079</t>
  </si>
  <si>
    <t>125549</t>
  </si>
  <si>
    <t>ШКОЛЬНАЯ БИБЛИОТЕКА. ГЕРОЙ НАШЕГО ВРЕМЕНИ (М.Лермонтов) 192с.</t>
  </si>
  <si>
    <t>978-5-378-29810-5</t>
  </si>
  <si>
    <t>«Герой нашего времени» - одно из самых ярких произведение в творчестве Михаила Юрьевича Лермонтова. Автор в нём многогранно раскрывает человеческую личность со всеми её пороками, переживаниями, мытарствами и стремлениями. Эта книга даёт представление о нравственном состоянии и укладе жизни русского общества XIX века, но остаётся актуальной и в наше время.</t>
  </si>
  <si>
    <t>9785378298105</t>
  </si>
  <si>
    <t>410e806fe2f8d82a9820b3886caf99a4</t>
  </si>
  <si>
    <t>161327</t>
  </si>
  <si>
    <t>ШКОЛЬНАЯ БИБЛИОТЕКА. ГУЛЛИВЕР В СТРАНЕ ЛИЛИПУТОВ (Дж.Свифт) 96с.</t>
  </si>
  <si>
    <t>978-5-378-31665-6</t>
  </si>
  <si>
    <t>Чтение — лучший способ путешествия по неизведанным и удивительным мирам. А с серией «Школьная библиотека» такое путешествие становится ещё проще. Коллекция познакомит ребёнка с интереснейшими произведениями школьной программы и подарит прекрасные эмоции. Произведение Джонатана Свифта «Гулливер в стране лилипутов» каждый знает с самого раннего детства. Это непростая история о взаимоотношениях людей, рассказанная простым и детским языком. Вместе с Гулливером читателю предстоит отправиться в морское путешествие, которое приведёт в страну лилипутов. Каждый день герою по-новому будет открываться Лилипутия и её жители. А прежде, чем вернуться домой, Гулливеру нужно стойко и мудро пройти множество испытаний.</t>
  </si>
  <si>
    <t>9785378316656</t>
  </si>
  <si>
    <t>Свифт Джонатан</t>
  </si>
  <si>
    <t>a056e69fb4ce22c65f0b3eafce5fe1be</t>
  </si>
  <si>
    <t>052400</t>
  </si>
  <si>
    <t>ШКОЛЬНАЯ БИБЛИОТЕКА. ЗАКОЛДОВАННАЯ БУКВА. ДЕНИСКИНЫ РАССКАЗЫ (В.Ю. Драгунский) 112с.</t>
  </si>
  <si>
    <t>978-5-378-26809-2</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</si>
  <si>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Денискины рассказы — легендарный цикл рассказов советского писателя Виктора Драгунского. Эти истории уже на протяжении многих лет любимы не только детьми, но и взрослыми.</t>
  </si>
  <si>
    <t>9785378268092</t>
  </si>
  <si>
    <t>ae8ecf23e428decc86a3a8ab0113260a</t>
  </si>
  <si>
    <t>216809</t>
  </si>
  <si>
    <t>ШКОЛЬНАЯ БИБЛИОТЕКА. КОНЁК-ГОРБУНОК (П.Ершов) 128с.</t>
  </si>
  <si>
    <t>978-5-378-34515-1</t>
  </si>
  <si>
    <t xml:space="preserve">В серии "Школьная библиотека" представлено классическое детское произведение А. Ершова - Конёк-горбунок. Эта сказка написана в стихотворной форме и наполнена устаревшими выражениями, значения которых читатель найдет в отдельном разделе в конце книги. Книга представлена в твердом переплёте. </t>
  </si>
  <si>
    <t>9785378345151</t>
  </si>
  <si>
    <t>8d1fe23e47cd42c3b2ac8a77fe458631</t>
  </si>
  <si>
    <t>052386</t>
  </si>
  <si>
    <t>ШКОЛЬНАЯ БИБЛИОТЕКА. КОРАБЛЁВ, К ДОСКЕ! ДЕНИСКИНЫ РАССКАЗЫ (В.Ю. Драгунский) 128с.</t>
  </si>
  <si>
    <t>978-5-378-26866-5</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</si>
  <si>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Денискины рассказы — замечательные произведения Виктора Драгунского, которые приоткрывают завесу забавной весёлой жизни детей. Писатель отлично передаёт все их радости, переживания, взаимоотношения с родителями и сверстниками.</t>
  </si>
  <si>
    <t>9785378268665</t>
  </si>
  <si>
    <t>cd7bf30f351fa17d4fb55ff878b4d739</t>
  </si>
  <si>
    <t>062274</t>
  </si>
  <si>
    <t>ШКОЛЬНАЯ БИБЛИОТЕКА. ЛЕСНЫЕ ДОМИШКИ (В.В. БИАНКИ) 112с.</t>
  </si>
  <si>
    <t>978-5-378-27264-8</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</si>
  <si>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В. Бианки — замечательный советский писатель, на произведениях которого выросло уже не одно поколение детей. В книге собраны самые значимые его произведения: «Теремок», «Как Муравьишка домой спешил», «Чей нос лучше?», «Лесные домишки», «Мурзук. Повесть».</t>
  </si>
  <si>
    <t>9785378272648</t>
  </si>
  <si>
    <t>Бианки Виталий Валентинович</t>
  </si>
  <si>
    <t>801ce4aacc9968bbd815d259fbc4f6b0</t>
  </si>
  <si>
    <t>21.07.2017 0:00:00</t>
  </si>
  <si>
    <t>082344</t>
  </si>
  <si>
    <t>ШКОЛЬНАЯ БИБЛИОТЕКА. НА ДНЕ (М. Горький) 96с.</t>
  </si>
  <si>
    <t>978-5-378-28081-0</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</si>
  <si>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Драма «На дне» является одним из самых известных произведений Максима Горького, в котором поднимается центральная тема в творчестве писателя – проблема опустившихся, надломленных людей. Для детей старшего школьного возраста.</t>
  </si>
  <si>
    <t>9785378280810</t>
  </si>
  <si>
    <t>Горький Максим</t>
  </si>
  <si>
    <t>ab5aec6124a9db1e6ea9ccc2b5380cf4</t>
  </si>
  <si>
    <t>082340</t>
  </si>
  <si>
    <t>ШКОЛЬНАЯ БИБЛИОТЕКА. НОЧЬ ПЕРЕД РОЖДЕСТВОМ (Н. Гоголь) 96с.</t>
  </si>
  <si>
    <t>978-5-378-28082-7</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</si>
  <si>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В данной книге вас ждут прекрасные повести Николая Васильевича Гоголя, наполненные ярким колоритом Малороссии XVIII века, захватывающими приключениями и волшебством.</t>
  </si>
  <si>
    <t>9785378280827</t>
  </si>
  <si>
    <t>ad875bf85eb2b32f12607b19d05744d1</t>
  </si>
  <si>
    <t>159092</t>
  </si>
  <si>
    <t>ШКОЛЬНАЯ БИБЛИОТЕКА. ОСТРОВ СОКРОВИЩ (Р.Стивенсон) 272с.</t>
  </si>
  <si>
    <t>978-5-378-31512-3</t>
  </si>
  <si>
    <t>С серией книг «Школьная библиотека» каждый ребёнок сможет познакомится с потрясающим миром отечественной и зарубежной литературы. Каждая книга серии — невероятное приключение, которое подарит радость и смех, а также поможет привить школьнику любовь и интерес к чтению. Знаменитое произведение Роберта Льюиса Стивенсона «Остров сокровищ» — это завораживающая история о пиратах, насыщенная тайнами, непредсказуемыми сюжетными поворотами, интригующими рассказами о поиске настоящего сокровища. Любимая всеми книга понравится каждому школьнику и окунёт его в незабываемый мир морских приключений.</t>
  </si>
  <si>
    <t>9785378315123</t>
  </si>
  <si>
    <t>082342</t>
  </si>
  <si>
    <t>ШКОЛЬНАЯ БИБЛИОТЕКА. ПОВЕСТИ (Н. Карамзин) 96с.</t>
  </si>
  <si>
    <t>978-5-378-28083-4</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</si>
  <si>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Николай Михайлович Карамзин является выдающимся писателем, историком и реформатором русского языка. В этой книге вы найдёте его знаменитые повести «Бедная Лиза», «Наталья, боярская дочь» и «Юлия».</t>
  </si>
  <si>
    <t>9785378280834</t>
  </si>
  <si>
    <t>Карамзин Николай Михайлович</t>
  </si>
  <si>
    <t>44d694fd9b9c8ed8e6459b7a468f3d90</t>
  </si>
  <si>
    <t>072087</t>
  </si>
  <si>
    <t>ШКОЛЬНАЯ БИБЛИОТЕКА. ПОВЕСТИ (Н.В. Гоголь) 112с.</t>
  </si>
  <si>
    <t>978-5-378-27703-2</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</si>
  <si>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В данный сборник вошли повести замечательного классика Николая Гоголя из цикла «Петербургские повести». В произведениях описывается многоликий и столь изменчивый Санкт-Петербург и его необыкновенные обитатели.</t>
  </si>
  <si>
    <t>9785378277032</t>
  </si>
  <si>
    <t>63866ac8d2cac16f2e7dde30bf49b69c</t>
  </si>
  <si>
    <t>072082</t>
  </si>
  <si>
    <t>ШКОЛЬНАЯ БИБЛИОТЕКА. ПОЭЗИЯ ЗОЛОТОГО ВЕКА 96с.</t>
  </si>
  <si>
    <t>978-5-378-27828-2</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</si>
  <si>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XIX век — время расцвета русской поэзии. В книге представлены произведения В.А. Жуковского, Д.В. Давыдова, К.Н. Батюшкова, П.А. Вяземского, В.К. Кюхельбекера, А.С. Пушкина, Е.А. Баратынского, Ф.И. Тютчева, М.Ю. Лермонтова.</t>
  </si>
  <si>
    <t>9785378278282</t>
  </si>
  <si>
    <t>Жуковский Василий Андреевич,Давыдов Денис Васильевич,Батюшков Константин Николаевич,Вяземский Пётр Андреевич,Кюхельбекер Вильгельм Карлович,Пушкин Александр Сергеевич,Баратынский Евгений Абрамович,Тютчев Фёдор Иванович,Лермонтов Михаил Юрьевич</t>
  </si>
  <si>
    <t>fa08468cc30ba9e952baeabd12f0a3dc</t>
  </si>
  <si>
    <t>159091</t>
  </si>
  <si>
    <t>ШКОЛЬНАЯ БИБЛИОТЕКА. ПРИКЛЮЧЕНИЯ КАПИТАНА ВРУНГЕЛЯ (А.Некрасов) 176с.</t>
  </si>
  <si>
    <t>978-5-378-31513-0</t>
  </si>
  <si>
    <t>Серия книг «Школьная библиотека» — это коллекция замечательных произведений русской и мировой литературы. Благодаря им каждый школьник познакомится с классическими сюжетами и историями, прикоснётся к удивительному миру художественной литературы и научится чему-то важному. «Приключения капитана Врунгеля» А. С. Некрасова — мир невероятных историй о капитане Врунгеле и его помощниках. Весёлые и поучительные, эти рассказы отправят ребёнка в путешествие на знаменитой парусной яхте «Беда» и познакомят с самыми забавными случаями из жизни отважных и смелых моряков.</t>
  </si>
  <si>
    <t>9785378315130</t>
  </si>
  <si>
    <t>Некрасов Николай Алексеевич</t>
  </si>
  <si>
    <t>aee041b785e42fd243853cd46fb32377</t>
  </si>
  <si>
    <t>248058</t>
  </si>
  <si>
    <t>ШКОЛЬНАЯ БИБЛИОТЕКА. ПРИКЛЮЧЕНИЯ ТОМА СОЙЕРА (М.Твен) 272с.</t>
  </si>
  <si>
    <t>978-5-378-35437-5</t>
  </si>
  <si>
    <t>«Приключения Тома Сойера» - одно из самых ярких произведение в творчестве Марка Твена, которое учит дружбе, смелости, решительности, умению отвечать за свои поступки, а также показывает как важно бороться с несправедливостью и всегда приходить на помощь тем, кто оказался в беде. Эта книга отлично подойдёт для школьников — удобный формат, твёрдая обложка, чёрно-белые иллюстрации.</t>
  </si>
  <si>
    <t>9785378354375</t>
  </si>
  <si>
    <t>Твен Марк</t>
  </si>
  <si>
    <t>a7a7fe133ac1c04f4912514e8cf92ca3</t>
  </si>
  <si>
    <t>169x221x15</t>
  </si>
  <si>
    <t>082343</t>
  </si>
  <si>
    <t>ШКОЛЬНАЯ БИБЛИОТЕКА. ПЬЕСЫ (А. Чехов) 96с.</t>
  </si>
  <si>
    <t>978-5-378-28078-0</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</si>
  <si>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Антон Павлович Чехов – русский писатель и классик мировой литературы, создавший множество гениальных произведений. В данную книгу вошли его пьесы «Чайка» и «Лебединая песня (Калхас)».</t>
  </si>
  <si>
    <t>9785378280780</t>
  </si>
  <si>
    <t>77909aff9b5d330fb948efb30fc963dd</t>
  </si>
  <si>
    <t>052389</t>
  </si>
  <si>
    <t>ШКОЛЬНАЯ БИБЛИОТЕКА. РАЗИНЯ И ДРУГИЕ РАССКАЗЫ (Б.С. ЖИТКОВ) 128с.</t>
  </si>
  <si>
    <t>978-5-378-26785-9</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</si>
  <si>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Б.С. Житков — потрясающий русский писатель, который подарил своим многочисленным читателям замечательные приключенческие рассказы и повести, удивительные истории о животных и т.д.В сборник вошли такие популярные истории, как «Галка», «Про обезьянку», «Разиня» и др.</t>
  </si>
  <si>
    <t>9785378267859</t>
  </si>
  <si>
    <t>Житков Борис Степанович</t>
  </si>
  <si>
    <t>052390</t>
  </si>
  <si>
    <t>ШКОЛЬНАЯ БИБЛИОТЕКА. РАССКАЗЫ О ДЕТЯХ (Л. Пантелеев) 128с.</t>
  </si>
  <si>
    <t>978-5-378-26783-5</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</si>
  <si>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Л. Пантелеев — советский писатель, который подарил миру множество потрясающих произведений для детей. Эти истории не смогут оставить равнодушными абсолютно никого.</t>
  </si>
  <si>
    <t>9785378267835</t>
  </si>
  <si>
    <t>Пантелеев Леонид</t>
  </si>
  <si>
    <t>1ee0cf1a508baeb5bad0174ac27dfe39</t>
  </si>
  <si>
    <t>229492</t>
  </si>
  <si>
    <t>ШКОЛЬНАЯ БИБЛИОТЕКА. РАССКАЗЫ О ШКОЛЬНИКАХ 96с.</t>
  </si>
  <si>
    <t>978-5-378-34770-4</t>
  </si>
  <si>
    <t>Серия книг «Школьная библиотека» откроет для каждого ребёнка удивительный мир отечественной и зарубежной литературы. Эта коллекция — истинная находка для каждого ученика и ценное дополнение домашней библиотеки. В сборник вошли рассказы Виктора Драгунского, Валентины Осеевой, Олега Кургузова, Ирины Антоновой, Сергея Георгиева.</t>
  </si>
  <si>
    <t>9785378347704</t>
  </si>
  <si>
    <t>Драгунский Виктор Юзефович, Осеева Валентина Александровна</t>
  </si>
  <si>
    <t>f456333cb1ab66107a14b9fa89ea3c9c</t>
  </si>
  <si>
    <t>06.11.2024 0:00:00</t>
  </si>
  <si>
    <t>170х220x10</t>
  </si>
  <si>
    <t>082345</t>
  </si>
  <si>
    <t>ШКОЛЬНАЯ БИБЛИОТЕКА. РУСЛАН И ЛЮДМИЛА (А. Пушкин) 112с.</t>
  </si>
  <si>
    <t>978-5-378-28079-7</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</si>
  <si>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Поэма Александра Сергеевича Пушкина «Руслан и Людмила» является классикой не только детской, но и русской литературы в целом и известна каждому со школьной скамьи.</t>
  </si>
  <si>
    <t>9785378280797</t>
  </si>
  <si>
    <t>1900c6de9b0ca59c8b0aa09937d2e1e4</t>
  </si>
  <si>
    <t>264428</t>
  </si>
  <si>
    <t>ШКОЛЬНАЯ БИБЛИОТЕКА. СКАЗКА О ПОТЕРЯННОМ ВРЕМЕНИ 96с.</t>
  </si>
  <si>
    <t>978-5-378-35838-0</t>
  </si>
  <si>
    <t>Многие произведения Евгения Шварца хорошо известны и любимы как маленькими читателями, так и взрослыми, именно поэтому мы собрали некоторые из них в одной книге серии "Школьная библиотека". В книгу вошли произведения «Сказка о потерянном времени», «Рассеянный волшебник», «Два брата» и «Приключения Шуры и Маруси». Забавные, трогательные и добрые рассказы Евгения Шварца порадуют читателей от мала до велика.</t>
  </si>
  <si>
    <t>9785378358380</t>
  </si>
  <si>
    <t>Шварц Евгений Львович</t>
  </si>
  <si>
    <t>19dd7b730041eb9ddf2c1e288a31408a</t>
  </si>
  <si>
    <t>253335</t>
  </si>
  <si>
    <t>ШКОЛЬНАЯ БИБЛИОТЕКА. СКАЗКИ (К.И.Чуковский) 128с.</t>
  </si>
  <si>
    <t>978-5-378-35583-9</t>
  </si>
  <si>
    <t>В этот сборник вошли самые любимые сказки Корнея Чуковского. Произведения Корнея Ивановича очень полезны для детей. Они помогают пробудить воображение и фантазию, дают первоначальные представления о добре и зле, учат смелости, доброте, отваге и состраданию. Книга отлично подойдёт для младших школьников — удобный формат, твёрдая обложка, чёрно-белые иллюстрации.</t>
  </si>
  <si>
    <t>9785378355839</t>
  </si>
  <si>
    <t>eaff5b706b6ec40e4c2537da40d39dc9</t>
  </si>
  <si>
    <t>173217</t>
  </si>
  <si>
    <t>ШКОЛЬНАЯ БИБЛИОТЕКА. СКАЗКИ ДЯДЮШКИ РИМУСА (Д.Ч.Харрис) 128с.</t>
  </si>
  <si>
    <t>978-5-378-32350-0</t>
  </si>
  <si>
    <t>И вновь Джоэль в гостях у дядюшки Римуса, а значит, нас всех ждёт новая увлекательная история о приключениях удалого Братца Кролика и его друзей! Эти сказки полны доброты, юмора и мудрости, за что и любимы во многих странах мира. А яркие иллюстрации помогут в полной мере погрузиться в нестандартные и весёлые ситуации.</t>
  </si>
  <si>
    <t>9785378323500</t>
  </si>
  <si>
    <t>36fe0556dfa0ca3462944983af35d7a7</t>
  </si>
  <si>
    <t>052392</t>
  </si>
  <si>
    <t>ШКОЛЬНАЯ БИБЛИОТЕКА. СКАЗКИ ЗАРУБЕЖНЫХ ПИСАТЕЛЕЙ 128с.</t>
  </si>
  <si>
    <t>978-5-378-26756-9</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</si>
  <si>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В этот сборник вошли произведения таких потрясающих писателей как Ганса Христиана Андерсена, братьев Гримм и Шарля Перро. Истории этих авторов любимы многими поколениями. Пришло время и вашему ребёнку окунуться в волшебный мир сказки.</t>
  </si>
  <si>
    <t>9785378267569</t>
  </si>
  <si>
    <t>b5286331714a17c107ee5b5212dbd5ba</t>
  </si>
  <si>
    <t>052393</t>
  </si>
  <si>
    <t>ШКОЛЬНАЯ БИБЛИОТЕКА. СКАЗКИ, РАССКАЗЫ, ПОВЕСТИ (Л.Н. Толстой) 128с.</t>
  </si>
  <si>
    <t>978-5-378-26868-9</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</si>
  <si>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Л.Н. Толстой — известный русский писатель и мыслитель, а также один из величайших и уважаемых литераторов в мире. В книге собраны его лучшие сказки, рассказы и повести, которые придутся по вкусу любому читателю.</t>
  </si>
  <si>
    <t>9785378268689</t>
  </si>
  <si>
    <t>Толстой Лев Николаевич</t>
  </si>
  <si>
    <t>4b15bec3a686dd40578a9a67cd430e70</t>
  </si>
  <si>
    <t>052394</t>
  </si>
  <si>
    <t>ШКОЛЬНАЯ БИБЛИОТЕКА. СКАЗКИ. СТИХИ (А.С. Пушкин) 128с.</t>
  </si>
  <si>
    <t>978-5-378-26776-7</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</si>
  <si>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А.С. Пушкин — замечательнейший поэт XIX века. Он заложил основы русского реалистического направления и часто рассматривается как основоположник современного русского литературного языка. Сборник произведений писателя украсит любую книжную полку.</t>
  </si>
  <si>
    <t>9785378267767</t>
  </si>
  <si>
    <t>8a40a0cecb4476c671a864b38e07712f</t>
  </si>
  <si>
    <t>072090</t>
  </si>
  <si>
    <t>ШКОЛЬНАЯ БИБЛИОТЕКА. СТИХИ (Н.А. Некрасов) 96с.</t>
  </si>
  <si>
    <t>978-5-378-27827-5</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</si>
  <si>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Новизна и оригинальность произведений Николая Некрасова была оценена не сразу, потребовалось время, чтобы читатель начал понимать «непоэтичную» поэзию и оценил её по достоинству. Стихи Некрасова занимают особое место в школьной программе.</t>
  </si>
  <si>
    <t>9785378278275</t>
  </si>
  <si>
    <t>052395</t>
  </si>
  <si>
    <t>ШКОЛЬНАЯ БИБЛИОТЕКА. СТИХИ И ПОЭМЫ (В.В. Маяковский) 128с.</t>
  </si>
  <si>
    <t>978-5-378-26807-8</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</si>
  <si>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Владимир Маяковский является одним из лучших поэтов XX века. Творчество писателя весьма экспрессивно, энергично, оригинально, несомненно оно заслуживает внимания каждого.</t>
  </si>
  <si>
    <t>9785378268078</t>
  </si>
  <si>
    <t>69d4c73b8e3c1aefbc8fd484046f2826</t>
  </si>
  <si>
    <t>052396</t>
  </si>
  <si>
    <t>ШКОЛЬНАЯ БИБЛИОТЕКА. СТИХИ И РАССКАЗЫ О ВОВ 112с.</t>
  </si>
  <si>
    <t>978-5-378-26786-6</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</si>
  <si>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Каждый россиянин должен с детства знать историю своей страны. На страницах этого сборника вы найдёте лучшие произведения о ВОВ таких замечательных писателей, как Анна Ахматова, Анатолий Митяев, Константин Симонов и др.</t>
  </si>
  <si>
    <t>9785378267866</t>
  </si>
  <si>
    <t>Ахматова Анна, Митяев Анатолий Васильевич, Симонов Константин и др.</t>
  </si>
  <si>
    <t>919311ea39f431af41bca000e6542055</t>
  </si>
  <si>
    <t>052398</t>
  </si>
  <si>
    <t>ШКОЛЬНАЯ БИБЛИОТЕКА. ТИМУР И ЕГО КОМАНДА (А.П. Гайдар) 128с.</t>
  </si>
  <si>
    <t>978-5-378-26784-2</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</si>
  <si>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А.П. Гайдар — талантливейший детский писатель, который живёт в сердцах множества поколений ребят. Его произведения наполнены искренними светлыми эмоциями, рассказывают о настоящих детских переживаниях, радостях и печалях.</t>
  </si>
  <si>
    <t>9785378267842</t>
  </si>
  <si>
    <t>Гайдар Аркадий Петрович</t>
  </si>
  <si>
    <t>6ea3d2a2043fd7b6980dcd56dc81d2df</t>
  </si>
  <si>
    <t>12.09.2017 0:00:00</t>
  </si>
  <si>
    <t>159095</t>
  </si>
  <si>
    <t>ШКОЛЬНАЯ БИБЛИОТЕКА. ТРИ ТОЛСТЯКА (Ю.Олеша) 176с.</t>
  </si>
  <si>
    <t>978-5-378-31514-7</t>
  </si>
  <si>
    <t>«Школьная библиотека» — серия книг, собравшая интереснейшие произведения школьной программы. Она познакомит ребёнка с шедеврами мировой литературы, подарит путешествие в удивительные миры и станет отличным пополнением в домашней библиотеке. Каждая книга в серии — познавательная и увлекательная. «Три толстяка» Ю. Олеши — это детская книга, которая рассказывает простым языком о важных вещах. Она насыщенна захватывающими приключениями, интригующими тайнами, трогательными историями и трудными препятствиями. Именно с ними предстоит справиться смелым и отважным героям — канатоходцу Тибулу, доктору Гаспару Арнери, замечательной девочке Суок и наследнику Тутти. Книга повествует о том, что добро всегда побеждает зло и что чудеса поджидают нас на каждом шагу!</t>
  </si>
  <si>
    <t>9785378315147</t>
  </si>
  <si>
    <t>c74e01e409744898c66ebd3be654d5e4</t>
  </si>
  <si>
    <t>229491</t>
  </si>
  <si>
    <t>ШКОЛЬНАЯ БИБЛИОТЕКА. ФИЛИПОК И ДРУГИЕ РАССКАЗЫ (Л. Толстой) 96с.</t>
  </si>
  <si>
    <t>978-5-378-34771-1</t>
  </si>
  <si>
    <t xml:space="preserve">Серия книг «Школьная библиотека» откроет для каждого ребёнка удивительный мир отечественной и зарубежной литературы. Эта коллекция — истинная находка для каждого ученика и ценное дополнение домашней библиотеки.
В этом сборнике представлены избранные рассказы Льва Николаевича Толстого для детей: Филипок, Липунюшка, Косточка и многие другие. </t>
  </si>
  <si>
    <t>9785378347711</t>
  </si>
  <si>
    <t>Толстой Лев Никовалевич</t>
  </si>
  <si>
    <t>0db2691ee7dbfb0cc0c9b4b05b642729</t>
  </si>
  <si>
    <t>161328</t>
  </si>
  <si>
    <t>ШКОЛЬНАЯ БИБЛИОТЕКА. ЧУДЕСНОЕ ПУТЕШЕСТВИЕ НИЛЬСА С ДИКИМИ ГУСЯМИ (С.Лагерлёф) 224с.</t>
  </si>
  <si>
    <t>978-5-378-31666-3</t>
  </si>
  <si>
    <t>Все замечательные произведения отечественной и мировой литературы собраны в серии книг «Школьная библиотека». Эта коллекция — настоящая находка для любого школьника. Каждая книга — интересная, познавательная и увлекательная. «Чудесное приключение Нильса с дикими гусями» шведской писательницы Сельмы Лагерлёф — удивительная и захватывающая история о проказнике Нильсе. За свои проделки Нильс превратился в крошечного человечка. И с этого началось его чудесное приключение. Мальчику предстоит узнать, каково это — быть маленьким и нуждаться в заботе. На протяжении книги мы видим, как он становится мудрее и добрее, проходя все непростые испытания. А помогают Нильсу его новые друзья — дикие гуси.</t>
  </si>
  <si>
    <t>9785378316663</t>
  </si>
  <si>
    <t>Лагерлёф Сельма</t>
  </si>
  <si>
    <t>f5db96995326d98a79691484925c1771</t>
  </si>
  <si>
    <t>052399</t>
  </si>
  <si>
    <t>ШКОЛЬНАЯ БИБЛИОТЕКА. ЧУК И ГЕК (А.П. Гайдар) 128с</t>
  </si>
  <si>
    <t>978-5-378-26757-6</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</si>
  <si>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Произведение А.П. Гайдара «Чук и Гек» и другие рассказы наполнены светлым положительным настроем. Писатель вложил в них свои личные потрясающие и добрые воспоминания о детстве.</t>
  </si>
  <si>
    <t>9785378267576</t>
  </si>
  <si>
    <t>ЭНЦИКЛОПЕДИИ И АТЛАСЫ</t>
  </si>
  <si>
    <t>238441</t>
  </si>
  <si>
    <t>ЭНЦИКЛОПЕДИЯ ДЛЯ ДЕВОЧЕК 140х203 глянц.ламин, офсет 55 гр</t>
  </si>
  <si>
    <t>978-5-378-34914-2</t>
  </si>
  <si>
    <t>У тебя в руках замечательная книга, с которой не придётся скучать! В ней ты найдёшь ответы на интересующие тебя вопросы о моде и стиле, секреты красоты, лёгкие и быстрые рецепты блюд, тесты и многое другое! Скорее открывай энциклопедию, ведь в ней тебя ждёт увлекательный мир знаний.</t>
  </si>
  <si>
    <t>9785378349142</t>
  </si>
  <si>
    <t>970bdc6c4a0e2029c595de286fee479a</t>
  </si>
  <si>
    <t>258280</t>
  </si>
  <si>
    <t>ЭНЦИКЛОПЕДИЯ ДЛЯ МАЛЬЧИКОВ 145х203 глянц.ламин, тиснение, офсет 55 гр</t>
  </si>
  <si>
    <t>978-5-378-35651-5</t>
  </si>
  <si>
    <t>У тебя в руках замечательная книга, с которой не придётся скучать! В ней ты найдёшь ответы на интересующие тебя вопросы о спорте, полезных привычках, секретах общения и многое другое! Скорее открывай энциклопедию — в ней тебя ждёт увлекательный мир знаний.</t>
  </si>
  <si>
    <t>9785378356515</t>
  </si>
  <si>
    <t>Чиркова Вероника</t>
  </si>
  <si>
    <t>0d3a9ab325f5fabbd5ae2e3f174f8cbf</t>
  </si>
  <si>
    <t>СЕРИЯ: 365 ФАКТОВ. ЭНЦИКЛОПЕДИЯ НА КАЖДЫЙ ДЕНЬ глянц.ламин.офсет 215х288</t>
  </si>
  <si>
    <t>265806</t>
  </si>
  <si>
    <t>Энциклопедия на каждый день. 365 фактов о Великой Отечественной войне. глянц. ламин 215х288</t>
  </si>
  <si>
    <t>978-5-378-35697-3</t>
  </si>
  <si>
    <t>Для чего в Ленинград после снятия блокады привезли кошек? Сколько новых орденов было учреждено во время Великой Отечественной? Почему Парад Победы принимал Г. К. Жуков? Из новой детской энциклопедии вы узнаете об этих и других интересных фактах. А всего их 365, как дней в году, но мы уверены, что вы прочитаете книгу за один. Пополняйте свой багаж знаний и делитесь с друзьями и близкими открытиями!</t>
  </si>
  <si>
    <t>9785378356973</t>
  </si>
  <si>
    <t>Гладкая Елена</t>
  </si>
  <si>
    <t>3afd1357b9f99ca86669c7de5575f701</t>
  </si>
  <si>
    <t>215х288х8</t>
  </si>
  <si>
    <t>193250</t>
  </si>
  <si>
    <t>Энциклопедия на каждый день. 365 фактов о динозаврах. глянц. ламин 215х288</t>
  </si>
  <si>
    <t>978-5-378-34009-5</t>
  </si>
  <si>
    <t>Какие виды динозавров существовали на нашей планете? Как они жили и чем питались? Кто из их потомков сейчас дышит с нами одним воздухом? Об этом и многом другом вы узнаете в энциклопедии «365 фактов о динозавров». Книга с художественными иллюстрациями расскажет об этих удивительных существах, любопытных теориях ученых и приоткроет тайны, скрытые миллионами лет до нашей эры.</t>
  </si>
  <si>
    <t>9785378340095</t>
  </si>
  <si>
    <t>Сергеева Ольга Игоревна</t>
  </si>
  <si>
    <t>186501</t>
  </si>
  <si>
    <t>Энциклопедия на каждый день. 365 фактов о животных. глянц. ламин 215х288</t>
  </si>
  <si>
    <t>978-5-378-33742-2</t>
  </si>
  <si>
    <t>Сколько воды за раз может выпить верблюд? Чем отличаются пятна ягуара, гепарда и леопарда? В какое время года оса наиболее агрессивна? Из новой детской энциклопедии вы узнаете об этих и других интересных фактах о животных нашей планеты. А всего их 365, как дней в году, но мы уверены, что вы прочитаете книгу всего за один. Пополняйте свой багаж знаний и делитесь с друзьями и близкими открытиями: многие из них удивят не только детей, но и взрослых!</t>
  </si>
  <si>
    <t>9785378337422</t>
  </si>
  <si>
    <t>201327</t>
  </si>
  <si>
    <t>Энциклопедия на каждый день. 365 фактов о космосе. глянц. ламин 215х288</t>
  </si>
  <si>
    <t>978-5-378-34196-2</t>
  </si>
  <si>
    <t>Какая гора самая высокая в Солнечной системе? Как сменяются времена года на Уране? Какой космический аппарат дальше всех улетел от Земли? Из новой детской энциклопедии вы узнаете об этих и других интересных фактах о космосе. А всего их 365, как дней в году, но мы уверены, что вы прочитаете книгу всего за один. Пополняйте свой багаж знаний и делитесь с друзьями и близкими открытиями: многие из них удивят не только детей, но и взрослых!</t>
  </si>
  <si>
    <t>9785378341962</t>
  </si>
  <si>
    <t>221870</t>
  </si>
  <si>
    <t>Энциклопедия на каждый день. 365 фактов о насекомых и пауках. глянц. ламин 215х288</t>
  </si>
  <si>
    <t>978-5-378-34596-0</t>
  </si>
  <si>
    <t>Знаете ли вы, что за злодеяния долгоносику поставили памятник? Кто из насекомых притворяется совсем не тем, кем является? Какими были доисторические cтрекозы? Об этом и многом другом можно узнать из нашей энциклопедии. Достаточно читать по одному интересному факту каждый день, и такие знакомые пауки и насекомые откроются с новых сторон!</t>
  </si>
  <si>
    <t>9785378345960</t>
  </si>
  <si>
    <t>под ред. М. Сапоговской</t>
  </si>
  <si>
    <t>a4d44b539e491c62c15e1a401e1abde7</t>
  </si>
  <si>
    <t>281727</t>
  </si>
  <si>
    <t>Энциклопедия на каждый день. 365 фактов о теле человека. глянц. ламин 215х288</t>
  </si>
  <si>
    <t>978-5-378-36206-6</t>
  </si>
  <si>
    <t>Какие мышцы в теле человека самые быстрые? Что общего между
бананом и человеком? Что скрывается под инфантильной амнезией?
Из новой детской энциклопедии вы узнаете об этих и других интересных фактах. А всего их 365, как дней в году, но мы уверены, что вы прочитаете книгу за один. Пополняйте свой багаж знаний и делитесь с друзьями и близкими открытиями!</t>
  </si>
  <si>
    <t>9785378362066</t>
  </si>
  <si>
    <t>Лунёв-Коробский Олег</t>
  </si>
  <si>
    <t>216х280х9</t>
  </si>
  <si>
    <t>178601</t>
  </si>
  <si>
    <t>Энциклопедия на каждый день. 365 фактов обо всём на свете. глянц. ламин 215х288</t>
  </si>
  <si>
    <t>978-5-378-33056-0</t>
  </si>
  <si>
    <t>На каком континенте нет ни одной пустыни? Почему чайки могут пить солёную воду? Кто считает апельсин символом счастливой любви? Из новой детской энциклопедии вы узнаете об этих и других интересных фактах. А всего их 365, как дней в году, но мы уверены, что вы прочитаете книгу всего за один. Пополняйте свой багаж знаний и делитесь с друзьями и близкими открытиями: многие из них удивят не только детей, но и взрослых!</t>
  </si>
  <si>
    <t>9785378330560</t>
  </si>
  <si>
    <t>СЕРИЯ: Super ЭНЦИКЛОПЕДИЯ ДЛЯ ДЕВОЧЕК глянц.ламин, КБС,165х195</t>
  </si>
  <si>
    <t>241731</t>
  </si>
  <si>
    <t>Super ЭНЦИКЛОПЕДИЯ ДЛЯ ДЕВОЧЕК. Дружба и общение</t>
  </si>
  <si>
    <t>978-5-378-35199-2</t>
  </si>
  <si>
    <t>Под обложкой этой книги скрывается много советов, которые помогут тебе в общении с другими людьми. Ты научишься находить общий язык со сверстниками, легко справляться с конфликтными ситуациями и буллингом.  Эта книга подскажет тебе, как вести себя в общественных местах, а также как устроить самую классную вечеринку с друзьями!</t>
  </si>
  <si>
    <t>9785378351992</t>
  </si>
  <si>
    <t>d1cf055eaea48fff660224319ea6bfd4</t>
  </si>
  <si>
    <t>165х195х4</t>
  </si>
  <si>
    <t>241728</t>
  </si>
  <si>
    <t>Super ЭНЦИКЛОПЕДИЯ ДЛЯ ДЕВОЧЕК. Красота и уход за собой</t>
  </si>
  <si>
    <t>978-5-378-35200-5</t>
  </si>
  <si>
    <t>Эта книга откроет для тебя самые полезные советы по уходу за собой и научит быть самой красивой! Ты узнаешь, как ухаживать за кожей лица и тела, какие упражнения выполнять, чтобы всегда быть в форме, как правильно краситься, укладывать волосы и какие средства могут помочь тебе в этом.  Также в энциклопедии ты найдёшь увлекательные тесты и ответы на все волнующие тебя вопросы о красоте!</t>
  </si>
  <si>
    <t>9785378352005</t>
  </si>
  <si>
    <t>f94b930d969d0103dfe828a5e0b3de4d</t>
  </si>
  <si>
    <t>241729</t>
  </si>
  <si>
    <t>Super ЭНЦИКЛОПЕДИЯ ДЛЯ ДЕВОЧЕК. Мода и стиль</t>
  </si>
  <si>
    <t>978-5-378-35197-8</t>
  </si>
  <si>
    <t>Эта энциклопедия представляет собой ценный источник модных советов! Ты сможешь узнать, из чего собирается базовый гардероб, как найти свой собственный стиль и подобрать аксессуары в соответствии с особенностями своей внешности. Также с помощью этой книги ты сможешь разобраться в моде ХХ - ХХI веков и составить образ на любой случай жизни!</t>
  </si>
  <si>
    <t>9785378351978</t>
  </si>
  <si>
    <t>d5d752f7b7889ff3fd4c7ee097b092fe</t>
  </si>
  <si>
    <t>241730</t>
  </si>
  <si>
    <t>Super ЭНЦИКЛОПЕДИЯ ДЛЯ ДЕВОЧЕК. Хобби и развлечения</t>
  </si>
  <si>
    <t>978-5-378-35198-5</t>
  </si>
  <si>
    <t>Из этой книги ты узнаешь всё, что нужно знать современной девочке: как найти хобби по душе, как вести собственный видеоблог,  что можно приготовить быстро и вкусно, как выбрать питомца и многое другое! Энциклопедия поможет разобраться в таинственной силе гороскопов и гаданий, а также ты сможешь пройти увлекательные тесты, которые помогут лучше узнать самого себя.</t>
  </si>
  <si>
    <t>9785378351985</t>
  </si>
  <si>
    <t>da72a4c8cabc8403c53030cf9e26b3a3</t>
  </si>
  <si>
    <t>СЕРИЯ: АТЛАСЫ</t>
  </si>
  <si>
    <t>СЕРИЯ: АТЛАС с наклейками 195х276</t>
  </si>
  <si>
    <t>193098</t>
  </si>
  <si>
    <t>Активити-атлас. Вокруг света</t>
  </si>
  <si>
    <t>978-5-378-34006-4</t>
  </si>
  <si>
    <t xml:space="preserve">Благодаря этому атласу ты не только узнаешь много нового о самых отдаленных местах нашей планеты, но и весело проведешь время, выполняя интересные задания! Помоги путешественнику добраться до древнего храма, найди 4 отличия между двумя зебрами, расшифруй древнее послание и проверь  свою внимательность в викторине. А всеми любимые наклейки точно не оставят тебя равнодушным. Вперед к приключениям! </t>
  </si>
  <si>
    <t>9785378340064</t>
  </si>
  <si>
    <t>193076</t>
  </si>
  <si>
    <t>Атлас динозавров</t>
  </si>
  <si>
    <t>978-5-378-33997-6</t>
  </si>
  <si>
    <t xml:space="preserve">Атласы с наклейками – для любознательных и пытливых детей! В серию вошли четыре книжки по 32 страницы: «Атлас насекомых», «Атлас динозавров», «Атлас. Тело человека», «Атлас мира». Темы представлены основной информацией и фактами емко, но по существу – все, что нужно для погружения в материал дошколятам и ученикам начальных классов. А чтобы осваивать новые знания было нескучно, в каждой брошюре – по 70 наклеек. В атласах мира, насекомых и тела человека их нужно наклеить в определенных местах книг, а из атласа динозавров героев можно использовать для украшения тетрадки или блокнота.  </t>
  </si>
  <si>
    <t>9785378339976</t>
  </si>
  <si>
    <t>193073</t>
  </si>
  <si>
    <t xml:space="preserve">Атлас мира. Материки и континенты  </t>
  </si>
  <si>
    <t>978-5-378-33996-9</t>
  </si>
  <si>
    <t>9785378339969</t>
  </si>
  <si>
    <t>193097</t>
  </si>
  <si>
    <t>Атлас мира. Флаги и страны</t>
  </si>
  <si>
    <t>978-5-378-34005-7</t>
  </si>
  <si>
    <t>Пришла пора пополнять свои географические знания! Побывать на всех континентах, познакомиться с разными странами, их столицами и особенностями, запомнить, как выглядят их государственные флаги, и узнать о самых известных достопримечательностях - всё это можно сделать, не выходя из дома! Атлас "Флаги и страны" поможет тебе в этом!</t>
  </si>
  <si>
    <t>9785378340057</t>
  </si>
  <si>
    <t>193078</t>
  </si>
  <si>
    <t xml:space="preserve">Атлас насекомых </t>
  </si>
  <si>
    <t>978-5-378-33998-3</t>
  </si>
  <si>
    <t>9785378339983</t>
  </si>
  <si>
    <t>193099</t>
  </si>
  <si>
    <t>Атлас. Моя планета</t>
  </si>
  <si>
    <t>978-5-378-34007-1</t>
  </si>
  <si>
    <t>Отправляемся в удивительное приключение по нашей планете! С помощью атласа "Моя планета" тебе предстоит познакомиться с материками, странами и мировыми достопримечательностями. Ты узнаешь, когда был изобретён глобус, сколько длится день на венере, какие животные обитают в Евразии, что является символом Китая и много другое. А в конце нашего путешествия тебя ждёт увлекательная викторина! Вперёд, к новым знаниям!</t>
  </si>
  <si>
    <t>9785378340071</t>
  </si>
  <si>
    <t>193081</t>
  </si>
  <si>
    <t>Атлас. Тело человека</t>
  </si>
  <si>
    <t>978-5-378-33999-0</t>
  </si>
  <si>
    <t>9785378339990</t>
  </si>
  <si>
    <t>193096</t>
  </si>
  <si>
    <t>Географический атлас мира</t>
  </si>
  <si>
    <t>978-5-378-34004-0</t>
  </si>
  <si>
    <t>Пришла пора отправиться в кругосветное путешествие! Побывать на всех континентах, познакомиться с разными странами, узнать о самых известных мировых достопримечательностях, окунуться в разнообразие животного мира, национальных традиций и кулинарии - всё это можно сделать, не выходя из дома! Географический атлас с наклейками поможет тебе в этом!</t>
  </si>
  <si>
    <t>9785378340040</t>
  </si>
  <si>
    <t>СЕРИЯ: БОЛЬШАЯ ЭНЦИКЛОПЕДИЯ  глянц.ламин, тиснение, офсет 217х280</t>
  </si>
  <si>
    <t>192309</t>
  </si>
  <si>
    <t>БОЛЬШАЯ ЭНЦИКЛОПЕДИЯ ДЛЯ ДЕВОЧЕК 128стр</t>
  </si>
  <si>
    <t>978-5-378-33975-4</t>
  </si>
  <si>
    <t>Чем старше ты становишься, тем больше тебе нужно знать и уметь. В голове возникает множество вопросов, ответы на которые нужны незамедлительно.
Как вести здоровый образ жизни? Что такое правильное питание? Какой стиль в одежде выбрать? Как совмещать учёбу и хобби? Обо всём этом, а также многом другом, ты узнаешь из книги, написанной специально для тебя. На красивых удобных страницах ты найдёшь огромное количество полезных советов и интересных фактов на интересующие тебя темы. Вся собранная в энциклопедии информация написана простым доверительным языком, поэтому с каждой прочитанной главой тебе всё больше будет казаться, что ты разговариваешь со своей самой близкой подругой. Скорее открывай книгу, чтобы узнать секрет успеха современной девчонки!</t>
  </si>
  <si>
    <t>9785378339754</t>
  </si>
  <si>
    <t>Балуева Оксана Борисовна,Ленарская Александра Борисовна,Пинчук Елена Ивановна</t>
  </si>
  <si>
    <t>217х282х13</t>
  </si>
  <si>
    <t>102973</t>
  </si>
  <si>
    <t>БОЛЬШАЯ ЭНЦИКЛОПЕДИЯ ДЛЯ ДЕВОЧЕК мат.ламин. уф-лак</t>
  </si>
  <si>
    <t>978-5-378-29028-4</t>
  </si>
  <si>
    <t>Эта энциклопедия поможет тебе узнать много нового: как вести свой блог, как устроить вечеринку, чем заняться в свободное время, как ухаживать за кожей лица и тела, какие упражнения выполнять, чтобы держать себя в форме, и что есть, чтобы держать себя в форме, и что есть, чтобы чувствовать себя здоровой. А также ты раскроешь множество секретов, благодаря которым ты сможешь разобраться в непростых отношениях с твоими родными, друзьями и мальчиком, который тебе нравится. Кроме того, под обложкой ты найдёшь множество увлекательных тестов и ответов на волнующие тебя вопросы о красоте и моде.</t>
  </si>
  <si>
    <t>9785378290284</t>
  </si>
  <si>
    <t>96b7ab6885740816b923b57aea0b1613</t>
  </si>
  <si>
    <t>205х255х18</t>
  </si>
  <si>
    <t>192310</t>
  </si>
  <si>
    <t>БОЛЬШАЯ ЭНЦИКЛОПЕДИЯ ДЛЯ МАЛЬЧИКОВ 128стр</t>
  </si>
  <si>
    <t>978-5-378-33976-1</t>
  </si>
  <si>
    <t>Хочешь раскрыть все тайны Вселенной? Увидеть настоящих динозавров и узнать удивительные факты из истории транспорта? Тогда открывай поскорее эту большую энциклопедию! На её страницах ты найдёшь много интересной и полезной информации о нашей планете и о появлении жизни на ней; о явлениях природы, великих изобретениях, достопримечательностях мира, а также о теле  человека. Яркие красивые иллюстрации и фотографии сделают твоё путешествие в мир знаний ещё более увлекательным и познавательным!</t>
  </si>
  <si>
    <t>9785378339761</t>
  </si>
  <si>
    <t>192311</t>
  </si>
  <si>
    <t>БОЛЬШАЯ ЭНЦИКЛОПЕДИЯ ОБО ВСЁМ ДЛЯ ДЕТЕЙ 176стр</t>
  </si>
  <si>
    <t>978-5-378-33977-8</t>
  </si>
  <si>
    <t>Сколько всего интересного и важного нужно узнать ребёнку! О чём же рассказать ему в первую очередь? Обо всём! И сделает это большая энциклопедия с красивыми яркими фотографиями и иллюстрациями. На страницах книги юный читатель познакомится с редкими видами животных и птиц; узнает, как выглядели динозавры, найдёт ответы на вопросы о загадочной Вселенной и многом другом. Современное оформление страниц и доступная интересная подача информации сделают энциклопедию любимой книгой маленького почемучки. Скорее к новым знаниям и открытиям!</t>
  </si>
  <si>
    <t>9785378339778</t>
  </si>
  <si>
    <t>217х282х15</t>
  </si>
  <si>
    <t xml:space="preserve">СЕРИЯ: ДЕТСКАЯ ЭНЦИКЛОПЕДИЯ В КАРТИНКАХ  </t>
  </si>
  <si>
    <t>171694</t>
  </si>
  <si>
    <t>ДЕТСКАЯ ЭНЦИКЛОПЕДИЯ О БОЛЕЗНЯХ. STORY ПРО ХВОРИ глянц.ламин. 215х290</t>
  </si>
  <si>
    <t>978-5-378-32264-0</t>
  </si>
  <si>
    <t>Кто заразил броненосцев проказой, сколько стоит самое дорогое лекарство в мире, какие челленджи "выстрелили" на самоизоляции в первую волну коронавируса - об этих и других интересных фактах вы узнаете из нашей мини-энциклопедии о болезнях. Важно! В книге "Story про хвори" нет инструкций по лечению, рекомендаций врачей или народных рецептов. Напротив, мы напоминаем: при появлении тревожных симптомов сразу обращайтесь в больницу - доверяйте только специалистам. И будьте здоровы!</t>
  </si>
  <si>
    <t>9785378322640</t>
  </si>
  <si>
    <t>91bd8f5db9198f95eadb6f8191bb6747</t>
  </si>
  <si>
    <t>268545</t>
  </si>
  <si>
    <t>КОШКИ. Большие секреты маленьких хищников КБС 192х260</t>
  </si>
  <si>
    <t>978-5-378-35945-5</t>
  </si>
  <si>
    <t xml:space="preserve">Почему кошки такие гибкие? Для чего им усы и хвост? Можно ли определить их возраст в человеческом измерении? Об этих и других интересных фактах вы узнаете из нашей энциклопедии, посвящённой пушистым хищникам. Книга подготовлена с привлечением
экспертов-фелинологов и врачей ветеринарных клиник. </t>
  </si>
  <si>
    <t>9785378359455</t>
  </si>
  <si>
    <t>edb9606ccb2ba574b0e22fee8b92da59</t>
  </si>
  <si>
    <t>192х260х5</t>
  </si>
  <si>
    <t>267389</t>
  </si>
  <si>
    <t>КОШКИ. БОЛЬШИЕ СЕКРЕТЫ МАЛЕНЬКИХ ХИЩНИКОВ мат.ламин.обл,   203х297</t>
  </si>
  <si>
    <t>978-5-378-35931-8</t>
  </si>
  <si>
    <t xml:space="preserve">Почему кошки такие гибкие? Для чего им усы и хвост? Можно ли определить их возраст в человеческом измерении? Об этих и других интересных фактах вы узнаете из нашей энциклопедии, посвящённой пушистым хищникам. Книга подготовлена с привлечением экспертов-фелинологов и врачей ветеринарных клиник. </t>
  </si>
  <si>
    <t>9785378359318</t>
  </si>
  <si>
    <t>2d1b0429d8054539f630f8f2038798b4</t>
  </si>
  <si>
    <t>203х297х8</t>
  </si>
  <si>
    <t>124072</t>
  </si>
  <si>
    <t>ПОЧЕМУ КОСМОС ЧЁРНЫЙ? глянц.ламин.обл, тиснение, мелов. бум.  215х290</t>
  </si>
  <si>
    <t>978-5-378-29842-6</t>
  </si>
  <si>
    <t>Куда исчезают звёзды после падения? На какой планете самая высокая температура? Зачем комете такой длинный хвост? В книге "Почему космос чёрный?" ты найдёшь ответы на многие необычные вопросы. Познавательные факты и яркие запоминающиеся иллюстрации пробудят интерес ребёнка к данной теме.</t>
  </si>
  <si>
    <t>9785378298426</t>
  </si>
  <si>
    <t>Аверкиев Василий Алексеевич</t>
  </si>
  <si>
    <t>215х290х7</t>
  </si>
  <si>
    <t>СЕРИЯ: ЛУЧШАЯ ДЕТСКАЯ ЭНЦИКЛОПЕДИЯ новая 96стр. КБС, глянц.ламин. офсет 197х250</t>
  </si>
  <si>
    <t>228350</t>
  </si>
  <si>
    <t>ЛУЧШАЯ ДЕТСКАЯ ЭНЦИКЛОПЕДИЯ новая 96стр. ЖИВОТНЫЙ МИР ОТ А ДО Я</t>
  </si>
  <si>
    <t>978-5-378-34645-5</t>
  </si>
  <si>
    <t>Каких только животных нет на Земле! Различные млекопитающие, птицы, рыбы, земноводные и пресмыкающиеся, насекомые и паукообразные населяют нашу огромную планету. Предлагаем вашему вниманию увлекательный рассказ о самых разных представителях животного царства. А чтобы вы быстрее нашли интересующее вас животное, все они расположены в книге по алфавиту.</t>
  </si>
  <si>
    <t>9785378346455</t>
  </si>
  <si>
    <t>Соколова Людмила Владимировна</t>
  </si>
  <si>
    <t>197х250х5</t>
  </si>
  <si>
    <t>228351</t>
  </si>
  <si>
    <t>ЛУЧШАЯ ДЕТСКАЯ ЭНЦИКЛОПЕДИЯ новая 96стр. ЭНЦИКЛОПЕДИЯ ДЛЯ МАЛЬЧИКОВ</t>
  </si>
  <si>
    <t>978-5-378-34655-4</t>
  </si>
  <si>
    <t>Компьютеры и смартфоны, хобби и спорт, правила этикета и история оружия – это и многое другое, чем интересуются современные мальчишки, ждёт вас на страницах данной энциклопедии.</t>
  </si>
  <si>
    <t>9785378346554</t>
  </si>
  <si>
    <t>СЕРИЯ: ПЕРВАЯ ДЕТСКАЯ ЭНЦИКЛОПЕДИЯ  48стр. мат.ламин, выб.лак, офсет 170гр 217х280</t>
  </si>
  <si>
    <t>165019</t>
  </si>
  <si>
    <t>ПЕРВАЯ ДЕТСКАЯ ЭНЦИКЛОПЕДИЯ. ВСЁ О ДИНОЗАВРАХ МАЛЫШАМ</t>
  </si>
  <si>
    <t>978-5-378-31905-3</t>
  </si>
  <si>
    <t>Перед вами книга о самых загадочных существах, живших на нашей планете — о динозаврах. Раскрыв её, малыш познакомится с травоядными и плотоядными ящерами, узнает о происхождении их имён, об их повадках и местах обитания. А ещё энциклопедия ответит на множество вопросов, которые волнуют каждого ребёнка: почему вымерли динозавры, каких они были размеров, на кого из современных животных были похожи и что они делали на земле много миллионов лет назад?</t>
  </si>
  <si>
    <t>9785378319053</t>
  </si>
  <si>
    <t>под ред. А. Булавинцевой</t>
  </si>
  <si>
    <t>3f5b844c325ce691f866aa2f568ef96a</t>
  </si>
  <si>
    <t>217х280х7</t>
  </si>
  <si>
    <t>165022</t>
  </si>
  <si>
    <t>ПЕРВАЯ ДЕТСКАЯ ЭНЦИКЛОПЕДИЯ. ВСЁ О ДОМАШНИХ ПИТОМЦАХ МАЛЫШАМ</t>
  </si>
  <si>
    <t>978-5-378-31862-9</t>
  </si>
  <si>
    <t>Перед вами яркая, увлекательная, познавательная книга. Раскрыв её, малыш познакомится с различными видами домашних питомцев, узнает, как правильно за ними ухаживать, чтобы сделать их жизнь максимально комфортной и безопасной. Энциклопедия ответит на множество вопросов, волнующих каждого ребёнка: зачем кошки трутся о ноги хозяина, каким видят наш мир собаки, в чём секрет языка хамелеона, для чего игуанам такие длинные когти, почему слизь улитки лечебная и многие другие.</t>
  </si>
  <si>
    <t>9785378318629</t>
  </si>
  <si>
    <t>под ред. А. Лобко</t>
  </si>
  <si>
    <t>0341dbbb6710460baaecda69d3c3aabf</t>
  </si>
  <si>
    <t>165015</t>
  </si>
  <si>
    <t>ПЕРВАЯ ДЕТСКАЯ ЭНЦИКЛОПЕДИЯ. ВСЁ О ЖИВОТНЫХ ФЕРМЫ МАЛЫШАМ</t>
  </si>
  <si>
    <t>978-5-378-31898-8</t>
  </si>
  <si>
    <t>Перед вами познавательная и увлекательная книга. С её помощью малыш откроет для себя интереснейший мир животных. Энциклопедия познакомит ребёнка с самыми разными обитателями фермы - с курицей, коровой, пчёлами и даже с домашним северным оленем. Книга расскажет, как отличить домашнего кролика от зайца и почему уточкам всегда нужно находиться у воды. Здесь найдутся ответы на множество вопросов маленького читателя: почему курицы не летают, как животные общаются между собой, зачем кошки вылизывают шерсть и многие другие.</t>
  </si>
  <si>
    <t>9785378318988</t>
  </si>
  <si>
    <t>под ред. М. Ершовой</t>
  </si>
  <si>
    <t>e0a738c847edc6b3768d56d71f875457</t>
  </si>
  <si>
    <t>171763</t>
  </si>
  <si>
    <t>ПЕРВАЯ ДЕТСКАЯ ЭНЦИКЛОПЕДИЯ. ВСЁ О КОСМОСЕ МАЛЫШАМ</t>
  </si>
  <si>
    <t>978-5-378-31863-6</t>
  </si>
  <si>
    <t>Перед вами яркая, увлекательная, познавательная книга. Раскрыв её, малыш познакомится с устройством Солнечной системы, узнает, в чём заключаются особенности планет и различных космических явлений, откроет для себя удивительную профессию космонавта.
А ещё энциклопедия ответит на множество вопросов, волнующих каждого ребёнка: почему происходят солнечные затмения, что такое атмосфера, сколько длятся сутки на Луне, откуда у кометы хвост, как происходит подготовка будущих космонавтов, что такое невесомость, откуда берётся мусор в космосе и многие другие.</t>
  </si>
  <si>
    <t>9785378318636</t>
  </si>
  <si>
    <t>a4830e4881f0573bce1a6bef052ec28f</t>
  </si>
  <si>
    <t>171765</t>
  </si>
  <si>
    <t>ПЕРВАЯ ДЕТСКАЯ ЭНЦИКЛОПЕДИЯ. ВСЁ О КРАСНОЙ КНИГЕ МАЛЫШАМ</t>
  </si>
  <si>
    <t>978-5-378-32199-5</t>
  </si>
  <si>
    <t>Предлагаем любознательным малышам поближе познакомиться с уникальным животным миром России, представители которого занесены в Красную книгу. В яркой энциклопедии собраны самые редкие животные, а также интересные факты и подробности их жизни. Ребёнок найдет в этой познавательной книге ответы на разные вопросы, а красочные фотографии зверей и птиц с описанием помогут ему как можно лучше изучить представителей фауны России, которым грозит опасность исчезновения.</t>
  </si>
  <si>
    <t>9785378321995</t>
  </si>
  <si>
    <t>под ред. Е. Ктиторовой</t>
  </si>
  <si>
    <t>9b8ee733e96428bd4a6f4b5a12f9b094</t>
  </si>
  <si>
    <t>171764</t>
  </si>
  <si>
    <t>ПЕРВАЯ ДЕТСКАЯ ЭНЦИКЛОПЕДИЯ. ВСЁ О НАСЕКОМЫХ МАЛЫШАМ</t>
  </si>
  <si>
    <t>978-5-378-32124-7</t>
  </si>
  <si>
    <t>Приглашаем всех маленьких любителей природы познакомиться с удивительными существами — насекомыми! На страницах яркой познавательной книги малыш встретит не только изображения уже знакомых бабочек и пчёл, но и таких редких представителей мира насекомых, как палочник, богомол и светлячок. Что ест кузнечик, как дышит водяной скорпион, почему клопа называют солдатиком — ответы на все эти вопросы, а также множество интересных фактов ребёнок найдёт в нашей увлекательной энциклопедии!</t>
  </si>
  <si>
    <t>9785378321247</t>
  </si>
  <si>
    <t>28fd84addf84f9e17f709d12d7d17899</t>
  </si>
  <si>
    <t>165017</t>
  </si>
  <si>
    <t>ПЕРВАЯ ДЕТСКАЯ ЭНЦИКЛОПЕДИЯ. ВСЁ О ТЕЛЕ ЧЕЛОВЕКА МАЛЫШАМ</t>
  </si>
  <si>
    <t>978-5-378-31904-6</t>
  </si>
  <si>
    <t>Вы держите в руках энциклопедию, которая в простой и понятной форме расскажет малышу про человеческое тело: как работает иммунитет, что такое гигиена и здоровые привычки, из чего состоит тело человека. Энциклопедия ответит на множество вопросов, волнующих каждого ребёнка: почему важно чистить зубы, почему нельзя пощекотать самого себя, почему появляются синяки, откуда в доме берётся пыль.</t>
  </si>
  <si>
    <t>9785378319046</t>
  </si>
  <si>
    <t>под ред. А. Скворцовой</t>
  </si>
  <si>
    <t>db3b0b5bb72abfdb0371247740771cab</t>
  </si>
  <si>
    <t>СЕРИЯ: ЭНЦИКЛОПЕДИЯ ДЛЯ ДЕВОЧЕК 64стр. глянц.ламин. офсет 100 гр 170х210</t>
  </si>
  <si>
    <t>154798</t>
  </si>
  <si>
    <t>ЭНЦИКЛОПЕДИЯ ДЛЯ ДЕВОЧЕК. СЕКРЕТЫ ДРУЖБЫ И ОБЩЕНИЯ</t>
  </si>
  <si>
    <t>978-5-378-31288-7</t>
  </si>
  <si>
    <t>Эта энциклопедия поделится с тобой секретами отношений с родителями, учителями, друзьями и одноклассниками. Ты научишься находить компромиссы в спорных ситуациях, сможешь легко справиться с любым конфликтом и подружиться со сверстниками. Также ты узнаешь всё об онлайн-общении и о секретах создания успешного блога. Эта книга подскажет тебе, как совместить учёбу, занятия спортом, своё хобби и даже уделить немного времени социальным сетям.</t>
  </si>
  <si>
    <t>9785378312887</t>
  </si>
  <si>
    <t>Балуева Оксана Борисовна,Ктиторова Екатерина Руслановна</t>
  </si>
  <si>
    <t>170x210x7</t>
  </si>
  <si>
    <t>085722</t>
  </si>
  <si>
    <t>ЭНЦИКЛОПЕДИЯ ДЛЯ ДЕВОЧЕК. СЕКРЕТЫ КРАСОТЫ</t>
  </si>
  <si>
    <t>978-5-378-28619-5</t>
  </si>
  <si>
    <t>Эта книга научит тебя быть самой красивой! Ты узнаешь, как ухаживать за своей кожей лица и тела, как делать нюдовый макияж, как укладывать волосы, какие упражнения выполнять,чтобы держать себя в форме, и что есть, чтобы чувствовать себя здоровой. Также в энциклопедии ты найдёшь увлекательные тесты и ответы на все волнующие вопросы о красоте!</t>
  </si>
  <si>
    <t>9785378286195</t>
  </si>
  <si>
    <t>Ленарская Александра Борисовна</t>
  </si>
  <si>
    <t>14.06.2018 0:00:00</t>
  </si>
  <si>
    <t>085724</t>
  </si>
  <si>
    <t>ЭНЦИКЛОПЕДИЯ ДЛЯ ДЕВОЧЕК. СЕКРЕТЫ СОВРЕМЕННОЙ ДЕВЧОНКИ</t>
  </si>
  <si>
    <t>978-5-378-28672-0</t>
  </si>
  <si>
    <t>Из этой книги ты узнаешь всё, что необходимо знать современной девчонке: как вести свой видеоблог, как устроить вечеринку, чем заняться в свободное время, что можно приготовить вкусно и быстро, как выбрать питомца и многое другое!Также в энциклопедии ты найдёшь увлекательные тесты, которые помогут узнать о тебе и твоих друзьях много нового.</t>
  </si>
  <si>
    <t>9785378286720</t>
  </si>
  <si>
    <t>СЕРИЯ: ЭНЦИКЛОПЕДИЯ ДЛЯ ДЕТЕЙ новые 64стр. глянц.ламин. меловка 170 гр 217х280</t>
  </si>
  <si>
    <t>169849</t>
  </si>
  <si>
    <t>ЭНЦИКЛОПЕДИЯ ДЛЯ ДЕТЕЙ новые. АВТОМОБИЛИ</t>
  </si>
  <si>
    <t>978-5-378-32107-0</t>
  </si>
  <si>
    <t>Какими были самые первые автомобили, что такое краштест, как будет выглядеть машина будущего-об этом и многом другом вы узнаете из нашей увлекательной энциклопедии.</t>
  </si>
  <si>
    <t>9785378321070</t>
  </si>
  <si>
    <t>Тяжлова Ольга Игоревна</t>
  </si>
  <si>
    <t>217х280х10</t>
  </si>
  <si>
    <t>169845</t>
  </si>
  <si>
    <t>ЭНЦИКЛОПЕДИЯ ДЛЯ ДЕТЕЙ новые. КОШКИ</t>
  </si>
  <si>
    <t>978-5-378-32104-9</t>
  </si>
  <si>
    <t>Если вы решили завести кошку, но никак не можете определиться с породой, то эта книга для вас. Здесь вы найдёте много интересной информации о кошках, которая, надеемся, поможет сделать правильный выбор.</t>
  </si>
  <si>
    <t>9785378321049</t>
  </si>
  <si>
    <t>169852</t>
  </si>
  <si>
    <t>ЭНЦИКЛОПЕДИЯ ДЛЯ ДЕТЕЙ новые. КРАСНАЯ КНИГА РОССИИ</t>
  </si>
  <si>
    <t>978-5-378-32110-0</t>
  </si>
  <si>
    <t>Из этой энциклопедии вы узнаете о некоторых редких видах млекопитающих, птиц, земноводных, пресмыкающихся и насекомых, которые охраняются государством и занесены в Красную книгу России.</t>
  </si>
  <si>
    <t>9785378321100</t>
  </si>
  <si>
    <t>169853</t>
  </si>
  <si>
    <t>ЭНЦИКЛОПЕДИЯ ДЛЯ ДЕТЕЙ новые. КТО В ДЖУНГЛЯХ ЖИВЁТ?</t>
  </si>
  <si>
    <t>978-5-378-32111-7</t>
  </si>
  <si>
    <t>Джунгли-густые, непроходимые заросли на территории Южной и Юго-Восточной Азии, а ещё это дом для множества животных. Эта книга предлагает вам познакомиться с удивительными жителями тропических лесов.</t>
  </si>
  <si>
    <t>9785378321117</t>
  </si>
  <si>
    <t>Соколова Ярослава Витальевна</t>
  </si>
  <si>
    <t>169859</t>
  </si>
  <si>
    <t>ЭНЦИКЛОПЕДИЯ ДЛЯ ДЕТЕЙ новые. КТО В ЛЕСУ ЖИВЁТ?</t>
  </si>
  <si>
    <t>978-5-378-32117-9</t>
  </si>
  <si>
    <t>Многочисленные леса нашей планеты-родной дом для самых разных животных и птиц. О наиболее распространённых лесных млекопитающих и пернатых расскажет эта энциклопедия.</t>
  </si>
  <si>
    <t>9785378321179</t>
  </si>
  <si>
    <t>169848</t>
  </si>
  <si>
    <t>ЭНЦИКЛОПЕДИЯ ДЛЯ ДЕТЕЙ новые. ЛОШАДИ</t>
  </si>
  <si>
    <t>978-5-378-32106-3</t>
  </si>
  <si>
    <t xml:space="preserve">Лошади - одни из самых удивительных животных на Земле, с древних времён одомашненные человеком. Сегодня в мире существует множество пород этих четвероногих красавцев. О наиболее известных из них, а также о диких лошадях вы узнаете из этой небольшой энциклопедии. </t>
  </si>
  <si>
    <t>9785378321063</t>
  </si>
  <si>
    <t>169858</t>
  </si>
  <si>
    <t>ЭНЦИКЛОПЕДИЯ ДЛЯ ДЕТЕЙ новые. МИРОВЫЕ ДОСТОПРИМЕЧАТЕЛЬНОСТИ</t>
  </si>
  <si>
    <t>978-5-378-32116-2</t>
  </si>
  <si>
    <t>Наша планета полна удивительных, потрясающих своей красотой мест, будь то памятник, созданный природой, или творение рук человека. О некоторых из них вы можете узнать из этой книги.</t>
  </si>
  <si>
    <t>9785378321162</t>
  </si>
  <si>
    <t>169855</t>
  </si>
  <si>
    <t>ЭНЦИКЛОПЕДИЯ ДЛЯ ДЕТЕЙ новые. НАШИ ЛЮБИМЫЕ ПИТОМЦЫ</t>
  </si>
  <si>
    <t>978-5-378-32113-1</t>
  </si>
  <si>
    <t>Кого завести у себя дома: кошку, собаку, попугая, а может, экзотических хамелеона, мадагаскарского таракана или паука-птицееда? О правилах содержания этих и многих других домашних питомцев и об особенностях ухода за ними вы узнаете из нашей книги.</t>
  </si>
  <si>
    <t>9785378321131</t>
  </si>
  <si>
    <t>169854</t>
  </si>
  <si>
    <t>ЭНЦИКЛОПЕДИЯ ДЛЯ ДЕТЕЙ новые. ОБЕЗЬЯНЫ</t>
  </si>
  <si>
    <t>978-5-378-32112-4</t>
  </si>
  <si>
    <t>О различных видах обезьян, их питании, образе жизни и местах обитания вы узнаете из нашей энциклопедии.</t>
  </si>
  <si>
    <t>9785378321124</t>
  </si>
  <si>
    <t>169860</t>
  </si>
  <si>
    <t>ЭНЦИКЛОПЕДИЯ ДЛЯ ДЕТЕЙ новые. ПОЕЗДА</t>
  </si>
  <si>
    <t>978-5-378-32118-6</t>
  </si>
  <si>
    <t>История развития железнодорожного транспорта, интересные и необычные маршруты, мировые рекорды и новинки - обо всём, что касается поездов, мы расскажем вам в этой увлекательной энциклопедии.</t>
  </si>
  <si>
    <t>9785378321186</t>
  </si>
  <si>
    <t>169857</t>
  </si>
  <si>
    <t>ЭНЦИКЛОПЕДИЯ ДЛЯ ДЕТЕЙ новые. РЕКОРДСМЕНЫ ЖИВОТНОГО МИРА</t>
  </si>
  <si>
    <t>978-5-378-32115-5</t>
  </si>
  <si>
    <t>Какое животное на Земле самое большое? А знаете ли вы самого крупного грызуна или птицу, летающую быстрее всех? Об этих и многих других рекордсменах многочисленного царства животных вы узнаете из данной книги.</t>
  </si>
  <si>
    <t>9785378321155</t>
  </si>
  <si>
    <t>169850</t>
  </si>
  <si>
    <t>ЭНЦИКЛОПЕДИЯ ДЛЯ ДЕТЕЙ новые. СОБАКИ</t>
  </si>
  <si>
    <t>978-5-378-32108-7</t>
  </si>
  <si>
    <t>Планируете завести собаку, но не уверены, какая порода подойдёт вам лучше всего? Эта энциклопедия  поможет вам сделать правильный выбор и узнать много интересных и полезных фактов о наших четвероногих любимцах.</t>
  </si>
  <si>
    <t>9785378321087</t>
  </si>
  <si>
    <t>169851</t>
  </si>
  <si>
    <t>ЭНЦИКЛОПЕДИЯ ДЛЯ ДЕТЕЙ новые. ТЕХНИКА ВОВ</t>
  </si>
  <si>
    <t>978-5-378-32109-4</t>
  </si>
  <si>
    <t>Великая Отечественная война - масштабное и трагическое событие, в ходе которого наши предки самоотверженно и героически обороняли свою родную землю. Но этот подвиг был бы невозможен без огромного количества самой разной военной техники: сухопутной, авиационной и морской. О самых известных и грозных машинах вы узнаете из этой книги.</t>
  </si>
  <si>
    <t>9785378321094</t>
  </si>
  <si>
    <t>Визаулин Александр Юрьевич</t>
  </si>
  <si>
    <t>СЕРИЯ: ЭНЦИКЛОПЕДИЯ ДЛЯ МАЛЕНЬКИХ ПОЧЕМУЧЕК глянц.ламин. офсет 145х200</t>
  </si>
  <si>
    <t>214486</t>
  </si>
  <si>
    <t>ЭНЦИКЛОПЕДИЯ ДЛЯ МАЛЕНЬКИХ ПОЧЕМУЧЕК. Динозавры</t>
  </si>
  <si>
    <t>978-5-378-34378-2</t>
  </si>
  <si>
    <t>Перед вами книга о самых загадочных существах, живших на нашей планете — о динозаврах. Раскрыв её, малыш познакомится с травоядными и хищными ящерами, узнает о происхождении их названий, об их повадках и местах обитания. А ещё энциклопедия ответит на множество вопросов, которые волнуют каждого ребёнка: каких размеров были динозавры, на кого из современных животных были похожи и что они делали на земле много миллионов лет назад.</t>
  </si>
  <si>
    <t>9785378343782</t>
  </si>
  <si>
    <t>Скворцова Александра, Свеженец Леонид</t>
  </si>
  <si>
    <t>214488</t>
  </si>
  <si>
    <t>ЭНЦИКЛОПЕДИЯ ДЛЯ МАЛЕНЬКИХ ПОЧЕМУЧЕК. Домашние питомцы</t>
  </si>
  <si>
    <t>978-5-378-34425-3</t>
  </si>
  <si>
    <t>Перед вами яркая, увлекательная, познавательная книга. Раскрыв её, малыш познакомится с различными видами домашних питомцев, узнает, как правильно за ними ухаживать, чтобы сделать их жизнь максимально комфортной и безопасной. Энциклопедия ответит на множество интересных вопросов: каким видят наш мир собаки, в чём секрет языка хамелеона, для чего игуанам такие длинные когти, почему слизь улитки лечебная и многие другие.</t>
  </si>
  <si>
    <t>9785378344253</t>
  </si>
  <si>
    <t>Лобко Анастасия, Свеженец Леонид</t>
  </si>
  <si>
    <t>214483</t>
  </si>
  <si>
    <t>ЭНЦИКЛОПЕДИЯ ДЛЯ МАЛЕНЬКИХ ПОЧЕМУЧЕК. Животные фермы</t>
  </si>
  <si>
    <t>978-5-378-34397-3</t>
  </si>
  <si>
    <t>Перед вами познавательная и увлекательная книга. С её помощью малыш откроет для себя интереснейший мир животных. Энциклопедия познакомит ребёнка с самыми разными обитателями фермы — с курицей, коровой, пчёлами и даже с домашним северным оленем. Книга расскажет, как отличить домашнего кролика от зайца и какими интересными способностями обладают гуси. Здесь найдутся ответы на множество вопросов маленького читателя: почему голуби всегда находят свой дом, как животные общаются между собой, зачем кошки вылизывают шерсть и многие другие.</t>
  </si>
  <si>
    <t>9785378343973</t>
  </si>
  <si>
    <t>214487</t>
  </si>
  <si>
    <t>ЭНЦИКЛОПЕДИЯ ДЛЯ МАЛЕНЬКИХ ПОЧЕМУЧЕК. Космос</t>
  </si>
  <si>
    <t>978-5-378-34374-4</t>
  </si>
  <si>
    <t>Перед вами яркая, увлекательная, познавательная книга. Раскрыв её, малыш познакомится с устройством Солнечной системы, узнает, в чём заключаются особенности планет и различных космических явлений, откроет для себя удивительную профессию космонавта. А ещё энциклопедия ответит на множество вопросов, волнующих каждого ребёнка: почему происходят солнечные затмения, что такое атмосфера, сколько длятся сутки на Луне, откуда у кометы хвост, как происходит подготовка будущих космонавтов, что такое невесомость, откуда берётся мусор в космосе и многие другие.</t>
  </si>
  <si>
    <t>9785378343744</t>
  </si>
  <si>
    <t>214480</t>
  </si>
  <si>
    <t>ЭНЦИКЛОПЕДИЯ ДЛЯ МАЛЕНЬКИХ ПОЧЕМУЧЕК. Красная книга</t>
  </si>
  <si>
    <t>978-5-378-34398-0</t>
  </si>
  <si>
    <t xml:space="preserve">Предлагаем любознательным малышам поближе познакомиться с уникальными видами животных, которые занесены в Красную книгу России.. В яркой энциклопедии собраны самые редкие животные, а также интересные факты и подробности их жизни. Ребёнок найдёт в этой познавательной книге ответы на разные вопросы, а красочные фотографии зверей и птиц с описанием помогут ему как можно лучше изучить представителей фауны России, которым грозит опасность исчезновения. </t>
  </si>
  <si>
    <t>9785378343980</t>
  </si>
  <si>
    <t>214482</t>
  </si>
  <si>
    <t>ЭНЦИКЛОПЕДИЯ ДЛЯ МАЛЕНЬКИХ ПОЧЕМУЧЕК. Насекомые</t>
  </si>
  <si>
    <t>978-5-378-34396-6</t>
  </si>
  <si>
    <t>Приглашаем всех маленьких любителей природы познакомиться с удивительными существами — насекомыми! На страницах яркой познавательной книги малыш встретит не только изображения уже знакомых бабочек и пчёл, но и таких редких представителей мира
насекомых, как палочник, богомол и светлячок. Что ест кузнечик, как дышит водяной скорпион, почему клопа называют солдатиком — ответы на все эти вопросы, а также множество интересных фактов ребёнок найдёт в нашей увлекательной энциклопедии!</t>
  </si>
  <si>
    <t>9785378343966</t>
  </si>
  <si>
    <t>214479</t>
  </si>
  <si>
    <t>ЭНЦИКЛОПЕДИЯ ДЛЯ МАЛЕНЬКИХ ПОЧЕМУЧЕК. Тело человека</t>
  </si>
  <si>
    <t>978-5-378-34426-0</t>
  </si>
  <si>
    <t>Вы держите в руках энциклопедию, которая в простой и понятной форме расскажет малышу про человеческое тело: из чего оно состоит, как работает иммунитет, что такое гигиена и здоровые привычки. Энциклопедия ответит на множество вопросов, волнующих каждого ребёнка: почему важно чистить зубы, почему у всех людей разный цвет глаз, что такое сновидения и почему зубы мудрости есть не у всех.</t>
  </si>
  <si>
    <t>9785378344260</t>
  </si>
  <si>
    <t>214485</t>
  </si>
  <si>
    <t>ЭНЦИКЛОПЕДИЯ ДЛЯ МАЛЕНЬКИХ ПОЧЕМУЧЕК. Транспорт</t>
  </si>
  <si>
    <t>978-5-378-34377-5</t>
  </si>
  <si>
    <t>Перед вами яркая, увлекательная, познавательная книга. Раскрыв её, малыш познакомится с различными видами транспорта, узнает, для чего они используются, как устроены и каким образом помогают людям. А ещё энциклопедия ответит на множество интересных вопросов: почему пожарная машина красного цвета, для чего крутится барабан бетономешалки, как работает комбайн, что делают из зерна и почему нужно платить за проезд в автобусе.</t>
  </si>
  <si>
    <t>9785378343775</t>
  </si>
  <si>
    <t>СЕРИЯ: ЭНЦИКЛОПЕДИЯ ДЛЯ ПОДРОСТКОВ глянц.ламин, интеграл. 145х203</t>
  </si>
  <si>
    <t>246446</t>
  </si>
  <si>
    <t>ЭНЦИКЛОПЕДИЯ ДЛЯ ПОДРОСТКОВ. 100 секретов современной девчонки</t>
  </si>
  <si>
    <t>978-5-378-35420-7</t>
  </si>
  <si>
    <t>Эта энциклопедия — верный спутник в мире красоты, здоровья и самовыражения! В ней юные читательницы найдут полезные советы по уходу за собой, секреты здорового образа жизни и вдохновение для создания уникального стиля. Разделы о хобби помогут открыть новые увлечения, от творчества до спорта. Погружайтесь в увлекательный мир, где каждая девочка найдёт что-то особенное для себя!</t>
  </si>
  <si>
    <t>9785378354207</t>
  </si>
  <si>
    <t>9eece1c38fe04f3d10452d761dde911a</t>
  </si>
  <si>
    <t>143х203х10</t>
  </si>
  <si>
    <t>281683</t>
  </si>
  <si>
    <t>ЭНЦИКЛОПЕДИЯ ДЛЯ ПОДРОСТКОВ. Книга лайфхаков. Упрости свою жизнь</t>
  </si>
  <si>
    <t>978-5-378-36244-8</t>
  </si>
  <si>
    <t>Думаешь, что подростковая жизнь - это бесконечный стресс, дедлайны по домашке, нехватка карманных денег и вечные недопонимания с окружающими? Забудь! Эта книга поможет тебе превратить повседневный хаос в понятную и управляемую систему. Ты узнаешь, как выживать в школе, научишься думать, как Шерлок Холмс, чтобы видеть суть окружающих тебя вещей и быть насмотренным. Также книга научит тебя настоящему искусству общения, благодаря которому ты сможешь легко находить общий язык с кем угодно, расскажет, как поддерживать здоровье и энергию на максимуме. Ты будешь знать, что делать в опасных ситуациях, касающихся жизни и здоровья, как грамотно управлять финансами, чтобы накопить на покупку мечты и о многоммногом другом. Скорее открывай книгу и внедряй самые полезные фишки в свою жизнь!</t>
  </si>
  <si>
    <t>9785378362448</t>
  </si>
  <si>
    <t>Балуева Оксана, Диденко Ксения, Игнатьев Павел, Ленарская Александра, Минутин Леонид, Чиркова Вероника</t>
  </si>
  <si>
    <t>145х204х12</t>
  </si>
  <si>
    <t>СЕРИЯ: ЭНЦИКЛОПЕДИЯ. В МИРЕ ЗНАНИЙ  32стр. глянц.ламин. офсет 170х245</t>
  </si>
  <si>
    <t>119198</t>
  </si>
  <si>
    <t>ЭНЦИКЛОПЕДИЯ. В МИРЕ ЗНАНИЙ. ВЫМЕРШИЕ ЖИВОТНЫЕ</t>
  </si>
  <si>
    <t>978-5-378-29741-2</t>
  </si>
  <si>
    <t>За долгую историю развития нашей планеты её населяли различные животные, многие из которых, к сожалению, по тем или иным причинам не сохранились до наших дней. О том, когда, где и как жили мамонты, пещерные львы, зебры квагги, удивительные птицы додо и некоторые другие вымершие представители животного мира, вы узнаете из этой энциклопедии.</t>
  </si>
  <si>
    <t>9785378297412</t>
  </si>
  <si>
    <t>170x247x8</t>
  </si>
  <si>
    <t>065453</t>
  </si>
  <si>
    <t>ЭНЦИКЛОПЕДИЯ. В МИРЕ ЗНАНИЙ. ДЕТЁНЫШИ ЖИВОТНЫХ</t>
  </si>
  <si>
    <t>978-5-378-27551-9</t>
  </si>
  <si>
    <t>Открыть для себя удивительный мир детёнышей животных поможет вашему ребёнку эта книга. Она расскажет, как появляются на свет, растут и развиваются детёныши слона, тигра, белки, зайца, птенцы пингвина, страуса и многих других птиц и млекопитающих. Энциклопедия оформлена красочными иллюстрациями.</t>
  </si>
  <si>
    <t>9785378275519</t>
  </si>
  <si>
    <t>Энциклопедия. В мире знаний.</t>
  </si>
  <si>
    <t>066136</t>
  </si>
  <si>
    <t>ЭНЦИКЛОПЕДИЯ. В МИРЕ ЗНАНИЙ. ДОМАШНИЕ ЖИВОТНЫЕ</t>
  </si>
  <si>
    <t>978-5-378-27606-6</t>
  </si>
  <si>
    <t>Для чего люди приручили коров и лошадей? Почему гуси не любят летать? Можно ли держать дома ящерицу? Кто такие песчанки? Ответы на все эти и многие другие вопросы вы найдёте в данной энциклопедии.</t>
  </si>
  <si>
    <t>9785378276066</t>
  </si>
  <si>
    <t>092869</t>
  </si>
  <si>
    <t>ЭНЦИКЛОПЕДИЯ. В МИРЕ ЗНАНИЙ. НАША ПЛАНЕТА</t>
  </si>
  <si>
    <t>978-5-378-28910-3</t>
  </si>
  <si>
    <t>А знаете ли вы, что хищниками бывают не только животные, но и растения? Кем питаются тигры, волки и медведи, а также какие приспособления для ловли добычи имеются у плотоядных растений, вам расскажет эта энциклопедия.</t>
  </si>
  <si>
    <t>9785378289103</t>
  </si>
  <si>
    <t>119197</t>
  </si>
  <si>
    <t>ЭНЦИКЛОПЕДИЯ. В МИРЕ ЗНАНИЙ. НЕОБЫЧНЫЕ ЖИВОТНЫЕ</t>
  </si>
  <si>
    <t>978-5-378-29742-9</t>
  </si>
  <si>
    <t>Нашу огромную планету населяет множество самых разных представителей животного мира. Одни из них поражают воображение причудливой внешностью, другие – поведением или необычными кулинарными предпочтениями. О некоторых удивительных животных земли мы и расскажем в этой энциклопедии.</t>
  </si>
  <si>
    <t>9785378297429</t>
  </si>
  <si>
    <t>066130</t>
  </si>
  <si>
    <t>ЭНЦИКЛОПЕДИЯ. В МИРЕ ЗНАНИЙ. ОБО ВСЁМ НА СВЕТЕ</t>
  </si>
  <si>
    <t>978-5-378-27601-1</t>
  </si>
  <si>
    <t>Пытаясь познать окружающий мир, дети задают взрослым массу вопросов. В этой книге маленькие почемучки не только найдут ответы на некоторые интересующие их вопросы, но и узнают много нового и удивительного. Яркие иллюстрации сделают чтение ещё приятнее.</t>
  </si>
  <si>
    <t>9785378276011</t>
  </si>
  <si>
    <t>131754</t>
  </si>
  <si>
    <t>ЭНЦИКЛОПЕДИЯ. В МИРЕ ЗНАНИЙ. ОТКРЫТИЯ И ИЗОБРЕТЕНИЯ</t>
  </si>
  <si>
    <t>978-5-378-30219-2</t>
  </si>
  <si>
    <t>Как люди научились добывать огонь? Когда и благодаря кому был открыт пенициллин? Где появилась бумага? Об этих и некоторых других важных открытиях и изобретениях вы узнаете из нашей энциклопедии.</t>
  </si>
  <si>
    <t>9785378302192</t>
  </si>
  <si>
    <t>066134</t>
  </si>
  <si>
    <t>ЭНЦИКЛОПЕДИЯ. В МИРЕ ЗНАНИЙ. ПОРОДЫ СОБАК ОТ А ДО Я</t>
  </si>
  <si>
    <t>978-5-378-27605-9</t>
  </si>
  <si>
    <t>Ваш ребёнок любит собак и просит приобрести ему домашнего питомца? Эта энциклопедия поможет вам определиться с выбором. В ней представлены самые известные породы собак, рассказывается об истории их происхождения, отличительных признаках и особенностях поведения. Красочные иллюстрации помогут вам быстрее сделать выбор</t>
  </si>
  <si>
    <t>9785378276059</t>
  </si>
  <si>
    <t>065454</t>
  </si>
  <si>
    <t>ЭНЦИКЛОПЕДИЯ. В МИРЕ ЗНАНИЙ. УДИВИТЕЛЬНЫЙ МИР НАСЕКОМЫХ</t>
  </si>
  <si>
    <t>978-5-378-27552-6</t>
  </si>
  <si>
    <t>Хотите отправиться в удивительный мир самых многочисленных существ на Земле – насекомых? Узнать, чем полезны пчёлы или термиты, насколько опасны саранча, блохи или клещи, почему стрекочут сверчки и кузнечики? Красочные иллюстрации и интересные сведения о самых известных представителях класса насекомых наверняка заинтересуют ребёнка.</t>
  </si>
  <si>
    <t>9785378275526</t>
  </si>
  <si>
    <t>90. ПРОДУКЦИЯ НА КАРТОНЕ</t>
  </si>
  <si>
    <t>ВЫРУБКИ НА КАРТОНЕ</t>
  </si>
  <si>
    <t>CЕРИЯ: ВЫРУБКИ НА КАРТОНЕ "БОЛЬШИЕ" гл. ламин 160х220</t>
  </si>
  <si>
    <t>016155</t>
  </si>
  <si>
    <t>ВЫРУБКА БОЛЬШ. БАРМАЛЕЙ</t>
  </si>
  <si>
    <t>978-5-378-02138-3</t>
  </si>
  <si>
    <t>Картонные книги с необычными формами вырубок отлично подходят для первого знакомства малыша с чтением. Любимые красочно иллюстрированные сказки, простые забавные стишки и потешки для самых маленьких вы найдёте на страницах этих книг из плотного картона. Вам больше не стоит бояться, что малыш испортит книгу в первый же день. Книги из картона достаточно прочные, чтобы ребёнок мог самостоятельно рассматривать яркие картинки и буквы, с которыми вскоре ему предстоит познакомиться.</t>
  </si>
  <si>
    <t>9785378021383</t>
  </si>
  <si>
    <t>Книги на картоне "Большие" (вырубка)</t>
  </si>
  <si>
    <t>160x220x6</t>
  </si>
  <si>
    <t>192350</t>
  </si>
  <si>
    <t>ВЫРУБКА БОЛЬШ. КОШЕЧКА</t>
  </si>
  <si>
    <t>978-5-378-33925-9</t>
  </si>
  <si>
    <t>Эти очаровательные книги предназначены для самых юных слушателей. Они познакомят малышей с разными животными — щенком, лисёнком, медвежонком и кошечкой. Интересные истории и яркие, красочные иллюстрации обязательно подарят детям хорошее настроение и массу положительными эмоций.</t>
  </si>
  <si>
    <t>9785378339259</t>
  </si>
  <si>
    <t>029457</t>
  </si>
  <si>
    <t>ВЫРУБКА БОЛЬШ. МОЙ МИШКА</t>
  </si>
  <si>
    <t>978-5-378-22283-4</t>
  </si>
  <si>
    <t>9785378222834</t>
  </si>
  <si>
    <t>05.02.2018 0:00:00</t>
  </si>
  <si>
    <t>CЕРИЯ: ВЫРУБКИ НА КАРТОНЕ "СЕРДЕЧКИ" гл. ламин 195х195</t>
  </si>
  <si>
    <t>265814</t>
  </si>
  <si>
    <t>ВЫРУБКА. СЕРДЕЧКИ. ДАВАЙ ДРУЖИТЬ!</t>
  </si>
  <si>
    <t>978-5-378-35906-6</t>
  </si>
  <si>
    <t>На страницах серии книг в форме сердечек оживают самые теплые и нежные моменты любви: мамины объятия, первое знакомство с другом, вкусный бабушкин пирог, забота о любимом питомце. Эти книги станут идеальным подарком для вашего малыша: красочные иллюстрации, милые герои, стихи, каждая строчка которых несет в себе нежность.
Подарите вашему ребенку незабываемые эмоции вместе с нашей серией «книг-сердечек». Особенно приятно читать такие «теплые» книжки в холодные зимние вечера, так что скорее приобретайте их для своих любимых крох!</t>
  </si>
  <si>
    <t>9785378359066</t>
  </si>
  <si>
    <t>eaee06e312a7291d2c538b955b85354e</t>
  </si>
  <si>
    <t>195х195х5</t>
  </si>
  <si>
    <t>265816</t>
  </si>
  <si>
    <t>ВЫРУБКА. СЕРДЕЧКИ. МОЙ ЛЮБИМЫЙ ПИТОМЕЦ</t>
  </si>
  <si>
    <t>978-5-378-35908-0</t>
  </si>
  <si>
    <t>9785378359080</t>
  </si>
  <si>
    <t>0829b06acfe5a2bf178f4cc657d57e1c</t>
  </si>
  <si>
    <t>265815</t>
  </si>
  <si>
    <t>ВЫРУБКА. СЕРДЕЧКИ. МОЯ СЕМЬЯ</t>
  </si>
  <si>
    <t>978-5-378-35907-3</t>
  </si>
  <si>
    <t>9785378359073</t>
  </si>
  <si>
    <t>71617913fafd15195a38db851ca2c641</t>
  </si>
  <si>
    <t>265817</t>
  </si>
  <si>
    <t>ВЫРУБКА. СЕРДЕЧКИ. Я ЛЮБЛЮ МАМУ!</t>
  </si>
  <si>
    <t>978-5-378-35909-7</t>
  </si>
  <si>
    <t>9785378359097</t>
  </si>
  <si>
    <t>c56644125915dc522680a4e701137bf3</t>
  </si>
  <si>
    <t>CЕРИЯ: ВЫРУБКИ НА КАРТОНЕ глянц.ламин. 190х155</t>
  </si>
  <si>
    <t>228310</t>
  </si>
  <si>
    <t>ВЫРУБКИ НА КАРТОНЕ 190х155  ПОЖАРНАЯ МАШИНА</t>
  </si>
  <si>
    <t>978-5-378-34725-4</t>
  </si>
  <si>
    <t xml:space="preserve">Картонные книжки-игрушки с фигурной вырубкой непременно заинтересуют и порадуют малышей. 
Благодаря плотному картону ребенок сможет сам листать страницы: яркие картинки надолго займут его внимание, а еще он легко запомнит простые стихи о важных профессиях и машинах-помощниках. </t>
  </si>
  <si>
    <t>9785378347254</t>
  </si>
  <si>
    <t>190х150х5</t>
  </si>
  <si>
    <t>CЕРИЯ: КНИЖКИ НА КАРТОНЕ С ПОСТРАНИЧНОЙ ВЫРУБКОЙ  глянц.ламин.</t>
  </si>
  <si>
    <t>026855</t>
  </si>
  <si>
    <t>ПОСТР. ВЫРУБКА. ЗООПАРК 210х235</t>
  </si>
  <si>
    <t>978-5-378-16787-6</t>
  </si>
  <si>
    <t>Книжки на картоне с постраничной вырубкой станут отличным подарком для любого малыша. Яркие и забавные иллюстрации никого не заставят скучать. Весёлые стихотворения и сказки обязательно порадуют вас и вашего малыша. Вы можете быть уверенными в долговечности книги, ведь страницы выполнены из прочного картона! Постраничная вырубка сделает чтение ещё интереснее и занимательнее.</t>
  </si>
  <si>
    <t>9785378167876</t>
  </si>
  <si>
    <t>Манакова Мария Васильевна</t>
  </si>
  <si>
    <t>08.12.2017 0:00:00</t>
  </si>
  <si>
    <t>Книги на картоне с постраничной вырубкой</t>
  </si>
  <si>
    <t>210x235x7</t>
  </si>
  <si>
    <t>СЕРИЯ: ВЫРУБКИ НА КАРТОНЕ. СКАЗКИ С ЗАКЛАДКАМИ 190х190</t>
  </si>
  <si>
    <t>159129</t>
  </si>
  <si>
    <t>СКАЗКИ С ЗАКЛАДКАМИ. КУРОЧКА РЯБА</t>
  </si>
  <si>
    <t>978-5-378-31562-8</t>
  </si>
  <si>
    <t xml:space="preserve">Перед вами удивительная книжка, которая отличается от других картонных книг. Каждая её страничка -  с вырубкой-закладкой, которая поможет найти нужный разворот. Малышу будет интересно перелистывать странички и рассматривать героев сказок. Книга выполнена из плотного белого картона и переливается на свету за счёт покрытия лаком. </t>
  </si>
  <si>
    <t>9785378315628</t>
  </si>
  <si>
    <t>190x190x7</t>
  </si>
  <si>
    <t>СЕРИЯ: КНИЖКА ДЛЯ МАЛЫШЕЙ с вырубкой, глян. ламин. 124х210</t>
  </si>
  <si>
    <t>098555</t>
  </si>
  <si>
    <t>КНИЖКА ДЛЯ МАЛЫШЕЙ. ПРОФЕССИИ ДЛЯ МАЛЬЧИКОВ</t>
  </si>
  <si>
    <t>978-5-378-28951-6</t>
  </si>
  <si>
    <t>Эта замечательная книжка понравится каждому мальчику и познакомит его с различными профессиями. Малыш будет с большим интересом рассматривать чудесные картинки и слушать весёлые стихи!</t>
  </si>
  <si>
    <t>9785378289516</t>
  </si>
  <si>
    <t>Книжка для малышей</t>
  </si>
  <si>
    <t>125x210x5</t>
  </si>
  <si>
    <t>ВЫРУБКИ НА КАРТОНЕ С ГЛАЗКАМИ</t>
  </si>
  <si>
    <t>CЕРИЯ: ВЫРУБКИ НА КАРТОНЕ С ГЛАЗКАМИ "ХВОСТИКИ" гл. ламин 155х155</t>
  </si>
  <si>
    <t>013350</t>
  </si>
  <si>
    <t>ХВОСТИКИ. ГДЕ МОЯ МАМА?</t>
  </si>
  <si>
    <t>978-5-378-00247-4</t>
  </si>
  <si>
    <t>Книжки из картона отлично подходят для самых маленьких, ведь родителям не нужно бояться, что книга будет испорчена в первую же секунду. Книжки с глазками и фигурной вырубкой обязательно понравятся малышу и безумно его заинтересуют, ведь в детях столько любознательности и тяги к новым открытиям. Любимые сказки и стихи, собранные на картонных страничках этих книжек придутся по вкусу не только малышам, но и их родителям. Развивайте в своём ребёнке любовь к чтению с самых первых лет вместе с картонными книжками с забавными глазками!</t>
  </si>
  <si>
    <t>9785378002474</t>
  </si>
  <si>
    <t>Книги на картоне с глазками "Хвостики"</t>
  </si>
  <si>
    <t>155х155х6</t>
  </si>
  <si>
    <t>CЕРИЯ: ВЫРУБКИ НА КАРТОНЕ С ГЛАЗКАМИ 22мм глянц.ламин 210х275</t>
  </si>
  <si>
    <t>198634</t>
  </si>
  <si>
    <t>ВЫРУБКА с глазками 22мм. К.ЧУКОВСКИЙ. АЙБОЛИТ</t>
  </si>
  <si>
    <t>978-5-378-34162-7</t>
  </si>
  <si>
    <t>Наши новые подарочные книги А4 формата выполнены в форме вырубок. На обложке красуются пластмассовые глазки, которые обязательно привлекут внимание самых юных слушателей! Книги познакомят малышей с любимыми персонажами Корнея Чуковского. Сказочную историю в книге сопровождают новые красочные иллюстрации. Они обязательно подарят детям хорошее настроение и массу положительными эмоций.</t>
  </si>
  <si>
    <t>9785378341627</t>
  </si>
  <si>
    <t>210х275х7</t>
  </si>
  <si>
    <t>198636</t>
  </si>
  <si>
    <t>ВЫРУБКА с глазками 22мм. К.ЧУКОВСКИЙ. БАРМАЛЕЙ</t>
  </si>
  <si>
    <t>978-5-378-34163-4</t>
  </si>
  <si>
    <t>9785378341634</t>
  </si>
  <si>
    <t>198638</t>
  </si>
  <si>
    <t>ВЫРУБКА с глазками 22мм. К.ЧУКОВСКИЙ. МОЙДОДЫР</t>
  </si>
  <si>
    <t>978-5-378-34164-1</t>
  </si>
  <si>
    <t>9785378341641</t>
  </si>
  <si>
    <t>207186</t>
  </si>
  <si>
    <t>ВЫРУБКА с глазками 22мм. К.ЧУКОВСКИЙ. ПУТАНИЦА</t>
  </si>
  <si>
    <t>978-5-378-34316-4</t>
  </si>
  <si>
    <t>9785378343164</t>
  </si>
  <si>
    <t>207187</t>
  </si>
  <si>
    <t>ВЫРУБКА с глазками 22мм. К.ЧУКОВСКИЙ. ТАРАКАНИЩЕ</t>
  </si>
  <si>
    <t>978-5-378-34317-1</t>
  </si>
  <si>
    <t>9785378343171</t>
  </si>
  <si>
    <t>207188</t>
  </si>
  <si>
    <t>ВЫРУБКА с глазками 22мм. К.ЧУКОВСКИЙ. ТЕЛЕФОН</t>
  </si>
  <si>
    <t>978-5-378-34318-8</t>
  </si>
  <si>
    <t>9785378343188</t>
  </si>
  <si>
    <t>207190</t>
  </si>
  <si>
    <t>ВЫРУБКА с глазками 22мм. К.ЧУКОВСКИЙ. ФЕДОРИНО ГОРЕ</t>
  </si>
  <si>
    <t>978-5-378-34319-5</t>
  </si>
  <si>
    <t>9785378343195</t>
  </si>
  <si>
    <t>ВЫРУБКИ НА КАРТОНЕ С КОЛЁСАМИ</t>
  </si>
  <si>
    <t>CЕРИЯ: ВЫРУБКИ НА КАРТОНЕ С КОЛЕСИКАМИ "МАШИНКИ"  глянц.ламин. 155х135</t>
  </si>
  <si>
    <t>147677</t>
  </si>
  <si>
    <t xml:space="preserve">КОЛЁСИКИ 155х135. КУДА СПЕШИТ ГРУЗОВИК? </t>
  </si>
  <si>
    <t>978-5-378-30958-0</t>
  </si>
  <si>
    <t>9785378309580</t>
  </si>
  <si>
    <t>155x135x30</t>
  </si>
  <si>
    <t>221326</t>
  </si>
  <si>
    <t>КОЛЕСИКИ. ТРАКТОР ВИК 158х130</t>
  </si>
  <si>
    <t>978-5-378-34598-4</t>
  </si>
  <si>
    <t>Книжки с вырубкой и колёсами обязательно понравятся малышам благодаря ярким иллюстрациям и весёлым стихам о любимых героях.</t>
  </si>
  <si>
    <t>9785378345984</t>
  </si>
  <si>
    <t>4b5f9e41e14dedbe7eada091a4309a7c</t>
  </si>
  <si>
    <t>Книги на картоне с колесиками "Машинки"</t>
  </si>
  <si>
    <t>158х140х40</t>
  </si>
  <si>
    <t>280131</t>
  </si>
  <si>
    <t>КОТЁНОК КОТЭ. КОЛЕСИКИ 158х130. ПОЛЕЗНЫЕ МАШИНЫ</t>
  </si>
  <si>
    <t>978-5-378-36155-7</t>
  </si>
  <si>
    <t>9785378361557</t>
  </si>
  <si>
    <t>155х130х35</t>
  </si>
  <si>
    <t>280130</t>
  </si>
  <si>
    <t>СИНИЙ ТРАКТОР. КОЛЕСИКИ 158х130. МАШИНЫ - ПОМОЩНИКИ</t>
  </si>
  <si>
    <t>978-5-378-36154-0</t>
  </si>
  <si>
    <t>9785378361540</t>
  </si>
  <si>
    <t>157х130х44</t>
  </si>
  <si>
    <t>CЕРИЯ: ВЫРУБКИ НА КАРТОНЕ С КОЛЁСИКАМИ глянц.ламин. 190х155</t>
  </si>
  <si>
    <t>181652</t>
  </si>
  <si>
    <t>ЦК С КОЛЁСИКАМИ. ПОЛЕЗНЫЕ МАШИНКИ</t>
  </si>
  <si>
    <t>978-5-378-33065-2</t>
  </si>
  <si>
    <t>Эти яркие, увлекательные книги познакомят малышей с различными видами транспорта. Они понятно расскажут для чего используется каждая машинка. Книжки можно не только читать и рассматривать, ещё ими можно играть! Колёсики быстро вращаются и машинки мчатся по своим делам!</t>
  </si>
  <si>
    <t>9785378330652</t>
  </si>
  <si>
    <t>190х155х45</t>
  </si>
  <si>
    <t>181655</t>
  </si>
  <si>
    <t>ЦК С КОЛЁСИКАМИ. ПРО СТРОИТЕЛЬНЫЕ МАШИНЫ</t>
  </si>
  <si>
    <t>978-5-378-33068-3</t>
  </si>
  <si>
    <t>9785378330683</t>
  </si>
  <si>
    <t>190х150х38</t>
  </si>
  <si>
    <t>КНИЖКИ НА КАРТОНЕ</t>
  </si>
  <si>
    <t>CЕРИЯ: КНИЖКИ НА КАРТОНЕ "КУКЛА-КНИЖКА" 7 разворотов 156х280</t>
  </si>
  <si>
    <t>223740</t>
  </si>
  <si>
    <t>КУКЛА-КНИЖКА. АРИША НА ПРОГУЛКЕ</t>
  </si>
  <si>
    <t>978-5-378-34639-4</t>
  </si>
  <si>
    <t>Яркие куклы-книжки точно понравятся вашей малышке. На каждом развороте вас ждёт новый наряд куклы и доброе стихотворение.</t>
  </si>
  <si>
    <t>9785378346394</t>
  </si>
  <si>
    <t>3744524cbe16d9abb7f81ad325a7e907</t>
  </si>
  <si>
    <t>160x280x5</t>
  </si>
  <si>
    <t>136623</t>
  </si>
  <si>
    <t>КУКЛА-КНИЖКА. ВМЕСТЕ С МАМОЙ</t>
  </si>
  <si>
    <t>978-5-378-30540-7</t>
  </si>
  <si>
    <t>9785378305407</t>
  </si>
  <si>
    <t>608d6523da8e1b8cb78b29cfba0241a4</t>
  </si>
  <si>
    <t>136624</t>
  </si>
  <si>
    <t>КУКЛА-КНИЖКА. КОГДА Я ВЫРАСТУ, ТО СТАНУ...</t>
  </si>
  <si>
    <t>978-5-378-30541-4</t>
  </si>
  <si>
    <t>9785378305414</t>
  </si>
  <si>
    <t>223741</t>
  </si>
  <si>
    <t>КУКЛА-КНИЖКА. МИЛАША И ЕЁ ПИТОМЦЫ</t>
  </si>
  <si>
    <t>978-5-378-34640-0</t>
  </si>
  <si>
    <t>9785378346400</t>
  </si>
  <si>
    <t>f8671370b192ff62e79433518da26089</t>
  </si>
  <si>
    <t>136621</t>
  </si>
  <si>
    <t>КУКЛА-КНИЖКА. МОЙ ДЕНЬ</t>
  </si>
  <si>
    <t>978-5-378-30538-4</t>
  </si>
  <si>
    <t>9785378305384</t>
  </si>
  <si>
    <t>a7bea83fd368c0a5cde451b958aa26bd</t>
  </si>
  <si>
    <t>CЕРИЯ: КНИЖКИ НА КАРТОНЕ "МАЛЕНЬКАЯ КНИЖКА"  98х115</t>
  </si>
  <si>
    <t>028247</t>
  </si>
  <si>
    <t>МАЛЕНЬКАЯ КНИЖКА. ПЕТУШОК И ЧУДО-МЕЛЕНКА</t>
  </si>
  <si>
    <t>978-5-378-20539-4</t>
  </si>
  <si>
    <t>Серия книжек с полюбившимися сказками теперь в новом формате - они и не малы,и не велики. Так что ребёнку будет удобно читать и рассматривать картинки,а ещё он сможет их брать с собой,ведь они занимают так мало места!</t>
  </si>
  <si>
    <t>9785378205394</t>
  </si>
  <si>
    <t>27.06.2016 0:00:00</t>
  </si>
  <si>
    <t>Книжки на картоне "Маленькая книжка"</t>
  </si>
  <si>
    <t>98x115x9</t>
  </si>
  <si>
    <t>СЕРИЯ: ДЛИННАЯ КНИЖКА мелов. картон 226х285</t>
  </si>
  <si>
    <t>091733</t>
  </si>
  <si>
    <t>ДЛИННАЯ КНИЖКА. ОВОЩИ, ФРУКТЫ И ЯГОДЫ</t>
  </si>
  <si>
    <t>978-5-378-28745-1</t>
  </si>
  <si>
    <t>Картонные книжки этой серии отлично подойдут для самых первых занятий с малышом. Они станут незаменимыми помощниками в развитии внимания, смекалки и логики ребёнка. Необычный формат заинтересует и взрослых, и детей. Внутри вас ждёт только самая полезная информация, яркие картинки и задания, которые помогут закрепить изученный материал.</t>
  </si>
  <si>
    <t>9785378287451</t>
  </si>
  <si>
    <t>Длинная книжка</t>
  </si>
  <si>
    <t>226х285х2</t>
  </si>
  <si>
    <t>СЕРИЯ: КНИЖКА-ГАРМОШКА, 150х142</t>
  </si>
  <si>
    <t>144100</t>
  </si>
  <si>
    <t>КНИЖКА-ГАРМОШКА. БРЕМЕНСКИЕ МУЗЫКАНТЫ</t>
  </si>
  <si>
    <t>978-5-378-30783-8</t>
  </si>
  <si>
    <t>Самые популярные зарубежные сказки в удобном формате с яркими иллюстрациями наверняка порадуют малышей. Серию пополнили: "Кот в сапогах", "Три поросёнка", "Бременские музыканты", "Гадкий утёнок". "Книжки-гармошки" удобно взять с собой, а деткам интересно раскладывать их самостоятельно.</t>
  </si>
  <si>
    <t>9785378307838</t>
  </si>
  <si>
    <t>Книжка-гармошка</t>
  </si>
  <si>
    <t>150x142x14</t>
  </si>
  <si>
    <t>144101</t>
  </si>
  <si>
    <t>КНИЖКА-ГАРМОШКА. ГАДКИЙ УТЁНОК</t>
  </si>
  <si>
    <t>978-5-378-30784-5</t>
  </si>
  <si>
    <t>9785378307845</t>
  </si>
  <si>
    <t>118250</t>
  </si>
  <si>
    <t>КНИЖКА-ГАРМОШКА. ДИКИЕ ЖИВОТНЫЕ</t>
  </si>
  <si>
    <t>978-5-378-29586-9</t>
  </si>
  <si>
    <t>Красочные книжки-гармошки удобного формата обязательно понравятся как детям, так и их родителям! Две книжки серии познакомят малыша с домашними и дикими животными - на страничках его ждут яркие фотографии и милые стишки. А с книжками-обучайками запоминать цвета и учиться считать будет весело и интересно!</t>
  </si>
  <si>
    <t>9785378295869</t>
  </si>
  <si>
    <t>118248</t>
  </si>
  <si>
    <t>КНИЖКА-ГАРМОШКА. ДОМАШНИЕ ЖИВОТНЫЕ</t>
  </si>
  <si>
    <t>978-5-378-29587-6</t>
  </si>
  <si>
    <t>9785378295876</t>
  </si>
  <si>
    <t>144102</t>
  </si>
  <si>
    <t>КНИЖКА-ГАРМОШКА. КОТ В САПОГАХ</t>
  </si>
  <si>
    <t>978-5-378-30785-2</t>
  </si>
  <si>
    <t>9785378307852</t>
  </si>
  <si>
    <t>241757</t>
  </si>
  <si>
    <t>КНИЖКА-ГАРМОШКА. РАЗВИВАЕМ ЗРЕНИЕ. ГОЛУБАЯ</t>
  </si>
  <si>
    <t>978-5-378-35227-2</t>
  </si>
  <si>
    <t>Первые месяцы жизни младенцы видят окружающий мир совсем не так, как взрослые люди: сначала малыши воспринимают только чёрный и белый цвет, затем добавляются тёплые красный и жёлтый, а после — синий и зелёный.
Книжка-гармошка «Развиваем зрение» предназначена для детей с рождения. Контрастные чёрно-белые узоры используются для стимуляции зрения, фокусировки и концентрации внимания. Простые цветные картинки способствуют развитию сначала пассивного, а в дальнейшем и активного словарного запаса, изучению простых слов, форм, цветов.
Рассматривать книжку-гармошку можно и в кроватке, и в манеже, и на развивающем коврике. Лёгкая и миниатюрная, она компактно складывается, её удобно брать с собой. Книжка безопасна для детей: изготовлена из плотного картона со скруглёнными углами.</t>
  </si>
  <si>
    <t>9785378352272</t>
  </si>
  <si>
    <t>e01597c31f5de2716648f35a7c1a12d3</t>
  </si>
  <si>
    <t>18.12.2024 0:00:00</t>
  </si>
  <si>
    <t>241758</t>
  </si>
  <si>
    <t>КНИЖКА-ГАРМОШКА. РАЗВИВАЕМ ЗРЕНИЕ. ЗЕЛЁНАЯ</t>
  </si>
  <si>
    <t>978-5-378-35228-9</t>
  </si>
  <si>
    <t>9785378352289</t>
  </si>
  <si>
    <t>49b49bd7695bec043570127b08f4d7c8</t>
  </si>
  <si>
    <t>118251</t>
  </si>
  <si>
    <t>КНИЖКА-ГАРМОШКА. ЦВЕТА</t>
  </si>
  <si>
    <t>978-5-378-29588-3</t>
  </si>
  <si>
    <t>9785378295883</t>
  </si>
  <si>
    <t xml:space="preserve">СЕРИЯ: РОСТОМЕР </t>
  </si>
  <si>
    <t>СЕРИЯ: РОСТОМЕР 150х142</t>
  </si>
  <si>
    <t>176540</t>
  </si>
  <si>
    <t>РОСТОМЕР. АВОКАДО</t>
  </si>
  <si>
    <t>978-5-378-32782-9</t>
  </si>
  <si>
    <t>Всем мамам и папам интересно, какими темпами растёт их ребёнок. С этим красочным ростомером измерение роста малыша превратится в весёлое, увлекательное занятие. Яркие картинки обязательно понравятся крохе и отлично впишутся в интерьер вашего дома.</t>
  </si>
  <si>
    <t>9785378327829</t>
  </si>
  <si>
    <t>150х142х2</t>
  </si>
  <si>
    <t>162126</t>
  </si>
  <si>
    <t>РОСТОМЕР. ДИНОЗАВРЫ</t>
  </si>
  <si>
    <t>978-5-378-31764-6</t>
  </si>
  <si>
    <t>9785378317646</t>
  </si>
  <si>
    <t>162124</t>
  </si>
  <si>
    <t>РОСТОМЕР. ЕДИНОРОГИ</t>
  </si>
  <si>
    <t>978-5-378-31765-3</t>
  </si>
  <si>
    <t>9785378317653</t>
  </si>
  <si>
    <t>176544</t>
  </si>
  <si>
    <t>РОСТОМЕР. МОНСТРИКИ</t>
  </si>
  <si>
    <t>978-5-378-32784-3</t>
  </si>
  <si>
    <t>9785378327843</t>
  </si>
  <si>
    <t>176541</t>
  </si>
  <si>
    <t>РОСТОМЕР. РОБОТЫ И КРУТЫЕ ТАЧКИ</t>
  </si>
  <si>
    <t>978-5-378-32783-6</t>
  </si>
  <si>
    <t>9785378327836</t>
  </si>
  <si>
    <t xml:space="preserve">СЕРИЯ: СЛАДКИЕ СКАЗКИ набор из 3 цк </t>
  </si>
  <si>
    <t>167096</t>
  </si>
  <si>
    <t>СЛАДКИЕ СКАЗКИ. ТРИ КОТА. ВЕСЁЛОЕ ОБУЧЕНИЕ (лапки)</t>
  </si>
  <si>
    <t>978-5-378-31970-1</t>
  </si>
  <si>
    <t>Котята Коржик, Компот и Карамелька постоянно попадают в неприятности, но благодаря смекалке и взаимовыручке им удается выпутаться из самых непростых историй. В этом наборе три мини-книжки для раннего развития с героями популярного мультсериала «Три кота»: «Алфавит», «Счет» и «Цвета», благодаря которым малыши познакомятся с буквами, научатся считать и различать основные цвета. Красочные иллюстрации, качественная полиграфия и, конечно, любимые персонажи мультфильма – вот непременные условия интереса ребенка к книге. Это комплект станет одновременно приятным и полезным подарком для малышей.</t>
  </si>
  <si>
    <t>9785378319701</t>
  </si>
  <si>
    <t>100x305x10</t>
  </si>
  <si>
    <t>КНИЖКИ НА КАРТОНЕ "ПАНОРАМЫ"</t>
  </si>
  <si>
    <t>СЕРИЯ: КНИЖКИ-ПАНОРАМКИ 4 разворота 145х203</t>
  </si>
  <si>
    <t>268517</t>
  </si>
  <si>
    <t>КНИЖКИ-ПАНОРАМКИ 4 разворота 145х203. ДОМАШНИЕ ЖИВОТНЫЕ</t>
  </si>
  <si>
    <t>978-5-378-35922-6</t>
  </si>
  <si>
    <t>Замечательные книжки-панорамки отлично подойдут для первого знакомства малыша с книгами. Панорамка выполнена из качественных материалов, безопасных даже для самых маленьких читателей. Удобный формат книги позволит малышу легко держать ее в своих руках и самостоятельно переворачивать странички. На страницах этих книг ребенок найдет увлекательные стихи, а также объемные оживающие иллюстрации мам и их деток и основных домашних животных, которых нужно знать малышам до 3 лет.
Такая книжка точно порадует и удивит вашего кроху и поможет провести время весело, интересно и с пользой!</t>
  </si>
  <si>
    <t>9785378359226</t>
  </si>
  <si>
    <t>Строителева Анна Владимировна, Купырина Анна Михайловна</t>
  </si>
  <si>
    <t>36c250ba371705d7423d412592ca0111</t>
  </si>
  <si>
    <t>203х145х13</t>
  </si>
  <si>
    <t>248074</t>
  </si>
  <si>
    <t>КНИЖКИ-ПАНОРАМКИ 4 разворота 145х203. КОЛОБОК</t>
  </si>
  <si>
    <t>978-5-378-35431-3</t>
  </si>
  <si>
    <t>Книжки-панорамки отлично подойдут для первого знакомства малыша с книгами. Любимые русские народные сказки и удивительные иллюстрации, оживающие, когда переворачивается страница, обязательно увлекут даже самых маленьких читателей.</t>
  </si>
  <si>
    <t>9785378354313</t>
  </si>
  <si>
    <t>в обработке Афанасьева А.Н.</t>
  </si>
  <si>
    <t>97d513d28a01c26842dbbd85e8dca27a</t>
  </si>
  <si>
    <t>203х145х15</t>
  </si>
  <si>
    <t>248077</t>
  </si>
  <si>
    <t>КНИЖКИ-ПАНОРАМКИ 4 разворота 145х203. ЛИСИЧКА СЕСТРИЧКА И ВОЛК</t>
  </si>
  <si>
    <t>978-5-378-35432-0</t>
  </si>
  <si>
    <t>9785378354320</t>
  </si>
  <si>
    <t>646ee78998a79ef0347f00502cd3e395</t>
  </si>
  <si>
    <t>268519</t>
  </si>
  <si>
    <t>КНИЖКИ-ПАНОРАМКИ 4 разворота 145х203. МАМЫ И МАЛЫШИ</t>
  </si>
  <si>
    <t>978-5-378-35923-3</t>
  </si>
  <si>
    <t>9785378359233</t>
  </si>
  <si>
    <t>0e72cd01327db725b7811b66c6a44325</t>
  </si>
  <si>
    <t>248080</t>
  </si>
  <si>
    <t>КНИЖКИ-ПАНОРАМКИ 4 разворота 145х203. МАШЕНЬКА И МЕДВЕДЬ</t>
  </si>
  <si>
    <t>978-5-378-35433-7</t>
  </si>
  <si>
    <t>9785378354337</t>
  </si>
  <si>
    <t>в обработке Авдеевой Е.А.</t>
  </si>
  <si>
    <t>23d2b02bc40f6aba369bbc9cf64e4c0c</t>
  </si>
  <si>
    <t>278757</t>
  </si>
  <si>
    <t>КНИЖКИ-ПАНОРАМКИ 4 разворота 145х203. МАШИНА ЕДЕТ ДАЛЕКО. Котенок Котэ</t>
  </si>
  <si>
    <t>978-5-378-36143-4</t>
  </si>
  <si>
    <t>9785378361434</t>
  </si>
  <si>
    <t>204х143х17</t>
  </si>
  <si>
    <t>273306</t>
  </si>
  <si>
    <t>КНИЖКИ-ПАНОРАМКИ 4 разворота 145х203. ПОЛЕЗНЫЕ МАШИНКИ</t>
  </si>
  <si>
    <t>978-5-378-36037-6</t>
  </si>
  <si>
    <t>Книжки-панорамки отлично подойдут для первого знакомства с книгами. Занимательные стихи про важные машины и удивительные иллюстрации, оживающие, когда переворачивается страница, обязательно увлекут даже самых маленьких читателей.</t>
  </si>
  <si>
    <t>9785378360376</t>
  </si>
  <si>
    <t>d35bd199efae951f658a86fa903bd8a8</t>
  </si>
  <si>
    <t>203х143х17</t>
  </si>
  <si>
    <t>248081</t>
  </si>
  <si>
    <t>КНИЖКИ-ПАНОРАМКИ 4 разворота 145х203. РЕПКА</t>
  </si>
  <si>
    <t>978-5-378-35434-4</t>
  </si>
  <si>
    <t>9785378354344</t>
  </si>
  <si>
    <t>в обработке Ушинского Константина Дмитриевича</t>
  </si>
  <si>
    <t>f9564ff56c59b7125dbecce62596f78d</t>
  </si>
  <si>
    <t>273304</t>
  </si>
  <si>
    <t>КНИЖКИ-ПАНОРАМКИ 4 разворота 145х203. ТЕРЕМОК</t>
  </si>
  <si>
    <t>978-5-378-36036-9</t>
  </si>
  <si>
    <t>Книжка-панорамка отлично подойдет для первого знакомства с книгами. Любимая сказка и удивительные иллюстрации, оживающие, когда переворачивается страница, обязательно увлекут даже самых маленьких читателей.</t>
  </si>
  <si>
    <t>9785378360369</t>
  </si>
  <si>
    <t>адаптация Водолазовой С.</t>
  </si>
  <si>
    <t>577397a6925a27b5871c34622771f958</t>
  </si>
  <si>
    <t>204х144х17</t>
  </si>
  <si>
    <t>278756</t>
  </si>
  <si>
    <t>КНИЖКИ-ПАНОРАМКИ 4 разворота 145х203. ЧТО ТЫ ДЕЛАЛ, СИНИЙ ТРАКТОР?</t>
  </si>
  <si>
    <t>978-5-378-36142-7</t>
  </si>
  <si>
    <t>Книжки-панорамки отлично подойдут для первого знакомства малыша с книгами. Маленьким читателям обязательно понравятся весёлые стихи и удивительные иллюстрации с героями любимого мультфильма "Синий Трактор", оживающие, когда переворачивается страница.</t>
  </si>
  <si>
    <t>9785378361427</t>
  </si>
  <si>
    <t>СЕРИЯ: КНИЖКИ-ПАНОРАМКИ 4 разворота 270х207</t>
  </si>
  <si>
    <t>165133</t>
  </si>
  <si>
    <t>КНИЖКИ-ПАНОРАМКИ 4 разворота. АЙБОЛИТ</t>
  </si>
  <si>
    <t>978-5-378-31702-8</t>
  </si>
  <si>
    <t>Эти книги-панорамки предназначены для самых юных слушателей. Они познакомят малышей с Айболитом, Мойдодыром, Колобком, Машенькой. Каждую сказочную историю сопровождают красочные 3D картинки. Они обязательно подарят детям хорошее настроение и массу положительных эмоций.</t>
  </si>
  <si>
    <t>9785378317028</t>
  </si>
  <si>
    <t>14bf7ffbcec2f3b8270302e04d552d29</t>
  </si>
  <si>
    <t>270x205x13</t>
  </si>
  <si>
    <t>274955</t>
  </si>
  <si>
    <t>КНИЖКИ-ПАНОРАМКИ 4 разворота. ЗОЛУШКА</t>
  </si>
  <si>
    <t>978-5-378-36088-8</t>
  </si>
  <si>
    <t>Замечательная книжка-панорамка с первых секунд погрузит вас и вашего малыша в сказочный мир Золушки!
Научит ребенка тому, что искренняя доброта, трудолюбие и терпение обязательно будут вознаграждены. Книга выполнена из качественных материалов, безопасных даже для самых маленьких читателей. Большой формат книги позволит хорошо рассмотреть каждую деталь объемных и красочных иллюстраций. Также малышу будет удобно держать панорамку и самостоятельно переворачивать странички. Книжка станет идеальным подарком, подходящим для любого события! Спешите порадовать ваших малышей!</t>
  </si>
  <si>
    <t>9785378360888</t>
  </si>
  <si>
    <t>Шарль Перро</t>
  </si>
  <si>
    <t>90cd59117364b089f04acaa9b9405fcd</t>
  </si>
  <si>
    <t>270x205x18</t>
  </si>
  <si>
    <t>094606</t>
  </si>
  <si>
    <t>КНИЖКИ-ПАНОРАМКИ 4 разворота. КОСМИЧЕСКИЙ ПОЛЁТ</t>
  </si>
  <si>
    <t>978-5-378-28887-8</t>
  </si>
  <si>
    <t>Книжки-панорамки отлично подойдут для первого знакомства вашего малыша с книгами. Удивительные красочные иллюстрации, оживающие, когда переворачивается страница, обязательно заинтересуют даже самых маленьких.</t>
  </si>
  <si>
    <t>9785378288878</t>
  </si>
  <si>
    <t>0dd14fef43e5ad3e5893c4934d420778</t>
  </si>
  <si>
    <t>Книжки на картоне "Панорамы"</t>
  </si>
  <si>
    <t>165134</t>
  </si>
  <si>
    <t>КНИЖКИ-ПАНОРАМКИ 4 разворота. МОЙДОДЫР</t>
  </si>
  <si>
    <t>978-5-378-31703-5</t>
  </si>
  <si>
    <t>9785378317035</t>
  </si>
  <si>
    <t>db7ef0c91ed5d3547757c64764e5fbf8</t>
  </si>
  <si>
    <t>192040</t>
  </si>
  <si>
    <t>КНИЖКИ-ПАНОРАМКИ 4 разворота. ТРАКТОР ВИК И ЕГО ДРУЗЬЯ</t>
  </si>
  <si>
    <t>978-5-378-33931-0</t>
  </si>
  <si>
    <t xml:space="preserve">Эта панорамка – удивительная книжка! Историю в стихах о маленьком тракторе и его мечте о гонках дополняют яркие иллюстрации, которые будто оживают, когда переворачиваешь страницу. </t>
  </si>
  <si>
    <t>9785378339310</t>
  </si>
  <si>
    <t>1f8564a5d656845009e25b9b11e35904</t>
  </si>
  <si>
    <t>198641</t>
  </si>
  <si>
    <t>КНИЖКИ-ПАНОРАМКИ 4 разворота. УДИВИТЕЛЬНЫЕ ДИНОЗАВРЫ</t>
  </si>
  <si>
    <t>978-5-378-34161-0</t>
  </si>
  <si>
    <t xml:space="preserve">Эта книга-панорамка предназначена для самых юных читателей. Она познакомит малышей с удивительными динозаврами, населявшими нашу планету миллионы лет тому назад. Объёмные яркие иллюстрации в книге подарят детям хорошее настроение и массу положительными эмоций. </t>
  </si>
  <si>
    <t>9785378341610</t>
  </si>
  <si>
    <t>b9c213bcfc4dbd9c4c74e4bf34ad87a9</t>
  </si>
  <si>
    <t>СЕРИЯ: СБОРНИКИ-ПАНОРАМКИ 16 разворотов 230х170</t>
  </si>
  <si>
    <t>258343</t>
  </si>
  <si>
    <t>СБОРНИК-ПАНОРАМКА 16 разворотов. ДЛЯ МАЛЫШЕЙ: СКАЗКИ, СТИХИ, ПОТЕШКИ</t>
  </si>
  <si>
    <t>978-5-378-35679-9</t>
  </si>
  <si>
    <t>Книжка-панорамка для малышей предназначен для самых юных слушателей. Она познакомит малышей с популярными стихами, сказками и потешками для самых маленьких читателей. Внутри книги малыша ждут 8 сюжетов: сказки "Репка", "Мужик и медведь", потешки "Жили у бабуси", "Идёт коза рогатая" и другие произведения.
Иллюстрации в книге яркие, сочные, живые. В книге 16 разворотов, и на каждом из них малышу встретится объёмная 3D картинка.</t>
  </si>
  <si>
    <t>9785378356799</t>
  </si>
  <si>
    <t>Свириденко София Александровна, Иванова Оксана Владимировна, Толстой Алексей Николаевич, Капица Ольга, Афанасьев Александр Николаевич</t>
  </si>
  <si>
    <t>2705f23f88cdeeea326992376882d11e</t>
  </si>
  <si>
    <t>230х170х42</t>
  </si>
  <si>
    <t>261459</t>
  </si>
  <si>
    <t>СБОРНИК-ПАНОРАМКА 16 разворотов. К.ЧУКОВСКИЙ. ДЛЯ ДЕТЕЙ</t>
  </si>
  <si>
    <t>978-5-378-35766-6</t>
  </si>
  <si>
    <t>Книжка-панорамка для малышей предназначен для самых юных слушателей. Она познакомит малышей с популярными произведения К. И. Чуковского. Внутри книги малыша ждут 4 сказки: "Бармалей", "Путаница", "Федорино горе", "Тараканище".
Иллюстрации в книге яркие, сочные, живые. В книге 16 разворотов, и на каждом из них малышу встретится объёмная 3D картинка.</t>
  </si>
  <si>
    <t>9785378357666</t>
  </si>
  <si>
    <t>5df857937f63cd6faf4909e66dec7dda</t>
  </si>
  <si>
    <t>198649</t>
  </si>
  <si>
    <t>СБОРНИК-ПАНОРАМКА 16 разворотов. К.ЧУКОВСКИЙ. СКАЗКИ</t>
  </si>
  <si>
    <t>978-5-378-34166-5</t>
  </si>
  <si>
    <t>Этот сборник сказок в формате панорамки предназначен для самых юных слушателей. Он познакомит малышей с творчеством Корнея Ивановича Чуковского, его удивительными героями. Внутри книги малыша ждут четыре сказочные истории: Айболит, Мойдодыр, Муха-Цокотуха, Телефон. 
Иллюстрации в книге яркие, сочные, живые. В книге очень много разворотов, и на каждом из них малышу обязательно встретится объёмная 3D картинка. 
Книжка-панорамка Корнея Чуковского станет одной из любимых в детской библиотека. Она обязательно подарит детям хорошее настроение и массу положительными эмоций.</t>
  </si>
  <si>
    <t>9785378341665</t>
  </si>
  <si>
    <t>bb3d27fbfa0792192c44ffd144024bcc</t>
  </si>
  <si>
    <t>198651</t>
  </si>
  <si>
    <t>СБОРНИК-ПАНОРАМКА 16 разворотов. ЛЮБИМЫЕ СКАЗКИ</t>
  </si>
  <si>
    <t>978-5-378-34167-2</t>
  </si>
  <si>
    <t>Этот сборник сказок в формате панорамки предназначен для самых юных слушателей. Он познакомит малышей с самыми популярными русскими народными и зарубежными сказками. Внутри книги малыша ждут четыре сказочные истории: Колобок, Машенька и медведь, Волк и семеро козлят, Кот в сапогах. 
Иллюстрации в книге яркие, сочные, живые. В книге очень много разворотов, и на каждом из них малышу обязательно встретится объёмная 3D картинка. 
Книжка-панорамка «Любимые сказки» станет одной из любимых в детской библиотека. Она обязательно подарит детям хорошее настроение и массу положительными эмоций.</t>
  </si>
  <si>
    <t>9785378341672</t>
  </si>
  <si>
    <t>5c55f19daa3c2c2a6199a4ac6cb75634</t>
  </si>
  <si>
    <t>245236</t>
  </si>
  <si>
    <t>СБОРНИК-ПАНОРАМКА 16 разворотов. СИНИЙ ТРАКТОР. ВЕСЁЛЫЕ ПЕСЕНКИ</t>
  </si>
  <si>
    <t>978-5-378-35380-4</t>
  </si>
  <si>
    <t>Внутри книжки-панорамки «СИНИЙ ТРАКТОР» малышей ждут 4 популярные песенки из мультфильма. 16 разворотов с любимыми героями, весёлыми стихами, красочными иллюстрациями и оживающими объёмными картинками надолго увлекут даже самых маленьких читателей.</t>
  </si>
  <si>
    <t>9785378353804</t>
  </si>
  <si>
    <t>ad26fd415a71166252e4b01d305323ad</t>
  </si>
  <si>
    <t>230х165х45</t>
  </si>
  <si>
    <t>КНИЖКИ НА КАРТОНЕ С ГЛАЗКАМИ</t>
  </si>
  <si>
    <t>СЕРИЯ: КНИЖКИ НА КАРТОНЕ С ГЛАЗКАМИ 160х220</t>
  </si>
  <si>
    <t>268547</t>
  </si>
  <si>
    <t>ГЛАЗКИ 15мм. КОЛОБОК</t>
  </si>
  <si>
    <t>978-5-378-35954-7</t>
  </si>
  <si>
    <t>9785378359547</t>
  </si>
  <si>
    <t>Книги с глазками</t>
  </si>
  <si>
    <t>160х220х4</t>
  </si>
  <si>
    <t>225065</t>
  </si>
  <si>
    <t>ГЛАЗКИ 15мм. КОЛОБОК (на платочке)</t>
  </si>
  <si>
    <t>978-5-378-34668-4</t>
  </si>
  <si>
    <t>А вы знаете, что самые лучшие книжки для малышей – это те, которые можно не только читать, но и играть с ними? Да-да, играть! Данным требованиям вполне соответствуют интересные и красочные книжки с глазками. Не секрет, что все дети обожают животных. А теперь представьте: на каждой странице – любимый зверек с подвижными глазками! С огромным удовольствием детки будут не только слушать сказки или стихи из книги, но и играть с ней, наблюдая за двигающимися глазами словно живых героев.</t>
  </si>
  <si>
    <t>9785378346684</t>
  </si>
  <si>
    <t>ред. Лобко Анастасия</t>
  </si>
  <si>
    <t>9656eb07920226eef78e3e0983a5858f</t>
  </si>
  <si>
    <t>268549</t>
  </si>
  <si>
    <t>ГЛАЗКИ 15мм. МАШЕНЬКА И МЕДВЕДЬ</t>
  </si>
  <si>
    <t>978-5-378-35955-4</t>
  </si>
  <si>
    <t>9785378359554</t>
  </si>
  <si>
    <t>225066</t>
  </si>
  <si>
    <t>ГЛАЗКИ 15мм. РЕПКА (дед, кот и собака)</t>
  </si>
  <si>
    <t>978-5-378-34669-1</t>
  </si>
  <si>
    <t>9785378346691</t>
  </si>
  <si>
    <t>dd9d117d3365829c6b218729c0f068a7</t>
  </si>
  <si>
    <t>242333</t>
  </si>
  <si>
    <t>ГЛАЗКИ 18мм. ЖИВОТНЫЕ И ИХ ДЕТЁНЫШИ</t>
  </si>
  <si>
    <t>978-5-378-35276-0</t>
  </si>
  <si>
    <t>Новая серия обучающих картонных книг с глазками превратит занятия с ребёнком в увлекательную игру. Яркие образы и красочные иллюстрации привлекут внимание крохи, который с удовольствием будет рассматривать картинки, слушать стихи и изучать новое. В серию входят книги "Цвета и формы", "Техника и транспорт", "Учимся считать", "Животные и их детёныши", в каждой по 5 разворотов.</t>
  </si>
  <si>
    <t>9785378352760</t>
  </si>
  <si>
    <t>242331</t>
  </si>
  <si>
    <t>ГЛАЗКИ 18мм. ТЕХНИКА И ТРАНСПОРТ</t>
  </si>
  <si>
    <t>978-5-378-35274-6</t>
  </si>
  <si>
    <t>9785378352746</t>
  </si>
  <si>
    <t>2988e9a465266664cfb45a9a71fcad4c</t>
  </si>
  <si>
    <t>242332</t>
  </si>
  <si>
    <t>ГЛАЗКИ 18мм. УЧИМСЯ СЧИТАТЬ</t>
  </si>
  <si>
    <t>978-5-378-35275-3</t>
  </si>
  <si>
    <t>9785378352753</t>
  </si>
  <si>
    <t>dbb99f445c6097501b17c5ec1e087b58</t>
  </si>
  <si>
    <t>242329</t>
  </si>
  <si>
    <t>ГЛАЗКИ 18мм. ЦВЕТА И ФОРМЫ</t>
  </si>
  <si>
    <t>978-5-378-35273-9</t>
  </si>
  <si>
    <t>9785378352739</t>
  </si>
  <si>
    <t>89ea72f1d851f070d3bf42c6b5658388</t>
  </si>
  <si>
    <t>263118</t>
  </si>
  <si>
    <t>ГЛАЗКИ. БРЕМЕНСКИЕ МУЗЫКАНТЫ</t>
  </si>
  <si>
    <t>978-5-378-35790-1</t>
  </si>
  <si>
    <t>9785378357901</t>
  </si>
  <si>
    <t>Адаптация текста в пересказе Снессоревой С.И.</t>
  </si>
  <si>
    <t>e4559a73761a9ddb7f83b47bb2dfabc6</t>
  </si>
  <si>
    <t>263119</t>
  </si>
  <si>
    <t>ГЛАЗКИ. ВОЛК И СЕМЕРО КОЗЛЯТ</t>
  </si>
  <si>
    <t>978-5-378-35789-5</t>
  </si>
  <si>
    <t>9785378357895</t>
  </si>
  <si>
    <t>адаптация текста в пересказе Снессоревой С.И.</t>
  </si>
  <si>
    <t>edb592150e1f790fbc2236f81799cf23</t>
  </si>
  <si>
    <t>016416</t>
  </si>
  <si>
    <t>ГЛАЗКИ. ВЫШЕЛ ЗАЙЧИК ПОГУЛЯТЬ</t>
  </si>
  <si>
    <t>978-5-378-02422-3</t>
  </si>
  <si>
    <t>А вы знаете, что самые лучшие книжки для малышей – это те, которые можно не только читать, но и играть с ними? Да-да, играть! Данным требованиям вполне соответствуют интересные и красочные книжки с глазками. Не секрет, что все дети обожают животных. А теперь представьте: на каждой странице – любимый зверек с подвижными глазками! С огромным удовольствием детки будут не только слушать сказки или стихи из книги, но и играть с ней, наблюдая за двигающимися глазами словно живых героев</t>
  </si>
  <si>
    <t>9785378024223</t>
  </si>
  <si>
    <t>23.04.2018 0:00:00</t>
  </si>
  <si>
    <t>261457</t>
  </si>
  <si>
    <t>ГЛАЗКИ. Г.Х.АНДЕРСЕН. ГАДКИЙ УТЁНОК</t>
  </si>
  <si>
    <t>978-5-378-35772-7</t>
  </si>
  <si>
    <t>9785378357727</t>
  </si>
  <si>
    <t>742bb73d579725bd4014c2f2e84e7017</t>
  </si>
  <si>
    <t>017169</t>
  </si>
  <si>
    <t>ГЛАЗКИ. ГУСИ-ГУСИ!-ГА-ГА-ГА! (ГУСИ)</t>
  </si>
  <si>
    <t>978-5-378-02730-9</t>
  </si>
  <si>
    <t>9785378027309</t>
  </si>
  <si>
    <t>241644</t>
  </si>
  <si>
    <t>ГЛАЗКИ. ДВА ВЕСЁЛЫХ ГУСЯ</t>
  </si>
  <si>
    <t>978-5-378-35229-6</t>
  </si>
  <si>
    <t>9785378352296</t>
  </si>
  <si>
    <t>1daf5c621eeb9174d9dd0e9bc077f21c</t>
  </si>
  <si>
    <t>008611</t>
  </si>
  <si>
    <t>ГЛАЗКИ. ДЕНЬ РОЖДЕНИЯ</t>
  </si>
  <si>
    <t>978-5-94582-180-4</t>
  </si>
  <si>
    <t>9785945821804</t>
  </si>
  <si>
    <t>Лясковский Виктор Леонидович</t>
  </si>
  <si>
    <t>264413</t>
  </si>
  <si>
    <t>ГЛАЗКИ. ЗАЮШКИНА ИЗБУШКА (новая)</t>
  </si>
  <si>
    <t>978-5-378-35849-6</t>
  </si>
  <si>
    <t>На плотных картонных страницах книг этой серии собраны только самые лучшие стихи и потешки. Малышу понравятся красочные иллюстрации, и он обязательно заинтересуется чтением, а подвижные глазки превратит чтение в увлекательную игру.</t>
  </si>
  <si>
    <t>9785378358496</t>
  </si>
  <si>
    <t>адаптация в обработке Афанасьева А.Н.</t>
  </si>
  <si>
    <t>66bddcfdb0215a56a77d9809a1641414</t>
  </si>
  <si>
    <t>260537</t>
  </si>
  <si>
    <t>ГЛАЗКИ. ИДЕТ КОЗА РОГАТАЯ (новая)</t>
  </si>
  <si>
    <t>978-5-378-35742-0</t>
  </si>
  <si>
    <t>9785378357420</t>
  </si>
  <si>
    <t>e5a52254882b3b0464e425e8c1c25729</t>
  </si>
  <si>
    <t>161334</t>
  </si>
  <si>
    <t>ГЛАЗКИ. КИСОНЬКА-МУРЫСОНЬКА (КОШКА С ШАРФОМ) (Строителева)</t>
  </si>
  <si>
    <t>978-5-378-31667-0</t>
  </si>
  <si>
    <t>9785378316670</t>
  </si>
  <si>
    <t>264412</t>
  </si>
  <si>
    <t>ГЛАЗКИ. КОТ В САПОГАХ (новая)</t>
  </si>
  <si>
    <t>978-5-378-35850-2</t>
  </si>
  <si>
    <t>9785378358502</t>
  </si>
  <si>
    <t>c17edee3899bb66a8a36f667fe6bdb6d</t>
  </si>
  <si>
    <t>260538</t>
  </si>
  <si>
    <t>ГЛАЗКИ. КОШКИН ДОМ (новая)</t>
  </si>
  <si>
    <t>978-5-378-35743-7</t>
  </si>
  <si>
    <t>9785378357437</t>
  </si>
  <si>
    <t>2e6165e3b1887e776f1f3bb59f517413</t>
  </si>
  <si>
    <t>013765</t>
  </si>
  <si>
    <t>ГЛАЗКИ. КТО БОЛЬШОЙ, КТО МАЛЕНЬКИЙ?</t>
  </si>
  <si>
    <t>978-5-378-00593-2</t>
  </si>
  <si>
    <t>9785378005932</t>
  </si>
  <si>
    <t>Ищук Инна Анатольевна</t>
  </si>
  <si>
    <t>241645</t>
  </si>
  <si>
    <t>ГЛАЗКИ. КУРОЧКА РЯБА</t>
  </si>
  <si>
    <t>978-5-378-35230-2</t>
  </si>
  <si>
    <t>9785378352302</t>
  </si>
  <si>
    <t>Ушинский Константин Дмитриевич</t>
  </si>
  <si>
    <t>cbffa43b7d2ce989ac509168023386cb</t>
  </si>
  <si>
    <t>010627</t>
  </si>
  <si>
    <t>ГЛАЗКИ. ПЕСЕНКА ЛЬВЁНКА И ЧЕРЕПАХИ</t>
  </si>
  <si>
    <t>978-5-94582-740-0</t>
  </si>
  <si>
    <t>9785945827400</t>
  </si>
  <si>
    <t>Козлов Сергей Григорьевич</t>
  </si>
  <si>
    <t>27.02.2018 0:00:00</t>
  </si>
  <si>
    <t>261458</t>
  </si>
  <si>
    <t>ГЛАЗКИ. ПЕТУШОК - ЗОЛОТОЙ ГРЕБЕШОК</t>
  </si>
  <si>
    <t>978-5-378-35771-0</t>
  </si>
  <si>
    <t>9785378357710</t>
  </si>
  <si>
    <t>00e0387e3494c8aa1c1692c8cfc68115</t>
  </si>
  <si>
    <t>016888</t>
  </si>
  <si>
    <t>ГЛАЗКИ. СЕРЕНЬКИЙ КОЗЛИК (КОЗЛИК В ШАРФЕ)</t>
  </si>
  <si>
    <t>978-5-378-02581-7</t>
  </si>
  <si>
    <t>9785378025817</t>
  </si>
  <si>
    <t>016889</t>
  </si>
  <si>
    <t>ГЛАЗКИ. СОРОКА-БЕЛОБОКА (СОРОКА С БАНТОМ)</t>
  </si>
  <si>
    <t>978-5-378-02569-5</t>
  </si>
  <si>
    <t>9785378025695</t>
  </si>
  <si>
    <t>20.10.2017 0:00:00</t>
  </si>
  <si>
    <t>263121</t>
  </si>
  <si>
    <t>ГЛАЗКИ. ТРИ МЕДВЕДЯ</t>
  </si>
  <si>
    <t>978-5-378-35786-4</t>
  </si>
  <si>
    <t>9785378357864</t>
  </si>
  <si>
    <t>82d9f9d7077e5bee53a0e522d92b5c82</t>
  </si>
  <si>
    <t>017177</t>
  </si>
  <si>
    <t>ГЛАЗКИ. УЧИМ ЦВЕТА</t>
  </si>
  <si>
    <t>978-5-378-02717-0</t>
  </si>
  <si>
    <t>9785378027170</t>
  </si>
  <si>
    <t>Ушкина Наталья Евгеньевна</t>
  </si>
  <si>
    <t>013632</t>
  </si>
  <si>
    <t>ГЛАЗКИ. УЧИМ ЦИФРЫ</t>
  </si>
  <si>
    <t>978-5-378-00334-1</t>
  </si>
  <si>
    <t>9785378003341</t>
  </si>
  <si>
    <t>Корнеева Ольга Тихоновна</t>
  </si>
  <si>
    <t>02.11.2017 0:00:00</t>
  </si>
  <si>
    <t>234279</t>
  </si>
  <si>
    <t>ГЛАЗКИ. УЧИМСЯ СЧИТАТЬ (Строителева)</t>
  </si>
  <si>
    <t>978-5-378-34920-3</t>
  </si>
  <si>
    <t>9785378349203</t>
  </si>
  <si>
    <t>ce883801e5ec5bb81a6cc3d498de1785</t>
  </si>
  <si>
    <t>249526</t>
  </si>
  <si>
    <t>ГЛАЗКИ. ЧИХУАШКА, КАПИБАРА И ГУСЬ</t>
  </si>
  <si>
    <t>978-5-378-35498-6</t>
  </si>
  <si>
    <t>9785378354986</t>
  </si>
  <si>
    <t>9be3e57aa24130a296861ef0d7aac4e9</t>
  </si>
  <si>
    <t>242328</t>
  </si>
  <si>
    <t>КОШЕЧКИ-СОБАЧКИ. ГЛАЗКИ. ЛУЧШИЕ ДРУЗЬЯ</t>
  </si>
  <si>
    <t>978-5-378-35223-4</t>
  </si>
  <si>
    <t>Новая серия картонных книг с глазками познакомит детей поближе с героями популярных мультфильмов и превратит занятия в увлекательную игру. Знакомые всем детям образы и красочные иллюстрации привлекут внимание крохи, который с удовольствием будет рассматривать картинки, слушать стихи и изучать новое.</t>
  </si>
  <si>
    <t>9785378352234</t>
  </si>
  <si>
    <t>76a33b799221ff965adc012967ea00e3</t>
  </si>
  <si>
    <t>242324</t>
  </si>
  <si>
    <t>МИ-МИ-МИШКИ. ГЛАЗКИ. КЕША И ЕГО ДРУЗЬЯ</t>
  </si>
  <si>
    <t>978-5-378-35225-8</t>
  </si>
  <si>
    <t>9785378352258</t>
  </si>
  <si>
    <t>0deeb11679f351601c1180843ffe6a8a</t>
  </si>
  <si>
    <t>265801</t>
  </si>
  <si>
    <t>СИНИЙ ТРАКТОР. ГЛАЗКИ 15мм. ПЕРВЫЕ СЛОВА</t>
  </si>
  <si>
    <t>978-5-378-35860-1</t>
  </si>
  <si>
    <t>Новая серия картонных книг с глазками познакомит детей поближе с героями популярных мультфильмов и превратит занятия в увлекательную игру. Любимые персонажи и красочные иллюстрации привлекут внимание малыша, который с удовольствием будет рассматривать картинки и изучать что-то новое.</t>
  </si>
  <si>
    <t>9785378358601</t>
  </si>
  <si>
    <t>97f6803f654dea2bea95c9f59e35a0e5</t>
  </si>
  <si>
    <t>242326</t>
  </si>
  <si>
    <t>СИНИЙ ТРАКТОР. ГЛАЗКИ. ПОЛЕЗНЫЕ МАШИНКИ</t>
  </si>
  <si>
    <t>978-5-378-35224-1</t>
  </si>
  <si>
    <t>9785378352241</t>
  </si>
  <si>
    <t>265803</t>
  </si>
  <si>
    <t>ТУРБОЗАВРЫ. ГЛАЗКИ 15мм. ФОРМЫ И ЦВЕТА</t>
  </si>
  <si>
    <t>978-5-378-35862-5</t>
  </si>
  <si>
    <t>9785378358625</t>
  </si>
  <si>
    <t>48eae6a96bdde94e36cb7bad0cb31ba5</t>
  </si>
  <si>
    <t>265804</t>
  </si>
  <si>
    <t>ЦВЕТНЯШКИ. ГЛАЗКИ 15мм. УЧИМ ЦВЕТА</t>
  </si>
  <si>
    <t>978-5-378-35863-2</t>
  </si>
  <si>
    <t>9785378358632</t>
  </si>
  <si>
    <t>7cef34ccb6ac430e07ef2c69597f136d</t>
  </si>
  <si>
    <t>СЕРИЯ: КНИЖКИ НА КАРТОНЕ С ГЛАЗКАМИ МИНИ глянц. ламин. обл. 120х150</t>
  </si>
  <si>
    <t>016307</t>
  </si>
  <si>
    <t>ГЛАЗКИ-МИНИ. БАЮ-БАЮШКИ-БАЮ</t>
  </si>
  <si>
    <t>978-5-378-02272-4</t>
  </si>
  <si>
    <t>Замечательная серия картонных книг с глазками обязательно порадует вашего малыша. Такая книжка станет любимой игрушкой ребёнка. Страницы сделаны из плотного картона, поэтому издание прослужит долго, не порвётся и не испортится. В книгах серии вы найдёте самые любимые сказки, стихи и потешки.</t>
  </si>
  <si>
    <t>9785378022724</t>
  </si>
  <si>
    <t>Нестеренко Владимир Дмитриевич</t>
  </si>
  <si>
    <t>256203</t>
  </si>
  <si>
    <t>ГЛАЗКИ-МИНИ. БОЛЬШИЕ И МАЛЕНЬКИЕ (Корнеева)</t>
  </si>
  <si>
    <t>978-5-378-35646-1</t>
  </si>
  <si>
    <t>9785378356461</t>
  </si>
  <si>
    <t>de24d9d0b3e884e5e9d1def024e5a533</t>
  </si>
  <si>
    <t>016308</t>
  </si>
  <si>
    <t>ГЛАЗКИ-МИНИ. БРЕМЕНСКИЕ МУЗЫКАНТЫ (КОТ)</t>
  </si>
  <si>
    <t>978-5-378-02269-4</t>
  </si>
  <si>
    <t>9785378022694</t>
  </si>
  <si>
    <t>216943</t>
  </si>
  <si>
    <t>ГЛАЗКИ-МИНИ. БУКАШКИ-МИЛАШКИ</t>
  </si>
  <si>
    <t>978-5-378-34534-2</t>
  </si>
  <si>
    <t>9785378345342</t>
  </si>
  <si>
    <t>dda18255574720c7272e11ff0b0623e9</t>
  </si>
  <si>
    <t>268523</t>
  </si>
  <si>
    <t>ГЛАЗКИ-МИНИ. ВЕЖЛИВЫЕ СЛОВА (новая)</t>
  </si>
  <si>
    <t>978-5-378-35952-3</t>
  </si>
  <si>
    <t>9785378359523</t>
  </si>
  <si>
    <t>017913</t>
  </si>
  <si>
    <t>ГЛАЗКИ-МИНИ. ВЕСЕЛЫЕ ИСТОРИИ ПРО ЗВЕРЯТ</t>
  </si>
  <si>
    <t>978-5-378-03690-5</t>
  </si>
  <si>
    <t>9785378036905</t>
  </si>
  <si>
    <t>016876</t>
  </si>
  <si>
    <t>ГЛАЗКИ-МИНИ. ВСЕ ЗВЕРИ У ДЕЛА</t>
  </si>
  <si>
    <t>978-5-378-02552-7</t>
  </si>
  <si>
    <t>9785378025527</t>
  </si>
  <si>
    <t>016149</t>
  </si>
  <si>
    <t>ГЛАЗКИ-МИНИ. ГДЕ ЖИВУТ ЗВЕРУШКИ</t>
  </si>
  <si>
    <t>978-5-378-02189-5</t>
  </si>
  <si>
    <t>9785378021895</t>
  </si>
  <si>
    <t>258276</t>
  </si>
  <si>
    <t>ГЛАЗКИ-МИНИ. ГУСИ-ГУСИ! ГА-ГА-ГА!</t>
  </si>
  <si>
    <t>978-5-378-35673-7</t>
  </si>
  <si>
    <t>9785378356737</t>
  </si>
  <si>
    <t>a6a33ac8bfdd22ec12708815f2abdeaf</t>
  </si>
  <si>
    <t>016812</t>
  </si>
  <si>
    <t>ГЛАЗКИ-МИНИ. ГУСИ-ЛЕБЕДИ (ГУСЬ В ВЕНОЧКЕ)</t>
  </si>
  <si>
    <t>978-5-378-02502-2</t>
  </si>
  <si>
    <t>9785378025022</t>
  </si>
  <si>
    <t>216936</t>
  </si>
  <si>
    <t>ГЛАЗКИ-МИНИ. ДВА ВЕСЕЛЫХ ГУСЯ (новая)</t>
  </si>
  <si>
    <t>978-5-378-34526-7</t>
  </si>
  <si>
    <t>9785378345267</t>
  </si>
  <si>
    <t>216941</t>
  </si>
  <si>
    <t>ГЛАЗКИ-МИНИ. ДИНОЗАВРЫ</t>
  </si>
  <si>
    <t>978-5-378-34537-3</t>
  </si>
  <si>
    <t>9785378345373</t>
  </si>
  <si>
    <t>0ef1a9fd791fa621fda2a742de50c73e</t>
  </si>
  <si>
    <t>256204</t>
  </si>
  <si>
    <t>ГЛАЗКИ-МИНИ. ЖИЛИ У БАБУСИ...</t>
  </si>
  <si>
    <t>978-5-378-35647-8</t>
  </si>
  <si>
    <t>9785378356478</t>
  </si>
  <si>
    <t>5d0217ce6c67da841d7341161256eb0b</t>
  </si>
  <si>
    <t>123630</t>
  </si>
  <si>
    <t>ГЛАЗКИ-МИНИ. ЗАГАДКИ ДЛЯ МАЛЫШЕЙ</t>
  </si>
  <si>
    <t>978-5-378-29815-0</t>
  </si>
  <si>
    <t>Новые книжки с глазками - это удобный маленький формат, ярки иллюстрации, простые стихи и пластиковые глазки, благодаря которым нарисованные зверята выглядят ещё милее и забавнее.</t>
  </si>
  <si>
    <t>9785378298150</t>
  </si>
  <si>
    <t>016374</t>
  </si>
  <si>
    <t>ГЛАЗКИ-МИНИ. ЗАЮШКИНА ИЗБУШКА (ЗАЙЧИК С ЦВЕТКОМ)</t>
  </si>
  <si>
    <t>978-5-378-02328-8</t>
  </si>
  <si>
    <t>9785378023288</t>
  </si>
  <si>
    <t>256206</t>
  </si>
  <si>
    <t>ГЛАЗКИ-МИНИ. КАРАВАЙ-КАРАВАЙ...</t>
  </si>
  <si>
    <t>978-5-378-35649-2</t>
  </si>
  <si>
    <t>9785378356492</t>
  </si>
  <si>
    <t>e6d45e416164a503ecd409d634802b45</t>
  </si>
  <si>
    <t>015076</t>
  </si>
  <si>
    <t>ГЛАЗКИ-МИНИ. КИСКА МУРКА</t>
  </si>
  <si>
    <t>978-5-378-01424-8</t>
  </si>
  <si>
    <t>9785378014248</t>
  </si>
  <si>
    <t>264415</t>
  </si>
  <si>
    <t>ГЛАЗКИ-МИНИ. КИСОНЬКА-МУРЫСОНЬКА (новая)</t>
  </si>
  <si>
    <t>978-5-378-35839-7</t>
  </si>
  <si>
    <t>9785378358397</t>
  </si>
  <si>
    <t>ef3c19d4f777715b2099031e739bf3d4</t>
  </si>
  <si>
    <t>016157</t>
  </si>
  <si>
    <t>ГЛАЗКИ-МИНИ. КОЛЫБЕЛЬНАЯ</t>
  </si>
  <si>
    <t>978-5-378-02188-8</t>
  </si>
  <si>
    <t>9785378021888</t>
  </si>
  <si>
    <t>258275</t>
  </si>
  <si>
    <t>ГЛАЗКИ-МИНИ. КОТ В САПОГАХ</t>
  </si>
  <si>
    <t>978-5-378-35675-1</t>
  </si>
  <si>
    <t>9785378356751</t>
  </si>
  <si>
    <t>a02d146f08ac87c8b0cf1e9297f8a21d</t>
  </si>
  <si>
    <t>014702</t>
  </si>
  <si>
    <t>ГЛАЗКИ-МИНИ. КОШКИН ДОМ (КОШКА С ВЕДЕРКОМ)</t>
  </si>
  <si>
    <t>978-5-378-01127-8</t>
  </si>
  <si>
    <t>9785378011278</t>
  </si>
  <si>
    <t>016523</t>
  </si>
  <si>
    <t>ГЛАЗКИ-МИНИ. КРАСНАЯ ШАПОЧКА (ВОЛК В ФИОЛЕТ. КЕПКЕ)</t>
  </si>
  <si>
    <t>978-5-378-02380-6</t>
  </si>
  <si>
    <t>9785378023806</t>
  </si>
  <si>
    <t>216937</t>
  </si>
  <si>
    <t>ГЛАЗКИ-МИНИ. КУРОЧКА РЯБА (новая)</t>
  </si>
  <si>
    <t>978-5-378-34527-4</t>
  </si>
  <si>
    <t>9785378345274</t>
  </si>
  <si>
    <t>270071</t>
  </si>
  <si>
    <t>ГЛАЗКИ-МИНИ. ЛАДУШКИ (новая)</t>
  </si>
  <si>
    <t>978-5-378-36010-9</t>
  </si>
  <si>
    <t>Яркие картонные книги с подвижными глазками - «Красная Шапочка», «Колобок» и «Серенький козлик» превратят чтение для малыша в настоящее приключение. Весёлые глазки на страницах книги привлекут внимание ребёнка, помогут в развитии зрительного восприятия и мелкой моторики. Чудесные сюжеты классических сказок и русской народной потешки не оставят равнодушными ни одного маленького читателя!</t>
  </si>
  <si>
    <t>9785378360109</t>
  </si>
  <si>
    <t>014867</t>
  </si>
  <si>
    <t>ГЛАЗКИ-МИНИ. ЛАДУШКИ-ЛАДУШКИ (КОШКА)</t>
  </si>
  <si>
    <t>978-5-378-01257-2</t>
  </si>
  <si>
    <t>9785378012572</t>
  </si>
  <si>
    <t>015816</t>
  </si>
  <si>
    <t>ГЛАЗКИ-МИНИ. ЛИСИЧКА СО СКАЛОЧКОЙ</t>
  </si>
  <si>
    <t>978-5-378-01738-6</t>
  </si>
  <si>
    <t>9785378017386</t>
  </si>
  <si>
    <t>216939</t>
  </si>
  <si>
    <t>ГЛАЗКИ-МИНИ. МАШИНКИ (новая)</t>
  </si>
  <si>
    <t>978-5-378-34536-6</t>
  </si>
  <si>
    <t>9785378345366</t>
  </si>
  <si>
    <t>Манакова Мария Васильевна,Купырина Анна Владимировна</t>
  </si>
  <si>
    <t>256205</t>
  </si>
  <si>
    <t>ГЛАЗКИ-МИНИ. МИШКА КОСОЛАПЫЙ</t>
  </si>
  <si>
    <t>978-5-378-35648-5</t>
  </si>
  <si>
    <t>9785378356485</t>
  </si>
  <si>
    <t>Иванова Оксана Владимировна</t>
  </si>
  <si>
    <t>84b60a0297950c46b2f4d189c29ef6b7</t>
  </si>
  <si>
    <t>216944</t>
  </si>
  <si>
    <t>ГЛАЗКИ-МИНИ. МОИ ЛЮБИМЫЕ ПОТЕШКИ</t>
  </si>
  <si>
    <t>978-5-378-34535-9</t>
  </si>
  <si>
    <t>9785378345359</t>
  </si>
  <si>
    <t>06af1b816dd74cdef92bebf01e046c69</t>
  </si>
  <si>
    <t>095416</t>
  </si>
  <si>
    <t>ГЛАЗКИ-МИНИ. МОИ ПИТОМЦЫ</t>
  </si>
  <si>
    <t>978-5-378-28905-9</t>
  </si>
  <si>
    <t>9785378289059</t>
  </si>
  <si>
    <t>267382</t>
  </si>
  <si>
    <t>ГЛАЗКИ-МИНИ. ПРО МАШИНКИ</t>
  </si>
  <si>
    <t>978-5-378-35930-1</t>
  </si>
  <si>
    <t>9785378359301</t>
  </si>
  <si>
    <t>152659c6b27f6316f6a2eaebda6258c7</t>
  </si>
  <si>
    <t>258274</t>
  </si>
  <si>
    <t>ГЛАЗКИ-МИНИ. РЕПКА</t>
  </si>
  <si>
    <t>978-5-378-35674-4</t>
  </si>
  <si>
    <t>9785378356744</t>
  </si>
  <si>
    <t>5a7f91d6b7ccbff24cb042f6ed1ad274</t>
  </si>
  <si>
    <t>014780</t>
  </si>
  <si>
    <t>ГЛАЗКИ-МИНИ. СОРОКА-БЕЛОБОКА</t>
  </si>
  <si>
    <t>978-5-378-01145-2</t>
  </si>
  <si>
    <t>9785378011452</t>
  </si>
  <si>
    <t>267383</t>
  </si>
  <si>
    <t>ГЛАЗКИ-МИНИ. СПИ, МОЯ РАДОСТЬ, УСНИ (новая)</t>
  </si>
  <si>
    <t>978-5-378-35939-4</t>
  </si>
  <si>
    <t>9785378359394</t>
  </si>
  <si>
    <t>Свириденко София Александровна</t>
  </si>
  <si>
    <t>0f3daa981bfd62b3694fd16ae77fe6e0</t>
  </si>
  <si>
    <t>016267</t>
  </si>
  <si>
    <t>ГЛАЗКИ-МИНИ. ТЕНЬ-ТЕНЬ ПОТЕТЕНЬ</t>
  </si>
  <si>
    <t>978-5-378-02278-6</t>
  </si>
  <si>
    <t>9785378022786</t>
  </si>
  <si>
    <t>0195f38ade496bc5f30dc9f18cf2c966</t>
  </si>
  <si>
    <t>268524</t>
  </si>
  <si>
    <t>ГЛАЗКИ-МИНИ. ТЕНЬ-ТЕНЬ-ПОТЕТЕНЬ (новая)</t>
  </si>
  <si>
    <t>978-5-378-35953-0</t>
  </si>
  <si>
    <t>9785378359530</t>
  </si>
  <si>
    <t>015075</t>
  </si>
  <si>
    <t>ГЛАЗКИ-МИНИ. ТОП-ТОП-ТОПОТУШКИ (ЩЕНОК)</t>
  </si>
  <si>
    <t>978-5-378-01459-0</t>
  </si>
  <si>
    <t>9785378014590</t>
  </si>
  <si>
    <t>014808</t>
  </si>
  <si>
    <t>ГЛАЗКИ-МИНИ. У СТРАХА ГЛАЗА ВЕЛИКИ</t>
  </si>
  <si>
    <t>978-5-378-01203-9</t>
  </si>
  <si>
    <t>9785378012039</t>
  </si>
  <si>
    <t>280155</t>
  </si>
  <si>
    <t>ГЛАЗКИ-МИНИ. УЧИМ ЦВЕТА (новая)</t>
  </si>
  <si>
    <t>978-5-378-36175-5</t>
  </si>
  <si>
    <t>9785378361755</t>
  </si>
  <si>
    <t>280153</t>
  </si>
  <si>
    <t>ГЛАЗКИ-МИНИ. УЧИМ ЦИФРЫ (новая)</t>
  </si>
  <si>
    <t>978-5-378-36170-0</t>
  </si>
  <si>
    <t>9785378361700</t>
  </si>
  <si>
    <t>281382</t>
  </si>
  <si>
    <t>КОТЭ. ГЛАЗКИ-МИНИ. СЧИТАЛОЧКА</t>
  </si>
  <si>
    <t>978-5-378-36107-6</t>
  </si>
  <si>
    <t>9785378361076</t>
  </si>
  <si>
    <t>120х148х5</t>
  </si>
  <si>
    <t>281385</t>
  </si>
  <si>
    <t>КОШЕЧКИ-СОБАЧКИ. ГЛАЗКИ-МИНИ. ВЕСЁЛАЯ ПЕСЕНКА</t>
  </si>
  <si>
    <t>978-5-378-36125-0</t>
  </si>
  <si>
    <t>Картонные книги с глазками познакомят детей поближе с героями популярных мультфильмов и превратят занятия в увлекательную игру. Любимые персонажи, красочные иллюстрации и подвижные пластиковые глазки привлекут внимание малыша, который с удовольствием будет рассматривать картинки и изучать что-то новое. А благодаря маленькому формату эти книги удобно брать с собой.</t>
  </si>
  <si>
    <t>9785378361250</t>
  </si>
  <si>
    <t>281387</t>
  </si>
  <si>
    <t>СИНИЙ ТРАКТОР. ГЛАЗКИ-МИНИ. ПО ПОЛЯМ, ПО ПОЛЯМ...</t>
  </si>
  <si>
    <t>978-5-378-36126-7</t>
  </si>
  <si>
    <t>9785378361267</t>
  </si>
  <si>
    <t>281383</t>
  </si>
  <si>
    <t>ТРИ КОТА. ГЛАЗКИ-МИНИ. ВЕСЁЛЫЕ КОТЯТА</t>
  </si>
  <si>
    <t>978-5-378-36109-0</t>
  </si>
  <si>
    <t>9785378361090</t>
  </si>
  <si>
    <t>281389</t>
  </si>
  <si>
    <t>ЦВЕТНЯШКИ. ГЛАЗКИ-МИНИ. ПЕСЕНКИ НА НОЧЬ</t>
  </si>
  <si>
    <t>978-5-378-36178-6</t>
  </si>
  <si>
    <t>9785378361786</t>
  </si>
  <si>
    <t>СЕРИЯ: ЦК С ГЛАЗКАМИ 35 мм "ЭМОЦИИ" глянц.ламин 160х220</t>
  </si>
  <si>
    <t>233231</t>
  </si>
  <si>
    <t>ЦК С ГЛАЗКАМИ 35 мм ЭМОЦИИ. КАК КОТЁНОК ПОДЕЛИЛСЯ РАДОСТЬЮ</t>
  </si>
  <si>
    <t>978-5-378-34887-9</t>
  </si>
  <si>
    <t>Развивающая серия книг на плотном картоне позволит в лёгкой форме познакомить самых маленьких слушателей с эмоциями и их проявлением. Дети будут проживать вместе с друзьями-зверятами радость, грусть, злость, страх и учиться справляться с ними. Большие добрые глазки героев книг привлекут внимание девочек и мальчиков и будут удерживать его до конца истории. Автором стихов является Ирина Гурина, регулярно входящая в топ самых издаваемых писателей детской литературы. Яркие иллюстрации и простой слог сделают эти книги любимыми в домашней библиотеке малышей и их родителей!</t>
  </si>
  <si>
    <t>9785378348879</t>
  </si>
  <si>
    <t>6ed3304e6d09798322f5472ec8942b25</t>
  </si>
  <si>
    <t>162x219x4</t>
  </si>
  <si>
    <t>233232</t>
  </si>
  <si>
    <t>ЦК С ГЛАЗКАМИ 35 мм ЭМОЦИИ. КАК МЫШОНОК ПОБЕДИЛ СТРАХ</t>
  </si>
  <si>
    <t>978-5-378-34888-6</t>
  </si>
  <si>
    <t>9785378348886</t>
  </si>
  <si>
    <t>9f776a374d6be65edca02fe1ea0a351c</t>
  </si>
  <si>
    <t>233233</t>
  </si>
  <si>
    <t>ЦК С ГЛАЗКАМИ 35 мм ЭМОЦИИ. КАК СЛОНЁНОК ПРОГНАЛ ГРУСТЬ</t>
  </si>
  <si>
    <t>978-5-378-34889-3</t>
  </si>
  <si>
    <t>9785378348893</t>
  </si>
  <si>
    <t>f89a0442dfcc47ec00b852ed7596c6c0</t>
  </si>
  <si>
    <t>233234</t>
  </si>
  <si>
    <t>ЦК С ГЛАЗКАМИ 35 мм ЭМОЦИИ. КАК ТИГРЁНОК ОДОЛЕЛ ЗЛОСТЬ</t>
  </si>
  <si>
    <t>978-5-378-34890-9</t>
  </si>
  <si>
    <t>9785378348909</t>
  </si>
  <si>
    <t>ca2251c9dadc31dafd072cd83a4186c2</t>
  </si>
  <si>
    <t>КНИЖКИ НА КАРТОНЕ ЦК</t>
  </si>
  <si>
    <t>CЕРИЯ: КНИЖКИ НА КАРТОНЕ на гребне ВЕСЁЛЫЕ ПАЛЬЧИКИ 155х155</t>
  </si>
  <si>
    <t>265810</t>
  </si>
  <si>
    <t>КНИЖКИ НА КАРТОНЕ на гребне ВЕСЁЛЫЕ ПАЛЬЧИКИ. Домашние животные</t>
  </si>
  <si>
    <t>978-5-378-35897-7</t>
  </si>
  <si>
    <t>В удивительных книжках серии «Весёлые пальчики» вы найдёте не только забавные стихи, но и увлекательную игру! Благодаря отверстиям для пальчиков нарисованные зверята смогут пошевелить лапками, а птички помахать крылышками. Развивайте фантазию, мелкую моторику и весело играйте вместе с малышом!</t>
  </si>
  <si>
    <t>9785378358977</t>
  </si>
  <si>
    <t>Гурина Ирина Валерьевна,Брагинец Наталья Владимировна,Купырина Анна Михайловна</t>
  </si>
  <si>
    <t>4be7de977185cbcb74c43392dc399890</t>
  </si>
  <si>
    <t>160х154х10</t>
  </si>
  <si>
    <t>265818</t>
  </si>
  <si>
    <t>КНИЖКИ НА КАРТОНЕ на гребне ВЕСЁЛЫЕ ПАЛЬЧИКИ. Кто живёт в лесу</t>
  </si>
  <si>
    <t>978-5-378-35898-4</t>
  </si>
  <si>
    <t>9785378358984</t>
  </si>
  <si>
    <t>265820</t>
  </si>
  <si>
    <t>КНИЖКИ НА КАРТОНЕ на гребне ВЕСЁЛЫЕ ПАЛЬЧИКИ. Любимые потешки</t>
  </si>
  <si>
    <t>978-5-378-35900-4</t>
  </si>
  <si>
    <t>9785378359004</t>
  </si>
  <si>
    <t>265819</t>
  </si>
  <si>
    <t>КНИЖКИ НА КАРТОНЕ на гребне ВЕСЁЛЫЕ ПАЛЬЧИКИ. Малыши - зверята</t>
  </si>
  <si>
    <t>978-5-378-35899-1</t>
  </si>
  <si>
    <t>9785378358991</t>
  </si>
  <si>
    <t>CЕРИЯ: КНИЖКИ НА КАРТОНЕ ЦЕЛЬНОКРЫТЫЕ глянц.ламинация 160х220</t>
  </si>
  <si>
    <t>156441</t>
  </si>
  <si>
    <t>КОШЕЧКИ-СОБАЧКИ. ЦК. ЦВЕТА</t>
  </si>
  <si>
    <t>978-5-378-31335-8</t>
  </si>
  <si>
    <t>С любимыми героями мультсериала "Кошечки-собачки" запоминать цвета и цифры и учиться считать до 10 малышу точно будет интересно!</t>
  </si>
  <si>
    <t>9785378313358</t>
  </si>
  <si>
    <t>270081</t>
  </si>
  <si>
    <t>МАСТЕР ВИТЯ И МОТОР. ЦК. ВЕРНЫЕ ДРУЗЬЯ</t>
  </si>
  <si>
    <t>978-5-378-35998-1</t>
  </si>
  <si>
    <t>Представляем замечательные новинки для наших маленьких читателей — красочные картонные книжки с любимыми героями мультсериалов «Цып-Цып» и «Мастер Витя и Мотор», выполненные в удобном формате 160х220 мм из плотного и прочного картона, а специально закругленные уголки делают каждую страницу безопасной даже для самых нежных детских ручек, позволяя малышам самостоятельно листать книгу и снова и снова встречаться с яркими и знакомыми персонажами.</t>
  </si>
  <si>
    <t>9785378359981</t>
  </si>
  <si>
    <t>38b5ff0e3c2abefdd7d1b289973318da</t>
  </si>
  <si>
    <t>Книги на картоне (цельнокрытые)</t>
  </si>
  <si>
    <t>244634</t>
  </si>
  <si>
    <t xml:space="preserve">СИНИЙ ТРАКТОР. ЦК. ГОРШОК </t>
  </si>
  <si>
    <t>978-5-378-35370-5</t>
  </si>
  <si>
    <t>9785378353705</t>
  </si>
  <si>
    <t>8051f2e2044be4840fefbee5c7cb597e</t>
  </si>
  <si>
    <t>240157</t>
  </si>
  <si>
    <t>СИНИЙ ТРАКТОР. ЦК. КТО КАК ГОВОРИТ?</t>
  </si>
  <si>
    <t>978-5-378-35220-3</t>
  </si>
  <si>
    <t>Яркие красочные книжки из плотного картона обязательно заинтересуют малышей. Забавная капибара научит их считать до 10, Синий Трактор расскажет, как говорят разные животные, а милые детские истории в стихах про любимых героев Вселенной «Проф-Пресс» увлекут маленьких слушателей и помогут настроиться на спокойные игры или сон.</t>
  </si>
  <si>
    <t>9785378352203</t>
  </si>
  <si>
    <t>Брагинец Наталья Владимировна,Гурина Ирина Валерьевна,Купырина Анна Михайловна</t>
  </si>
  <si>
    <t>36503952e1ab0fe045a70fef80b7429d</t>
  </si>
  <si>
    <t>258321</t>
  </si>
  <si>
    <t>СИНИЙ ТРАКТОР. ЦК. НАСЕКОМЫЕ</t>
  </si>
  <si>
    <t>978-5-378-35618-8</t>
  </si>
  <si>
    <t>Забавные песенки Синего Трактора про самых разных насекомых и яркие красочные иллюстрации обязательно заинтересуют маленьких слушателей. Читайте и подпевайте вместе с любимыми героями!</t>
  </si>
  <si>
    <t>9785378356188</t>
  </si>
  <si>
    <t>01f0e251f504d4165d2b62706339acc2</t>
  </si>
  <si>
    <t>278158</t>
  </si>
  <si>
    <t>СИНИЙ ТРАКТОР. ЦК. ПРАВИЛА БЕЗОПАСНОСТИ ДОМА</t>
  </si>
  <si>
    <t>978-5-378-36099-4</t>
  </si>
  <si>
    <t>Рассказывать детям о правилах безопасности нужно с раннего возраста. А с красочной серией книг и героями любимого мультфильма это можно делать без запугиваний и нравоучений, интересно и увлекательно!
Синий Трактор в стихотворной форме объяснит детям, как нужно вести себя на детской площадке и дома, обучит основам безопасности на природе и правилам дорожного движения.</t>
  </si>
  <si>
    <t>9785378360994</t>
  </si>
  <si>
    <t>f20029c6d4594caaf0ca2de4a92f0b0f</t>
  </si>
  <si>
    <t>158х219х6</t>
  </si>
  <si>
    <t>278159</t>
  </si>
  <si>
    <t>СИНИЙ ТРАКТОР. ЦК. ПРАВИЛА БЕЗОПАСНОСТИ НА ДОРОГЕ</t>
  </si>
  <si>
    <t>978-5-378-36100-7</t>
  </si>
  <si>
    <t>9785378361007</t>
  </si>
  <si>
    <t>44b9708c0bf2aae3affef567c7f5adc1</t>
  </si>
  <si>
    <t>278160</t>
  </si>
  <si>
    <t>СИНИЙ ТРАКТОР. ЦК. ПРАВИЛА БЕЗОПАСНОСТИ НА ПЛОЩАДКЕ</t>
  </si>
  <si>
    <t>978-5-378-36101-4</t>
  </si>
  <si>
    <t>9785378361014</t>
  </si>
  <si>
    <t>8336ae9d49fd58baddd09edbce9f194a</t>
  </si>
  <si>
    <t>278162</t>
  </si>
  <si>
    <t>СИНИЙ ТРАКТОР. ЦК. ПРАВИЛА БЕЗОПАСНОСТИ НА ПРИРОДЕ</t>
  </si>
  <si>
    <t>978-5-378-36102-1</t>
  </si>
  <si>
    <t>9785378361021</t>
  </si>
  <si>
    <t>8ad46f6fcc046c9e7d977317f81b2742</t>
  </si>
  <si>
    <t>245122</t>
  </si>
  <si>
    <t>ТУРБОЗАВРЫ. ЦК. АЗБУКА</t>
  </si>
  <si>
    <t>978-5-378-35354-5</t>
  </si>
  <si>
    <t>Представляем новинки - красочные картонные книжки с любимыми героями мультсериала "Туробозавры". Книги формата 160х220 из плотного картона с закруглёнными углами подойдут для маленьких читателей, познакомят их поближе с героями и помогут выучить буквы.</t>
  </si>
  <si>
    <t>9785378353545</t>
  </si>
  <si>
    <t>3cb791ed728b5a6bfff0b31e50a670dc</t>
  </si>
  <si>
    <t>248065</t>
  </si>
  <si>
    <t>ТУРБОЗАВРЫ. ЦК. ТУРБОЗАВРЫ И ДРУЗЬЯ</t>
  </si>
  <si>
    <t>978-5-378-35418-4</t>
  </si>
  <si>
    <t>9785378354184</t>
  </si>
  <si>
    <t>d5a99902daff30c398cdf5f9469c390d</t>
  </si>
  <si>
    <t>256210</t>
  </si>
  <si>
    <t>ЦВЕТНЯШКИ. ЦК. АЗБУКА</t>
  </si>
  <si>
    <t>978-5-378-35611-9</t>
  </si>
  <si>
    <t>Представляем новинки - красочные картонные книжки с любимыми героями мультсериала "Цветняшки". Книги формата 160х220 из плотного картона с закруглёнными углами подойдут для маленьких читателей, познакомят их поближе с героями и помогут выучить буквы.</t>
  </si>
  <si>
    <t>9785378356119</t>
  </si>
  <si>
    <t>805316411b3f4e97d54ac5b2da318247</t>
  </si>
  <si>
    <t>256211</t>
  </si>
  <si>
    <t>ЦВЕТНЯШКИ. ЦК. ЗНАКОМСТВО С ГЕРОЯМИ</t>
  </si>
  <si>
    <t>978-5-378-35612-6</t>
  </si>
  <si>
    <t>9785378356126</t>
  </si>
  <si>
    <t>5ae541f19e73a8810657a5d92e373e48</t>
  </si>
  <si>
    <t>080428</t>
  </si>
  <si>
    <t>ЦК 4 разворота. АЗБУКА С ЖИВОТНЫМИ</t>
  </si>
  <si>
    <t>978-5-378-28430-6</t>
  </si>
  <si>
    <t>На плотных картонных страницах книг этой серии собраны только самые лучшие стихи и сказки. Малышу безумно понравятся красочные иллюстрации, и он обязательно заинтересуется чтением. Обложки покрыты глянцевой ламинацией, что делает книгу более приятной на ощупь. Качество картона обеспечит долгое использование. Малыш не порвёт и не испортит книгу с любимой сказкой.</t>
  </si>
  <si>
    <t>9785378284306</t>
  </si>
  <si>
    <t>3b7203e284e7498d27bb175306294f30</t>
  </si>
  <si>
    <t>160x220x5</t>
  </si>
  <si>
    <t>078704</t>
  </si>
  <si>
    <t>ЦК 4 разворота. АЗБУКА. УЧИМ БУКВЫ</t>
  </si>
  <si>
    <t>978-5-378-28156-5</t>
  </si>
  <si>
    <t>9785378281565</t>
  </si>
  <si>
    <t>21.02.2018 0:00:00</t>
  </si>
  <si>
    <t>085923</t>
  </si>
  <si>
    <t>ЦК 4 разворота. АЗБУКА. УЧИМ БУКВЫ С КРОШКАМИ ПОНИ</t>
  </si>
  <si>
    <t>978-5-378-28664-5</t>
  </si>
  <si>
    <t>С обучающими книгами на картоне малыши быстро выучат буквы и цифры в лёгкой игровой форме. Яркие крупные иллюстрации обязательно понравятся маленьким читателям, а весёлые задания помогут им закрепить полученные знания.</t>
  </si>
  <si>
    <t>9785378286645</t>
  </si>
  <si>
    <t>080429</t>
  </si>
  <si>
    <t>ЦК 4 разворота. БРЕМЕНСКИЕ МУЗЫКАНТЫ. СКАЗКА В СТИХАХ</t>
  </si>
  <si>
    <t>978-5-378-28429-0</t>
  </si>
  <si>
    <t>9785378284290</t>
  </si>
  <si>
    <t>1bac103c226c6a7dd748bf3b39599017</t>
  </si>
  <si>
    <t>080431</t>
  </si>
  <si>
    <t>ЦК 4 разворота. ВОЛШЕБНЫЕ СЛОВА</t>
  </si>
  <si>
    <t>978-5-378-28431-3</t>
  </si>
  <si>
    <t>На плотных картонных страницах книг этой серии собраны только самые лучшие стихи и сказки. Малышу безумно понравятся красочные иллюстрации, и он обязательно заинтересуется чтением. Обложки покрыты глянцевой ламинацией, что делает книгу более приятной на ощупь. Качество картона обеспечит долгое использование. Малыш не порвёт и не испортит книгу с любимой сказкой</t>
  </si>
  <si>
    <t>9785378284313</t>
  </si>
  <si>
    <t>a2b1ed3bbea3824884b703f227252aa0</t>
  </si>
  <si>
    <t>078708</t>
  </si>
  <si>
    <t>ЦК 4 разворота. ВРЕМЕНА ГОДА</t>
  </si>
  <si>
    <t>978-5-378-28162-6</t>
  </si>
  <si>
    <t>9785378281626</t>
  </si>
  <si>
    <t>087048</t>
  </si>
  <si>
    <t>ЦК 4 разворота. ИЗ ЧЕГО ЭТО СДЕЛАНО?</t>
  </si>
  <si>
    <t>978-5-378-28668-3</t>
  </si>
  <si>
    <t>Обучающие книги на картоне познакомят малышей с алфавитом, цифрами, формами и цветами. Яркие забавные картинки и несложные задания помогут весело провести время и легко усвоить новую информацию!</t>
  </si>
  <si>
    <t>9785378286683</t>
  </si>
  <si>
    <t>d5b5189d66cae2ef5281a9b7219cc70f</t>
  </si>
  <si>
    <t>080432</t>
  </si>
  <si>
    <t>ЦК 4 разворота. КРАСНАЯ ШАПОЧКА</t>
  </si>
  <si>
    <t>978-5-378-28432-0</t>
  </si>
  <si>
    <t>9785378284320</t>
  </si>
  <si>
    <t>080433</t>
  </si>
  <si>
    <t>ЦК 4 разворота. МАШЕНЬКА И МЕДВЕДЬ</t>
  </si>
  <si>
    <t>978-5-378-28433-7</t>
  </si>
  <si>
    <t>9785378284337</t>
  </si>
  <si>
    <t>5d76f4fb7cef41e30945bcd7c38af47d</t>
  </si>
  <si>
    <t>078706</t>
  </si>
  <si>
    <t>ЦК 4 разворота. МОИ ПЕРВЫЕ ПОТЕШКИ</t>
  </si>
  <si>
    <t>978-5-378-28153-4</t>
  </si>
  <si>
    <t>9785378281534</t>
  </si>
  <si>
    <t>078710</t>
  </si>
  <si>
    <t>ЦК 4 разворота. ПРО МАШИНКИ И НЕ ТОЛЬКО...ТРАНСПОРТ</t>
  </si>
  <si>
    <t>978-5-378-28158-9</t>
  </si>
  <si>
    <t>9785378281589</t>
  </si>
  <si>
    <t>1586196903f5f2a56fdbcb8e95dbe495</t>
  </si>
  <si>
    <t>080435</t>
  </si>
  <si>
    <t>ЦК 4 разворота. РЕПКА. СКАЗКА В СТИХАХ</t>
  </si>
  <si>
    <t>978-5-378-28435-1</t>
  </si>
  <si>
    <t>9785378284351</t>
  </si>
  <si>
    <t>078705</t>
  </si>
  <si>
    <t>ЦК 4 разворота. С ДОБРЫМ УТРОМ, МАЛЫШИ</t>
  </si>
  <si>
    <t>978-5-378-28154-1</t>
  </si>
  <si>
    <t>9785378281541</t>
  </si>
  <si>
    <t>080436</t>
  </si>
  <si>
    <t>ЦК 4 разворота. СОРОКА-БЕЛОБОКА</t>
  </si>
  <si>
    <t>978-5-378-28436-8</t>
  </si>
  <si>
    <t>9785378284368</t>
  </si>
  <si>
    <t>078709</t>
  </si>
  <si>
    <t>ЦК 4 разворота. СЧЁТ. УЧИМ ЦИФРЫ</t>
  </si>
  <si>
    <t>978-5-378-28157-2</t>
  </si>
  <si>
    <t>9785378281572</t>
  </si>
  <si>
    <t>085922</t>
  </si>
  <si>
    <t>ЦК 4 разворота. УЧИМ ФОРМЫ</t>
  </si>
  <si>
    <t>978-5-378-28667-6</t>
  </si>
  <si>
    <t>9785378286676</t>
  </si>
  <si>
    <t>305e632893d15adc6229aade26a0aaba</t>
  </si>
  <si>
    <t>078711</t>
  </si>
  <si>
    <t>ЦК 4 разворота. УЧИМ ЦВЕТА</t>
  </si>
  <si>
    <t>978-5-378-28120-6</t>
  </si>
  <si>
    <t>9785378281206</t>
  </si>
  <si>
    <t>e3d521bed60b9cf582fd903d2cab3735</t>
  </si>
  <si>
    <t>248053</t>
  </si>
  <si>
    <t>ЦК. АЗБУКА по произведениям К.Чуковского</t>
  </si>
  <si>
    <t>978-5-378-35439-9</t>
  </si>
  <si>
    <t>9785378354399</t>
  </si>
  <si>
    <t>d0080ab9129315306f7e38ecfdc38541</t>
  </si>
  <si>
    <t>240148</t>
  </si>
  <si>
    <t>ЦК. АКУЛА МИЛА НАХОДИТ ДРУЗЕЙ</t>
  </si>
  <si>
    <t>978-5-378-35213-5</t>
  </si>
  <si>
    <t>9785378352135</t>
  </si>
  <si>
    <t>ee6f082c5a5e76e8a761931565b1d69b</t>
  </si>
  <si>
    <t>015054</t>
  </si>
  <si>
    <t>ЦК. БАРМАЛЕЙ</t>
  </si>
  <si>
    <t>978-5-378-01372-2</t>
  </si>
  <si>
    <t>9785378013722</t>
  </si>
  <si>
    <t>152891</t>
  </si>
  <si>
    <t>ЦК. БЕЛОСНЕЖКА</t>
  </si>
  <si>
    <t>978-5-378-31054-8</t>
  </si>
  <si>
    <t>9785378310548</t>
  </si>
  <si>
    <t>144084</t>
  </si>
  <si>
    <t>ЦК. БРЕМЕНСКИЕ МУЗЫКАНТЫ (новая)</t>
  </si>
  <si>
    <t>978-5-378-30788-3</t>
  </si>
  <si>
    <t>9785378307883</t>
  </si>
  <si>
    <t>152896</t>
  </si>
  <si>
    <t>ЦК. ВОЛК И СЕМЕРО КОЗЛЯТ (новая)</t>
  </si>
  <si>
    <t>978-5-378-31084-5</t>
  </si>
  <si>
    <t>Книги данной серии предназначены для самых маленьких слушателей. Любимые сказки не оставят равнодушным ни одного малыша. А вернуться к просмотру ярких, красочных иллюстраций деткам обязательно будет хотеться снова и снова.</t>
  </si>
  <si>
    <t>9785378310845</t>
  </si>
  <si>
    <t>238139</t>
  </si>
  <si>
    <t>ЦК. ВОЛЧОНОК УЧИТСЯ СРАВНИВАТЬ</t>
  </si>
  <si>
    <t>978-5-378-35117-6</t>
  </si>
  <si>
    <t>Развивающая серия книг на плотном картоне позволит в лёгкой форме познакомить самых маленьких слушателей с цветами, счётом, геометрическими фигурами и противоположностями. Автором стихов является Ирина Гурина, регулярно входящая в топ самых издаваемых писателей детской литературы. Яркие иллюстрации и простой слог сделают эти книги любимыми в домашней библиотеке малышей и их родителей!</t>
  </si>
  <si>
    <t>9785378351176</t>
  </si>
  <si>
    <t>897d8c5bfb35599f29aed1ff205f9a20</t>
  </si>
  <si>
    <t>144083</t>
  </si>
  <si>
    <t>ЦК. ГАДКИЙ УТЕНОК (новая)</t>
  </si>
  <si>
    <t>978-5-378-30781-4</t>
  </si>
  <si>
    <t>9785378307814</t>
  </si>
  <si>
    <t>213676</t>
  </si>
  <si>
    <t>ЦК. ДВА ВЕСЁЛЫХ ГУСЯ (новая)</t>
  </si>
  <si>
    <t>978-5-378-34462-8</t>
  </si>
  <si>
    <t>9785378344628</t>
  </si>
  <si>
    <t>240152</t>
  </si>
  <si>
    <t>ЦК. ДИНОЗАВРИК В ДЕТСКОМ САДУ</t>
  </si>
  <si>
    <t>978-5-378-35216-6</t>
  </si>
  <si>
    <t>9785378352166</t>
  </si>
  <si>
    <t>6fbe8eb805efb286d191ece5d87c9742</t>
  </si>
  <si>
    <t>152894</t>
  </si>
  <si>
    <t>ЦК. ДЮЙМОВОЧКА (новая)</t>
  </si>
  <si>
    <t>978-5-378-31035-7</t>
  </si>
  <si>
    <t>9785378310357</t>
  </si>
  <si>
    <t>238140</t>
  </si>
  <si>
    <t>ЦК. ЗАЙЧОНОК УЧИТСЯ СЧИТАТЬ</t>
  </si>
  <si>
    <t>978-5-378-35118-3</t>
  </si>
  <si>
    <t>9785378351183</t>
  </si>
  <si>
    <t>7e1655356072f78f92ccd1bc9ced736d</t>
  </si>
  <si>
    <t>156866</t>
  </si>
  <si>
    <t>ЦК. ЗАЮШКИНА ИЗБУШКА (новая)</t>
  </si>
  <si>
    <t>978-5-378-31351-8</t>
  </si>
  <si>
    <t>9785378313518</t>
  </si>
  <si>
    <t>156847</t>
  </si>
  <si>
    <t>ЦК. ЗИМОВЬЕ ЗВЕРЕЙ (новая)</t>
  </si>
  <si>
    <t>978-5-378-31350-1</t>
  </si>
  <si>
    <t>9785378313501</t>
  </si>
  <si>
    <t>159039</t>
  </si>
  <si>
    <t>ЦК. ИСТОРИЯ ПРО БУРАТИНО</t>
  </si>
  <si>
    <t>978-5-378-31535-2</t>
  </si>
  <si>
    <t>Представляем вашему вниманию новинки: историю про любимого Буратино, адаптированную для малышей и классическую сказку Шарля Перро "Спящая красавица". Книги имеют удобный формат, много рисунков, приятное динамичное повествование! На красочных страницах истории про Буратино оживают добряк папа Карло, озорной мальчишка Буратино, хитрая воровка лиса Алиса и другие знакомые персонажи. А спящая красавица порадует сказочными иллюстрациями.</t>
  </si>
  <si>
    <t>9785378315352</t>
  </si>
  <si>
    <t>213670</t>
  </si>
  <si>
    <t>ЦК. К.Чуковский. АЙБОЛИТ</t>
  </si>
  <si>
    <t>978-5-378-34456-7</t>
  </si>
  <si>
    <t>Эти замечательные книги предназначены для самых юных слушателей. Они познакомят малышей с Айболитом, Мойдодыром, Бармалеем, Мухой-Цокотухой и другими персонажами Корнея Чуковского. Каждую сказочную историю сопровождают  красочные иллюстрации. Они обязательно подарят детям хорошее настроение и массу положительными эмоций.</t>
  </si>
  <si>
    <t>9785378344567</t>
  </si>
  <si>
    <t>213672</t>
  </si>
  <si>
    <t>ЦК. К.Чуковский. БАРМАЛЕЙ</t>
  </si>
  <si>
    <t>978-5-378-34457-4</t>
  </si>
  <si>
    <t>9785378344574</t>
  </si>
  <si>
    <t>213674</t>
  </si>
  <si>
    <t>ЦК. К.Чуковский. МУХА-ЦОКОТУХА</t>
  </si>
  <si>
    <t>978-5-378-34459-8</t>
  </si>
  <si>
    <t>9785378344598</t>
  </si>
  <si>
    <t>213675</t>
  </si>
  <si>
    <t>ЦК. К.Чуковский. ТЕЛЕФОН</t>
  </si>
  <si>
    <t>978-5-378-34461-1</t>
  </si>
  <si>
    <t>9785378344611</t>
  </si>
  <si>
    <t>213669</t>
  </si>
  <si>
    <t>ЦК. К.Чуковский. ФЕДОРИНО ГОРЕ</t>
  </si>
  <si>
    <t>978-5-378-34455-0</t>
  </si>
  <si>
    <t>9785378344550</t>
  </si>
  <si>
    <t>244625</t>
  </si>
  <si>
    <t>ЦК. КАК КОТЕНОК ПОДЕЛИЛСЯ РАДОСТЬЮ</t>
  </si>
  <si>
    <t>978-5-378-35372-9</t>
  </si>
  <si>
    <t>9785378353729</t>
  </si>
  <si>
    <t>5950c3a338817cf9406c8435395fe58b</t>
  </si>
  <si>
    <t>244624</t>
  </si>
  <si>
    <t xml:space="preserve">ЦК. КАК МЫШОНОК ПОБЕДИЛ СТРАХ </t>
  </si>
  <si>
    <t>978-5-378-35371-2</t>
  </si>
  <si>
    <t>9785378353712</t>
  </si>
  <si>
    <t>2b6ad0227f8cac6f2fd83a1ec12d8c38</t>
  </si>
  <si>
    <t>135446</t>
  </si>
  <si>
    <t>ЦК. КОТ В САПОГАХ (новая)</t>
  </si>
  <si>
    <t>978-5-378-30465-3</t>
  </si>
  <si>
    <t>9785378304653</t>
  </si>
  <si>
    <t>240153</t>
  </si>
  <si>
    <t>ЦК. КОТЁНОК ПУХ, Я ТЕБЯ ЛЮБЛЮ!</t>
  </si>
  <si>
    <t>978-5-378-35217-3</t>
  </si>
  <si>
    <t>9785378352173</t>
  </si>
  <si>
    <t>945d1ee743adf87d50973cf6bd03d63b</t>
  </si>
  <si>
    <t>241755</t>
  </si>
  <si>
    <t>ЦК. КОТЁНОК ТИМ В ДЕРЕВНЕ</t>
  </si>
  <si>
    <t>978-5-378-35233-3</t>
  </si>
  <si>
    <t>Книжка-картонка про котёнка Тима познакомит малыша с разными звуками: как шумит ветер и капает дождик, как гудит поезд и тарахтит трактор, как звенит комарик и жужжит жук, как крякает утка и мычит корова.
Рассматривая красочные иллюстрации, ребёнок научится произносить первые звуки и узнает новые слова. Книга выполнена из плотного картона, имеет скруглённые уголки и подходит для детей от 6 месяцев.</t>
  </si>
  <si>
    <t>9785378352333</t>
  </si>
  <si>
    <t>d27b8e5212ebf23497586f2f534d4fe3</t>
  </si>
  <si>
    <t>241756</t>
  </si>
  <si>
    <t>ЦК. КОТЁНОК ТИМ ОДИН ДОМА</t>
  </si>
  <si>
    <t>978-5-378-35234-0</t>
  </si>
  <si>
    <t>9785378352340</t>
  </si>
  <si>
    <t>d340f8374c3a40776c948e393b066cbc</t>
  </si>
  <si>
    <t>165073</t>
  </si>
  <si>
    <t>ЦК. КРАСНАЯ ШАПОЧКА (мельница)</t>
  </si>
  <si>
    <t>978-5-378-31852-0</t>
  </si>
  <si>
    <t>9785378318520</t>
  </si>
  <si>
    <t>244627</t>
  </si>
  <si>
    <t xml:space="preserve">ЦК. КУРОЧКА РЯБА </t>
  </si>
  <si>
    <t>978-5-378-35367-5</t>
  </si>
  <si>
    <t>9785378353675</t>
  </si>
  <si>
    <t>7a79dcbced056bb1a19cceb9dd3153a2</t>
  </si>
  <si>
    <t>165071</t>
  </si>
  <si>
    <t>ЦК. КУРОЧКА РЯБА (в избе)</t>
  </si>
  <si>
    <t>978-5-378-31793-6</t>
  </si>
  <si>
    <t>9785378317936</t>
  </si>
  <si>
    <t>171799</t>
  </si>
  <si>
    <t>ЦК. ЛАДУШКИ-ЛАДОШКИ(Балуева)</t>
  </si>
  <si>
    <t>978-5-378-32271-8</t>
  </si>
  <si>
    <t>9785378322718</t>
  </si>
  <si>
    <t>238141</t>
  </si>
  <si>
    <t>ЦК. ЛИСЁНОК УЧИТ ЦВЕТА</t>
  </si>
  <si>
    <t>978-5-378-35119-0</t>
  </si>
  <si>
    <t>9785378351190</t>
  </si>
  <si>
    <t>fa7d2007504f5c38e9eb49880cf1bc1f</t>
  </si>
  <si>
    <t>147086</t>
  </si>
  <si>
    <t>ЦК. ЛИСИЧКА-СЕСТРИЧКА И ВОЛК</t>
  </si>
  <si>
    <t>978-5-378-30912-2</t>
  </si>
  <si>
    <t>9785378309122</t>
  </si>
  <si>
    <t>244632</t>
  </si>
  <si>
    <t xml:space="preserve">ЦК. МАЛЕНЬКИЙ ТРАКТОР. ДАВАЙ ДРУЖИТЬ </t>
  </si>
  <si>
    <t>978-5-378-35369-9</t>
  </si>
  <si>
    <t>9785378353699</t>
  </si>
  <si>
    <t>4dead28d54a868b7e045fa6caa4f96de</t>
  </si>
  <si>
    <t>244629</t>
  </si>
  <si>
    <t xml:space="preserve">ЦК. МАЛЕНЬКИЙ ТРАКТОР. ПОРА СПАТЬ </t>
  </si>
  <si>
    <t>978-5-378-35368-2</t>
  </si>
  <si>
    <t>9785378353682</t>
  </si>
  <si>
    <t>72852e3ed896dbc22ae9cf7eeea24241</t>
  </si>
  <si>
    <t>244656</t>
  </si>
  <si>
    <t xml:space="preserve">ЦК. МАЛЫШАМ О НАСЕКОМЫХ </t>
  </si>
  <si>
    <t>978-5-378-35373-6</t>
  </si>
  <si>
    <t>9785378353736</t>
  </si>
  <si>
    <t>63b087510d3e4774aa99e3a8c3ea3e4a</t>
  </si>
  <si>
    <t>270107</t>
  </si>
  <si>
    <t>ЦК. МАМЫ И МАЛЫШИ</t>
  </si>
  <si>
    <t>978-5-378-36003-1</t>
  </si>
  <si>
    <t>9785378360031</t>
  </si>
  <si>
    <t>Купырина Анна Михайловна,Строителева Анна Владимировна,Красилёва Ольга</t>
  </si>
  <si>
    <t>2ddad613c87a04793b492d2043fc14f5</t>
  </si>
  <si>
    <t>144085</t>
  </si>
  <si>
    <t>ЦК. МАШЕНЬКА И МЕДВЕДЬ (новая)</t>
  </si>
  <si>
    <t>978-5-378-30810-1</t>
  </si>
  <si>
    <t>9785378308101</t>
  </si>
  <si>
    <t>238142</t>
  </si>
  <si>
    <t>ЦК. МЕДВЕЖОНОК УЧИТ ФОРМЫ</t>
  </si>
  <si>
    <t>978-5-378-35120-6</t>
  </si>
  <si>
    <t>9785378351206</t>
  </si>
  <si>
    <t>f66ee5bf0cf1c585a668b306145141dd</t>
  </si>
  <si>
    <t>014149</t>
  </si>
  <si>
    <t>ЦК. ПЕСЕНКА ЛЬВЕНКА И ЧЕРЕПАХИ</t>
  </si>
  <si>
    <t>978-5-378-00819-3</t>
  </si>
  <si>
    <t>9785378008193</t>
  </si>
  <si>
    <t>08.02.2018 0:00:00</t>
  </si>
  <si>
    <t>147082</t>
  </si>
  <si>
    <t>ЦК. ПЕТУШОК-ЗОЛОТОЙ ГРЕБЕШОК</t>
  </si>
  <si>
    <t>978-5-378-30808-8</t>
  </si>
  <si>
    <t>9785378308088</t>
  </si>
  <si>
    <t>147083</t>
  </si>
  <si>
    <t>ЦК. ПО ЩУЧЬЕМУ ВЕЛЕНЬЮ(Новая)</t>
  </si>
  <si>
    <t>978-5-378-30911-5</t>
  </si>
  <si>
    <t>9785378309115</t>
  </si>
  <si>
    <t>240154</t>
  </si>
  <si>
    <t>ЦК. ПОДАРОК ДЛЯ МАМЫ</t>
  </si>
  <si>
    <t>978-5-378-35218-0</t>
  </si>
  <si>
    <t>9785378352180</t>
  </si>
  <si>
    <t>a814ecf72ab095a6d4b41d3819351515</t>
  </si>
  <si>
    <t>244636</t>
  </si>
  <si>
    <t xml:space="preserve">ЦК. РЕПКА </t>
  </si>
  <si>
    <t>978-5-378-35362-0</t>
  </si>
  <si>
    <t>9785378353620</t>
  </si>
  <si>
    <t>ee1593ea072f3e85c55a0c6b540d38ac</t>
  </si>
  <si>
    <t>160х220</t>
  </si>
  <si>
    <t>128325</t>
  </si>
  <si>
    <t>ЦК. РЕПКА (новая)</t>
  </si>
  <si>
    <t>978-5-378-30093-8</t>
  </si>
  <si>
    <t>9785378300938</t>
  </si>
  <si>
    <t>014416</t>
  </si>
  <si>
    <t>ЦК. СЕРЕНЬКИЙ КОЗЛИК</t>
  </si>
  <si>
    <t>978-5-378-00966-4</t>
  </si>
  <si>
    <t>9785378009664</t>
  </si>
  <si>
    <t>14.02.2017 0:00:00</t>
  </si>
  <si>
    <t>248054</t>
  </si>
  <si>
    <t>ЦК. СКАЗКА О РЫБАКЕ И РЫБКЕ</t>
  </si>
  <si>
    <t>978-5-378-35448-1</t>
  </si>
  <si>
    <t>9785378354481</t>
  </si>
  <si>
    <t>244639</t>
  </si>
  <si>
    <t>ЦК. СКАЗКА О РЫБАКЕ И РЫБКЕ. ПУШКИН</t>
  </si>
  <si>
    <t>978-5-378-35364-4</t>
  </si>
  <si>
    <t>9785378353644</t>
  </si>
  <si>
    <t>152893</t>
  </si>
  <si>
    <t>ЦК. СНЕЖНАЯ КОРОЛЕВА</t>
  </si>
  <si>
    <t>978-5-378-31056-2</t>
  </si>
  <si>
    <t>9785378310562</t>
  </si>
  <si>
    <t>013845</t>
  </si>
  <si>
    <t>ЦК. СОРОКА-СОРОКА</t>
  </si>
  <si>
    <t>978-5-378-00594-9</t>
  </si>
  <si>
    <t>9785378005949</t>
  </si>
  <si>
    <t>152897</t>
  </si>
  <si>
    <t>ЦК. СПИ, МОЯ РАДОСТЬ, УСНИ</t>
  </si>
  <si>
    <t>978-5-378-31085-2</t>
  </si>
  <si>
    <t>9785378310852</t>
  </si>
  <si>
    <t>161329</t>
  </si>
  <si>
    <t>ЦК. СПЯЩАЯ КРАСАВИЦА</t>
  </si>
  <si>
    <t>978-5-378-31664-9</t>
  </si>
  <si>
    <t>9785378316649</t>
  </si>
  <si>
    <t>240150</t>
  </si>
  <si>
    <t>ЦК. ТРАКТОР ВИК И ЕГО КОМАНДА СПАСАЮТ ЛЕС</t>
  </si>
  <si>
    <t>978-5-378-35215-9</t>
  </si>
  <si>
    <t>9785378352159</t>
  </si>
  <si>
    <t>240149</t>
  </si>
  <si>
    <t>ЦК. ТРАКТОР ВИК И ЕГО ПОЖАРНАЯ КОМАНДА</t>
  </si>
  <si>
    <t>978-5-378-35214-2</t>
  </si>
  <si>
    <t>9785378352142</t>
  </si>
  <si>
    <t>144086</t>
  </si>
  <si>
    <t>ЦК. ТРИ ПОРОСЁНКА (новая)</t>
  </si>
  <si>
    <t>978-5-378-30809-5</t>
  </si>
  <si>
    <t>9785378308095</t>
  </si>
  <si>
    <t>161330</t>
  </si>
  <si>
    <t>ЦК. УЧИМСЯ ПРАВИЛЬНО... ПОЧЕМУ НАДО ЧИСТИТЬ ЗУБЫ (Купырина)</t>
  </si>
  <si>
    <t>978-5-378-31663-2</t>
  </si>
  <si>
    <t>9785378316632</t>
  </si>
  <si>
    <t>240155</t>
  </si>
  <si>
    <t>ЦК. УЧИМСЯ СЧИТАТЬ С КАПИБАРОЙ</t>
  </si>
  <si>
    <t>978-5-378-35219-7</t>
  </si>
  <si>
    <t>9785378352197</t>
  </si>
  <si>
    <t>636300a5dbf79ad986cb61dd510101be</t>
  </si>
  <si>
    <t>152898</t>
  </si>
  <si>
    <t>ЦК. ЦАРЕВНА-ЛЯГУШКА</t>
  </si>
  <si>
    <t>978-5-378-31086-9</t>
  </si>
  <si>
    <t>9785378310869</t>
  </si>
  <si>
    <t>265823</t>
  </si>
  <si>
    <t>ЦК. Я НЕ БОЮСЬ</t>
  </si>
  <si>
    <t>978-5-378-35904-2</t>
  </si>
  <si>
    <t>Серия книг «Развиваем эмоциональный интеллект» поможет детям в лёгкой стихотворной форме познакомиться со страхом, злостью, обидой и ревностью. Каждая книга выполнена ярко и красочно, поэтому привлечет внимание малыша и заинтересует его. Ребёнок может самостоятельно рассматривать картинки, искать знакомых животных, а родитель после прочтения стихотворений может объяснить эмоции зверей, вспомнить похожие ситуации из жизни ребёнка и на примере персонажей показать, как правильнее справляться с ними.</t>
  </si>
  <si>
    <t>9785378359042</t>
  </si>
  <si>
    <t>0a86311472951b33e79d2a9c0b519309</t>
  </si>
  <si>
    <t>265808</t>
  </si>
  <si>
    <t>ЦК. Я НЕ ЗЛЮСЬ</t>
  </si>
  <si>
    <t>978-5-378-35901-1</t>
  </si>
  <si>
    <t>9785378359011</t>
  </si>
  <si>
    <t>05d21bc07b48fefd1794f7c874ec3380</t>
  </si>
  <si>
    <t>265822</t>
  </si>
  <si>
    <t>ЦК. Я НЕ ОБИЖАЮСЬ</t>
  </si>
  <si>
    <t>978-5-378-35903-5</t>
  </si>
  <si>
    <t>9785378359035</t>
  </si>
  <si>
    <t>c6d225036c1fa73de008f8d62af66cc8</t>
  </si>
  <si>
    <t>265821</t>
  </si>
  <si>
    <t>ЦК. Я НЕ РЕВНУЮ</t>
  </si>
  <si>
    <t>978-5-378-35902-8</t>
  </si>
  <si>
    <t>9785378359028</t>
  </si>
  <si>
    <t>0776c600a1da373a35df6c888702cd14</t>
  </si>
  <si>
    <t>270078</t>
  </si>
  <si>
    <t>ЦЫП-ЦЫП. ЦК. ДАВАЙ ДРУЖИТЬ</t>
  </si>
  <si>
    <t>978-5-378-35997-4</t>
  </si>
  <si>
    <t>9785378359974</t>
  </si>
  <si>
    <t>d3c84b8bb596936fde17a2b4b77afeaf</t>
  </si>
  <si>
    <t>CЕРИЯ: КНИЖКИ НА КАРТОНЕ ЦЕЛЬНОКРЫТЫЕ МИНИ глянц. ламин. обл. 110х150</t>
  </si>
  <si>
    <t>281370</t>
  </si>
  <si>
    <t>КОТЭ. ЦК-МИНИ. ЖИВОТНЫЕ</t>
  </si>
  <si>
    <t>9785-378-36183-0</t>
  </si>
  <si>
    <t>Мини-формат наших новых книг с героями любимого мультсериала "Котёнок Котэ" позволит уместить их в кармане или сумочке, а значит, вам с малышом точно не будет скучно в дороге или в очереди в поликлинику. Благодаря плотному картону ребенок сможет сам листать страницы — яркие картинки надолго займут его внимание.</t>
  </si>
  <si>
    <t>9785378361830</t>
  </si>
  <si>
    <t>281371</t>
  </si>
  <si>
    <t>КОТЭ. ЦК-МИНИ. МАШИНКИ</t>
  </si>
  <si>
    <t>978-5-378-36184-7</t>
  </si>
  <si>
    <t>9785378361847</t>
  </si>
  <si>
    <t>281372</t>
  </si>
  <si>
    <t>КОТЭ. ЦК-МИНИ. СЧЁТ</t>
  </si>
  <si>
    <t>978-5-378-36185-4</t>
  </si>
  <si>
    <t>9785378361854</t>
  </si>
  <si>
    <t>281374</t>
  </si>
  <si>
    <t>КОТЭ. ЦК-МИНИ. ЦВЕТА</t>
  </si>
  <si>
    <t>978-5-378-36186-1</t>
  </si>
  <si>
    <t>9785378361861</t>
  </si>
  <si>
    <t>258300</t>
  </si>
  <si>
    <t>КОШЕЧКИ-СОБАЧКИ. ЦК-МИНИ. МИР ВОКРУГ</t>
  </si>
  <si>
    <t>978-5-378-35660-7</t>
  </si>
  <si>
    <t>Новая серия книг на картоне в мини формате познакомит детей с цветами, формами, счётом и миром вокруг нас. Компактный формат 107х150 мм и скругленные углы наших новых книг позволят уместить их в кармане или сумочке, а значит, вам с малышом точно не будет скучно в дороге или в очереди в поликлинику. Благодаря плотному картону ребенок сможет сам листать страницы — яркие картинки надолго займут его внимание. Занимательные книжки с любимыми героями точно понравятся вашему малышу!</t>
  </si>
  <si>
    <t>9785378356607</t>
  </si>
  <si>
    <t>e976206c1961bc5f3e3257838ee32498</t>
  </si>
  <si>
    <t>258302</t>
  </si>
  <si>
    <t>КОШЕЧКИ-СОБАЧКИ. ЦК-МИНИ. ФОРМЫ</t>
  </si>
  <si>
    <t>978-5-378-35661-4</t>
  </si>
  <si>
    <t>9785378356614</t>
  </si>
  <si>
    <t>e6b7f9c44560b09e3152df6e2d1d6023</t>
  </si>
  <si>
    <t>270084</t>
  </si>
  <si>
    <t>МАСТЕР ВИТЯ И МОТОР. ЦК МИНИ. УЧИМСЯ СЧИТАТЬ</t>
  </si>
  <si>
    <t>978-5-378-35999-8</t>
  </si>
  <si>
    <t>Представляем замечательные новинки для наших маленьких читателей — красочные картонные книжки с любимыми героями мультсериалов «Цып-Цып» и «Мастер Витя и Мотор», выполненные в удобном мини-формате 105х150 мм. Каждая книга — это не только встреча с любимыми персонажами, но и полезное знакомство с основами знаний. Вместе с Цыплёнком Цыпом и его друзьями малыши легко и с удовольствием запомнят основные цвета, а первые шаги в математике сделают с изобретательным Витей и его друзьями. Книжки изготовлены из плотного и прочного картона, а специально закругленные уголки делают каждую страницу безопасной даже для самых нежных детских ручек, позволяя малышам самостоятельно листать книгу и снова и снова встречаться с яркими и знакомыми персонажами.</t>
  </si>
  <si>
    <t>9785378359998</t>
  </si>
  <si>
    <t>e3851519daf6b262d53db8da5d31fea2</t>
  </si>
  <si>
    <t>232083</t>
  </si>
  <si>
    <t>МИ-МИ-МИШКИ. ЦК-МИНИ. НАСТОЯЩИЕ ДРУЗЬЯ</t>
  </si>
  <si>
    <t>978-5-378-34842-8</t>
  </si>
  <si>
    <t>Занимательные книжки с любимыми героями мультфильма "МИ-МИ-МИШКИ" точно понравятся вашему малышу! Читайте весёлую историю и дома, и в пути, ведь благодаря удобному формату маленькие книжки удобно брать с собой.</t>
  </si>
  <si>
    <t>9785378348428</t>
  </si>
  <si>
    <t>667df44faa00683815e7ed77fdd74fb6</t>
  </si>
  <si>
    <t>232085</t>
  </si>
  <si>
    <t>СИНИЙ ТРАКТОР. ЦК-МИНИ. ГОРШОК</t>
  </si>
  <si>
    <t>978-5-378-34844-2</t>
  </si>
  <si>
    <t>Занимательные книжки с любимыми героями точно понравятся вашему малышу! Читайте весёлые стихи вместе с Синим Трактором и дома, и в пути, ведь благодаря удобному формату маленькие книжки удобно брать с собой.</t>
  </si>
  <si>
    <t>9785378348442</t>
  </si>
  <si>
    <t>b91395000aca9cc1d5635c09db844536</t>
  </si>
  <si>
    <t>232088</t>
  </si>
  <si>
    <t>СИНИЙ ТРАКТОР. ЦК-МИНИ. ДОМАШНИЕ ЖИВОТНЫЕ</t>
  </si>
  <si>
    <t>978-5-378-34846-6</t>
  </si>
  <si>
    <t>9785378348466</t>
  </si>
  <si>
    <t>1d06f2d665011e5654821e7301f5e8c1</t>
  </si>
  <si>
    <t>232086</t>
  </si>
  <si>
    <t>СИНИЙ ТРАКТОР. ЦК-МИНИ. ПОЛЕЗНЫЕ МАШИНКИ</t>
  </si>
  <si>
    <t>978-5-378-34843-5</t>
  </si>
  <si>
    <t>9785378348435</t>
  </si>
  <si>
    <t>1321cf1c4f51a7f5933be4064e4d1fcc</t>
  </si>
  <si>
    <t>127943</t>
  </si>
  <si>
    <t>СИНИЙ ТРАКТОР. ЦК-МИНИ. СЧЁТ</t>
  </si>
  <si>
    <t>978-5-378-30038-9</t>
  </si>
  <si>
    <t>Занимательные книжки с любимыми героями точно понравятся вашему малышу! Вместе с Синим трактором ребёнок легко сможет освоить устный счёт, а также изучить основные цвета.</t>
  </si>
  <si>
    <t>9785378300389</t>
  </si>
  <si>
    <t>127944</t>
  </si>
  <si>
    <t>СИНИЙ ТРАКТОР. ЦК-МИНИ. ЦВЕТА</t>
  </si>
  <si>
    <t>978-5-378-30039-6</t>
  </si>
  <si>
    <t>9785378300396</t>
  </si>
  <si>
    <t>232084</t>
  </si>
  <si>
    <t>СУПЕРМЯУ. ЦК-МИНИ. СЧЁТ</t>
  </si>
  <si>
    <t>978-5-378-34845-9</t>
  </si>
  <si>
    <t>Занимательные книжки с любимыми героями точно понравятся вашему малышу! Вместе с СУПЕРМЯУ ребёнок познакомится с цифрами и научится считать до 10.</t>
  </si>
  <si>
    <t>9785378348459</t>
  </si>
  <si>
    <t>1200c2b910255f2e43b4e341fb40a83e</t>
  </si>
  <si>
    <t>232079</t>
  </si>
  <si>
    <t>ТРИ КОТА. ЦК-МИНИ. АРБУЗНЫЙ ДЕНЬ</t>
  </si>
  <si>
    <t>978-5-378-34802-2</t>
  </si>
  <si>
    <t>Занимательные книжки с любимыми героями точно понравятся вашему малышу! Читайте весёлые истории про Коржика, Карамельку и Компота дома и в пути, ведь благодаря удобному формату маленькие книжки удобно брать с собой.</t>
  </si>
  <si>
    <t>9785378348022</t>
  </si>
  <si>
    <t>ece7a8c7f253f22f1b0cc4153abca233</t>
  </si>
  <si>
    <t>101903</t>
  </si>
  <si>
    <t>ТРИ КОТА. ЦК-МИНИ. АТТРАКЦИОНЫ</t>
  </si>
  <si>
    <t>978-5-378-29024-6</t>
  </si>
  <si>
    <t>Каждый день Коржика,Компота и Карамельки наполнен забавными приключениями. Читайте об этом на страницах новых мини-книг три кота.</t>
  </si>
  <si>
    <t>9785378290246</t>
  </si>
  <si>
    <t>059353</t>
  </si>
  <si>
    <t>ТРИ КОТА. ЦК-МИНИ. ДЕНЬ РОЖДЕНИЯ МАМЫ</t>
  </si>
  <si>
    <t>978-5-378-27170-2</t>
  </si>
  <si>
    <t>9785378271702</t>
  </si>
  <si>
    <t>30.10.2017 0:00:00</t>
  </si>
  <si>
    <t>Книги на картоне (цельнокрытые) Три кота</t>
  </si>
  <si>
    <t>059352</t>
  </si>
  <si>
    <t>ТРИ КОТА. ЦК-МИНИ. ДЕНЬ СТРАШИЛОК</t>
  </si>
  <si>
    <t>978-5-378-27171-9</t>
  </si>
  <si>
    <t>9785378271719</t>
  </si>
  <si>
    <t>059351</t>
  </si>
  <si>
    <t>ТРИ КОТА. ЦК-МИНИ. ИГРА В ДОКТОРА</t>
  </si>
  <si>
    <t>978-5-378-27173-3</t>
  </si>
  <si>
    <t>Каждый день Коржика, Компота и Карамельки наполнен забавными приключениями. Читайте об этом на страницах новых мини-книг три кота.</t>
  </si>
  <si>
    <t>9785378271733</t>
  </si>
  <si>
    <t>077603</t>
  </si>
  <si>
    <t>ТРИ КОТА. ЦК-МИНИ. КОМАНДИРОВКА</t>
  </si>
  <si>
    <t>978-5-378-27963-0</t>
  </si>
  <si>
    <t>9785378279630</t>
  </si>
  <si>
    <t>01.02.2018 0:00:00</t>
  </si>
  <si>
    <t>232080</t>
  </si>
  <si>
    <t>ТРИ КОТА. ЦК-МИНИ. ЛЕСНЫЕ КОТИКИ</t>
  </si>
  <si>
    <t>978-5-378-34803-9</t>
  </si>
  <si>
    <t>9785378348039</t>
  </si>
  <si>
    <t>76ebd68d24a21080c606ba06d3bc8366</t>
  </si>
  <si>
    <t>077604</t>
  </si>
  <si>
    <t>ТРИ КОТА. ЦК-МИНИ. МОЛОЧНЫЙ ЗУБ</t>
  </si>
  <si>
    <t>978-5-378-26503-9</t>
  </si>
  <si>
    <t>9785378265039</t>
  </si>
  <si>
    <t>059354</t>
  </si>
  <si>
    <t>ТРИ КОТА. ЦК-МИНИ. ПОХОД  В МАГАЗИН</t>
  </si>
  <si>
    <t>978-5-378-27172-6</t>
  </si>
  <si>
    <t>9785378271726</t>
  </si>
  <si>
    <t>232081</t>
  </si>
  <si>
    <t>ТРИ КОТА. ЦК-МИНИ. ПРИНЦЕССА КАРАМЕЛЬКА</t>
  </si>
  <si>
    <t>978-5-378-34804-6</t>
  </si>
  <si>
    <t>9785378348046</t>
  </si>
  <si>
    <t>8c84fe1958e4c1075135c27e70bc7b98</t>
  </si>
  <si>
    <t>101901</t>
  </si>
  <si>
    <t>ТРИ КОТА. ЦК-МИНИ. РЕМОНТ</t>
  </si>
  <si>
    <t>978-5-378-29025-3</t>
  </si>
  <si>
    <t>9785378290253</t>
  </si>
  <si>
    <t>258299</t>
  </si>
  <si>
    <t>ТУРБОЗАВРЫ. ЦК-МИНИ. СЧЁТ ОТ 1 ДО 10</t>
  </si>
  <si>
    <t>978-5-378-35659-1</t>
  </si>
  <si>
    <t>9785378356591</t>
  </si>
  <si>
    <t>aafe6d1e08b1da0cb052b45aa53465d6</t>
  </si>
  <si>
    <t>258298</t>
  </si>
  <si>
    <t>ТУРБОЗАВРЫ. ЦК-МИНИ. ЦВЕТА И ФОРМЫ</t>
  </si>
  <si>
    <t>978-5-378-35658-4</t>
  </si>
  <si>
    <t>9785378356584</t>
  </si>
  <si>
    <t>47d7aa74bf72f84823a8f823dfab3848</t>
  </si>
  <si>
    <t>258304</t>
  </si>
  <si>
    <t>ЦВЕТНЯШКИ. ЦК-МИНИ. СЧИТАЕМ С ЦВЕТНЯШКАМИ</t>
  </si>
  <si>
    <t>978-5-378-35662-1</t>
  </si>
  <si>
    <t>9785378356621</t>
  </si>
  <si>
    <t>a4f0c71d3bc0e3c0cbfcdbbb28c1b34c</t>
  </si>
  <si>
    <t>258305</t>
  </si>
  <si>
    <t>ЦВЕТНЯШКИ. ЦК-МИНИ. УЧИМ ЦВЕТА С ЦВЕТНЯШКАМИ</t>
  </si>
  <si>
    <t>978-5-378-35663-8</t>
  </si>
  <si>
    <t>9785378356638</t>
  </si>
  <si>
    <t>8685078bad31b6ca7e8af3b0b61fc7f7</t>
  </si>
  <si>
    <t>113385</t>
  </si>
  <si>
    <t>ЦК МИНИ. АЗБУКА ПО СЛОГАМ</t>
  </si>
  <si>
    <t>978-5-378-29460-2</t>
  </si>
  <si>
    <t>Новые книги небольшого формата идеально подойдут для маленьких ручек! Малышам понравится листать книжки и рассматривать милые картинки, а родители с удовольствием прочитают детям весёлые потешки и любимые сказки.</t>
  </si>
  <si>
    <t>9785378294602</t>
  </si>
  <si>
    <t>110x150x6</t>
  </si>
  <si>
    <t>113394</t>
  </si>
  <si>
    <t>ЦК МИНИ. В. МАЯКОВСКИЙ. ЧТО ТАКОЕ ХОРОШО И ЧТО ТАКОЕ ПЛОХО?</t>
  </si>
  <si>
    <t>978-5-378-29463-3</t>
  </si>
  <si>
    <t>9785378294633</t>
  </si>
  <si>
    <t>261451</t>
  </si>
  <si>
    <t>ЦК МИНИ. ВОЛК И СЕМЕРО КОЗЛЯТ</t>
  </si>
  <si>
    <t>978-5-378-35761-1</t>
  </si>
  <si>
    <t>Мини-формат наших новых книг с любимыми сказками позволит уместить их в кармане или сумочке, а значит, вам с малышом точно не будет скучно в дороге или в очереди в поликлинику. Благодаря плотному картону ребенок сможет сам листать страницы — яркие картинки надолго займут его внимание.</t>
  </si>
  <si>
    <t>9785378357611</t>
  </si>
  <si>
    <t>06c5aea963ea6cb3a0cea7f3dbf47bb5</t>
  </si>
  <si>
    <t>016075</t>
  </si>
  <si>
    <t>ЦК МИНИ. ВОЛК И СЕМЕРО КОЗЛЯТ (КОЗА В ШЛЯПКЕ)</t>
  </si>
  <si>
    <t>978-5-378-02167-3</t>
  </si>
  <si>
    <t>Картонные книги с глянцевой ламинацией мини станут замечательным дополнением любой детской книжной полки. Издание подходит даже для самых маленьких. Малыш не порвёт плотный картон, и вы сможете читать любимую сказку снова и снова. Ребёнок сам сможет почувствовать себя полноценным читателем: благодаря маленькому формату малыш без труда будет самостоятельно держать книжку и перелистывать страницы. Глянцевая ламинация делает книгу ещё более привлекательной и приятной на ощупь.</t>
  </si>
  <si>
    <t>9785378021673</t>
  </si>
  <si>
    <t>270094</t>
  </si>
  <si>
    <t>ЦК МИНИ. ДАВАЙ ДРУЖИТЬ!</t>
  </si>
  <si>
    <t>978-5-378-35983-7</t>
  </si>
  <si>
    <t>Пополните библиотеку вашего малыша нашей яркой серией картонных книг маленького формата!
С помощью этих книг ваш кроха научится различать звуки основных животных и познакомится с режимом дня! А милая книга «Я люблю маму!» расскажет малышу о том, почему мама так важна в жизни каждого из нас.
Благодаря плотному картону и закруглённым уголкам книги будут служить ребенку очень долгое время. Маленький формат удобен тем, что эти книжки можно будет легко взять с собой в дорогу, они не займут много места, зато помогут интересно и с пользой провести время с малышом за пределами дома. А еще эти мини-книжки легко помещаются в детских ручках. Малыш сам сможет держать книги, представляя, что он читает их самостоятельно!</t>
  </si>
  <si>
    <t>9785378359837</t>
  </si>
  <si>
    <t>fd77829e4abeefb41ac79c3f4a5de28c</t>
  </si>
  <si>
    <t>230917</t>
  </si>
  <si>
    <t>ЦК МИНИ. ДВА ВЕСЁЛЫХ ГУСЯ</t>
  </si>
  <si>
    <t>978-5-378-34826-8</t>
  </si>
  <si>
    <t>Давайте знакомить детей с домашними и дикими животными, овощами и фруктами, а также самыми популярными сказками. Мини-формат наших новых книг позволит уместить их в кармане или сумочке, а значит, вам с малышом точно не будет скучно в дороге или в очереди в поликлинику. Благодаря плотному картону ребенок сможет сам листать страницы — яркие картинки надолго займут его внимание.</t>
  </si>
  <si>
    <t>9785378348268</t>
  </si>
  <si>
    <t>ред. Гринина Ольга</t>
  </si>
  <si>
    <t>110660</t>
  </si>
  <si>
    <t>ЦК МИНИ. ДЕЛАЕМ ЗАРЯДКУ!</t>
  </si>
  <si>
    <t>978-5-378-29287-5</t>
  </si>
  <si>
    <t>Заботиться о здоровье нужно с самых ранних лет! Новые мини-книжки расскажут малышам, как важно регулярно чистить зубы, мыть руки с мылом! Делать зарядку и правильно питаться!</t>
  </si>
  <si>
    <t>9785378292875</t>
  </si>
  <si>
    <t>110663</t>
  </si>
  <si>
    <t>ЦК МИНИ. ДЕНЬ В ДЕРЕВНЕ</t>
  </si>
  <si>
    <t>978-5-378-29303-2</t>
  </si>
  <si>
    <t>Яркие мини-книжечки расскажут малышам о том: кого можно встретить на ферме, как проходит день принцессы, в какие путешествия отправляется пират, как отважный пожарный всегда готов прийти на помощь!</t>
  </si>
  <si>
    <t>9785378293032</t>
  </si>
  <si>
    <t>Романова Елена Анатольевна</t>
  </si>
  <si>
    <t>230907</t>
  </si>
  <si>
    <t>ЦК МИНИ. ДЮЙМОВОЧКА</t>
  </si>
  <si>
    <t>978-5-378-34818-3</t>
  </si>
  <si>
    <t>9785378348183</t>
  </si>
  <si>
    <t>118875</t>
  </si>
  <si>
    <t>ЦК МИНИ. ЕНОТИК</t>
  </si>
  <si>
    <t>978-5-378-29601-9</t>
  </si>
  <si>
    <t>9785378296019</t>
  </si>
  <si>
    <t>261453</t>
  </si>
  <si>
    <t>ЦК МИНИ. ЗАЮШКИНА ИЗБУШКА</t>
  </si>
  <si>
    <t>978-5-378-35763-5</t>
  </si>
  <si>
    <t>9785378357635</t>
  </si>
  <si>
    <t>79f9ad2a66a406f5a979c291c9af3b3d</t>
  </si>
  <si>
    <t>267750</t>
  </si>
  <si>
    <t>ЦК МИНИ. КАКОЙ ЭТО ЦВЕТ?</t>
  </si>
  <si>
    <t>978-5-378-35911-0</t>
  </si>
  <si>
    <t>Серия "Книжки для малыша и малышки" - это яркие понятные иллюстрации и коротенькие простые стишки. Компактный формат идеален для первого чтения и подходит для маленьких детских ручек. С этими книгами ребенок будет узнавать животных, их детенышей, что они едят и где живут, а также знакомиться с цветами предметов.</t>
  </si>
  <si>
    <t>9785378359110</t>
  </si>
  <si>
    <t>a0c993375477020c8c68f4ff097941d7</t>
  </si>
  <si>
    <t>118876</t>
  </si>
  <si>
    <t>ЦК МИНИ. КОТЁНОК</t>
  </si>
  <si>
    <t>978-5-378-29602-6</t>
  </si>
  <si>
    <t>9785378296026</t>
  </si>
  <si>
    <t>230919</t>
  </si>
  <si>
    <t>ЦК МИНИ. КОШКИН ДОМ</t>
  </si>
  <si>
    <t>978-5-378-34827-5</t>
  </si>
  <si>
    <t>9785378348275</t>
  </si>
  <si>
    <t>230911</t>
  </si>
  <si>
    <t>ЦК МИНИ. КРАСНАЯ ШАПОЧКА</t>
  </si>
  <si>
    <t>978-5-378-34821-3</t>
  </si>
  <si>
    <t>9785378348213</t>
  </si>
  <si>
    <t>270102</t>
  </si>
  <si>
    <t>ЦК МИНИ. КТО КАК ГОВОРИТ?</t>
  </si>
  <si>
    <t>978-5-378-36000-0</t>
  </si>
  <si>
    <t>Пополните библиотеку вашего малыша нашей яркой серией картонных книг маленького формата!
С помощью этих книг ваш кроха научится различать звуки основных животных и познакомится с режимом дня! А милая книга «Я люблю маму!» расскажет малышу о том, почему мама так важна в жизни каждого из нас.
Благодаря плотному картону и закругленным уголкам книги будут служить ребенку очень долгое время. Маленький формат удобен тем, что эти книжки можно будет легко взять с собой в дорогу, они не займут много места, зато помогут интересно и с пользой провести время с малышом за пределами дома. А еще эти мини-книжки легко помещаются в детских ручках. Малыш сам сможет держать книги, представляя, что он читает их самостоятельно!</t>
  </si>
  <si>
    <t>9785378360000</t>
  </si>
  <si>
    <t>Строителева Анна Владимировна,Купырина Анна Михайловна</t>
  </si>
  <si>
    <t>12619a8fef904bfe97d3bfd43d062ec3</t>
  </si>
  <si>
    <t>267753</t>
  </si>
  <si>
    <t>ЦК МИНИ. КТО ЧТО ЕСТ?</t>
  </si>
  <si>
    <t>978-5-378-35912-7</t>
  </si>
  <si>
    <t>9785378359127</t>
  </si>
  <si>
    <t>e5ff516933c783a4d3dfa332a71aed4d</t>
  </si>
  <si>
    <t>230902</t>
  </si>
  <si>
    <t>ЦК МИНИ. КУРОЧКА РЯБА</t>
  </si>
  <si>
    <t>978-5-378-34814-5</t>
  </si>
  <si>
    <t>9785378348145</t>
  </si>
  <si>
    <t>098416</t>
  </si>
  <si>
    <t>ЦК МИНИ. ЛЕСНЫЕ ЖИВОТНЫЕ</t>
  </si>
  <si>
    <t>978-5-378-28945-5</t>
  </si>
  <si>
    <t>Новая серия мини-книжек о животных обязательно понравится малышам. Яркие фотографии, милые стихи, интересные факты и забавные задания помогут привлечь внимание маленьких непосед, а удобный карманный формат позволит взять эти книжки с собой, чтобы скоротать время в пути.</t>
  </si>
  <si>
    <t>9785378289455</t>
  </si>
  <si>
    <t>1+</t>
  </si>
  <si>
    <t>230913</t>
  </si>
  <si>
    <t>ЦК МИНИ. ЛИСИЧКА-СЕСТРИЧКА И СЕРЫЙ ВОЛК</t>
  </si>
  <si>
    <t>978-5-378-34822-0</t>
  </si>
  <si>
    <t>9785378348220</t>
  </si>
  <si>
    <t>124235</t>
  </si>
  <si>
    <t>ЦК МИНИ. МАМЫ И МАЛЫШИ</t>
  </si>
  <si>
    <t>978-5-378-29885-3</t>
  </si>
  <si>
    <t>Книги данной серии предназначены для самых маленьких слушателей. Они познакомят малышей с удивительными животными и интересными профессиями. А ещё расскажут о материнской заботе и о том, как важно помогать маме по дому. Книги имеют небольшой формат, комфортный для детской ручки.</t>
  </si>
  <si>
    <t>9785378298853</t>
  </si>
  <si>
    <t>270096</t>
  </si>
  <si>
    <t>ЦК МИНИ. МОЙ ЛЮБИМЫЙ ПИТОМЕЦ</t>
  </si>
  <si>
    <t>978-5-378-35985-1</t>
  </si>
  <si>
    <t>9785378359851</t>
  </si>
  <si>
    <t>b34910fe30f8f0bed70bc2b3990941a5</t>
  </si>
  <si>
    <t>270097</t>
  </si>
  <si>
    <t>ЦК МИНИ. МОЯ СЕМЬЯ</t>
  </si>
  <si>
    <t>978-5-378-35984-4</t>
  </si>
  <si>
    <t>9785378359844</t>
  </si>
  <si>
    <t>fb42e4ac4f17fc9db09737c5505b5b7b</t>
  </si>
  <si>
    <t>260238</t>
  </si>
  <si>
    <t>ЦК МИНИ. ОВОЩИ, ФРУКТЫ, ЯГОДЫ</t>
  </si>
  <si>
    <t>978-5-378-35719-2</t>
  </si>
  <si>
    <t>Картонные книги формата мини - то, что нужно для малышей! Плотный картон и яркие картинки привлекут внимание ребят. В книге 6 разворотов из плотного картона для изучения новых для малыша тем. кругленные углы обеспечивают эстетичность и безопасность в использовании.</t>
  </si>
  <si>
    <t>9785378357192</t>
  </si>
  <si>
    <t>0004a327198a864bf7ae9572d29d81b4</t>
  </si>
  <si>
    <t>258295</t>
  </si>
  <si>
    <t>ЦК МИНИ. ПОРА НА ГОРШОК</t>
  </si>
  <si>
    <t>978-5-378-35654-6</t>
  </si>
  <si>
    <t>Занимательные книжки с яркими милыми иллюстрациями обязательно увлекут малышей. Добрые забавные стихи помогут ребёнку сказать «Прощай!» подгузникам и освоить важный навык — пользование горшком. Вместе с главными героями малыш поймёт, что это гораздо удобнее и даёт возможность почувствовать себя взрослее и увереннее в себе. Читайте дома и в пути, ведь благодаря удобному формату эти мини-книжки удобно брать с собой.</t>
  </si>
  <si>
    <t>9785378356546</t>
  </si>
  <si>
    <t>531ff0e201de54aea4d56aa40ea9f2be</t>
  </si>
  <si>
    <t>270101</t>
  </si>
  <si>
    <t>ЦК МИНИ. РЕЖИМ ДНЯ</t>
  </si>
  <si>
    <t>978-5-378-36001-7</t>
  </si>
  <si>
    <t>9785378360017</t>
  </si>
  <si>
    <t>94a85e61a0818150bed61492ca1c39d0</t>
  </si>
  <si>
    <t>230903</t>
  </si>
  <si>
    <t>ЦК МИНИ. РЕПКА</t>
  </si>
  <si>
    <t>978-5-378-34815-2</t>
  </si>
  <si>
    <t>9785378348152</t>
  </si>
  <si>
    <t>270099</t>
  </si>
  <si>
    <t>ЦК МИНИ. СКОРЕЕ НА ГОРШОК!</t>
  </si>
  <si>
    <t>978-5-378-36002-4</t>
  </si>
  <si>
    <t>9785378360024</t>
  </si>
  <si>
    <t>8c7028f55446e465135f1852169780ee</t>
  </si>
  <si>
    <t>261452</t>
  </si>
  <si>
    <t>ЦК МИНИ. ТЕРЕМОК</t>
  </si>
  <si>
    <t>978-5-378-35762-8</t>
  </si>
  <si>
    <t>9785378357628</t>
  </si>
  <si>
    <t>e689f9fd0a4c40415d3a5549e6383693</t>
  </si>
  <si>
    <t>230916</t>
  </si>
  <si>
    <t>ЦК МИНИ. ТРИ МЕДВЕДЯ</t>
  </si>
  <si>
    <t>978-5-378-34825-1</t>
  </si>
  <si>
    <t>9785378348251</t>
  </si>
  <si>
    <t>267752</t>
  </si>
  <si>
    <t>ЦК МИНИ. ЧЕЙ ЭТО ДОМИК?</t>
  </si>
  <si>
    <t>978-5-378-35913-4</t>
  </si>
  <si>
    <t>9785378359134</t>
  </si>
  <si>
    <t>007afcb06c70d86592ec77fc21ccad2f</t>
  </si>
  <si>
    <t>267751</t>
  </si>
  <si>
    <t>ЦК МИНИ. ЧЕЙ ЭТО МАЛЫШ?</t>
  </si>
  <si>
    <t>978-5-378-35914-1</t>
  </si>
  <si>
    <t>9785378359141</t>
  </si>
  <si>
    <t>0b76312588972c277d65d78c8f2ba19f</t>
  </si>
  <si>
    <t>258296</t>
  </si>
  <si>
    <t>ЦК МИНИ. Я ИДУ К ВРАЧУ</t>
  </si>
  <si>
    <t>978-5-378-35656-0</t>
  </si>
  <si>
    <t>Занимательные книжки с яркими милыми иллюстрациями обязательно увлекут малышей. Добрые стихи расскажут о том, какие болезни лечат разные врачи: педиатр, стоматолог, отоларинголог, офтальмолог, травматолог, – и почему их не стоит бояться. Читайте дома и в пути, ведь благодаря удобному формату эти мини-книжки удобно брать с собой.</t>
  </si>
  <si>
    <t>9785378356560</t>
  </si>
  <si>
    <t>99bd60d1c3b551f8811d5000828a9af4</t>
  </si>
  <si>
    <t>270098</t>
  </si>
  <si>
    <t>ЦК МИНИ. Я ЛЮБЛЮ МАМУ!</t>
  </si>
  <si>
    <t>978-5-378-35986-8</t>
  </si>
  <si>
    <t>9785378359868</t>
  </si>
  <si>
    <t>0cd688d7722ef9050bbcab66bde7ed89</t>
  </si>
  <si>
    <t>258297</t>
  </si>
  <si>
    <t>ЦК МИНИ. Я НЕ БОЮСЬ</t>
  </si>
  <si>
    <t>978-5-378-35655-3</t>
  </si>
  <si>
    <t>Занимательные книжки с яркими милыми иллюстрациями обязательно увлекут малышей. Главный герой – маленький, но смелый мальчик. Он в стихах расскажет о том, почему не стоит бояться монстров и темноты, ходить к врачу, спать одному в комнате и ошибаться, когда учишься делать что-то новое. Читайте дома и в пути, ведь благодаря удобному формату эти мини-книжки удобно брать с собой.</t>
  </si>
  <si>
    <t>9785378356553</t>
  </si>
  <si>
    <t>e381d7da1d09fbde7485c468539429d2</t>
  </si>
  <si>
    <t>269297</t>
  </si>
  <si>
    <t>ЦЫП-ЦЫП. ЦК-МИНИ. УЧИМ ЦВЕТА</t>
  </si>
  <si>
    <t>978-5-378-35979-0</t>
  </si>
  <si>
    <t>9785378359790</t>
  </si>
  <si>
    <t>4b35a786ffe8a58b0af496019786a7f0</t>
  </si>
  <si>
    <t>CЕРИЯ: КНИЖКИ НА КАРТОНЕ ЦК "ЛИПУЧКИ" 5 разворотов, глянц.ламинация 160х220</t>
  </si>
  <si>
    <t>248062</t>
  </si>
  <si>
    <t>ЦК. ЛИПУЧКИ. ДОМАШНИЕ ЖИВОТНЫЕ</t>
  </si>
  <si>
    <t>978-5-378-35442-9</t>
  </si>
  <si>
    <t>Книжка на картоне с фигурками на липучках – незаменимый помощник в обучении и раннем развитии малышей. Занимаясь вместе со взрослыми, дети узнают много интересного об окружающем мире, расширят кругозор и пополнят словарный запас. Интерактивная игра с липучками тренирует мелкую моторику рук, развивает сенсорное восприятие и логическое мышление. На каждом развороте малышей ждут познавательные факты, весёлые загадки, задания и вопросы.</t>
  </si>
  <si>
    <t>9785378354429</t>
  </si>
  <si>
    <t>0dd468a92c579a390d01a28abcd56c97</t>
  </si>
  <si>
    <t>248061</t>
  </si>
  <si>
    <t>ЦК. ЛИПУЧКИ. ЖИВОТНЫЙ МИР</t>
  </si>
  <si>
    <t>978-5-378-35441-2</t>
  </si>
  <si>
    <t>9785378354412</t>
  </si>
  <si>
    <t>fbfd1ea6ab60bdcb22076ae62731c4aa</t>
  </si>
  <si>
    <t>248064</t>
  </si>
  <si>
    <t>ЦК. ЛИПУЧКИ. СИНИЙ ТРАКТОР И ДРУЗЬЯ</t>
  </si>
  <si>
    <t>978-5-378-35443-6</t>
  </si>
  <si>
    <t>9785378354436</t>
  </si>
  <si>
    <t>e75bb1e82a43d0030215de22e0c6a2cd</t>
  </si>
  <si>
    <t>248063</t>
  </si>
  <si>
    <t>ЦК. ЛИПУЧКИ. ТРАНСПОРТ</t>
  </si>
  <si>
    <t>978-5-378-35444-3</t>
  </si>
  <si>
    <t>9785378354443</t>
  </si>
  <si>
    <t>5f487b1aec98216024633e6525602b4b</t>
  </si>
  <si>
    <t>CЕРИЯ: КНИЖКИ НА КАРТОНЕ ЦК "МАЛЕНЬКИЙ ТРАКТОР" 5 разворотов, 145х145</t>
  </si>
  <si>
    <t>242340</t>
  </si>
  <si>
    <t>ЦК 145х145. МАЛЕНЬКИЙ ТРАКТОР. ДАВАЙ ДРУЖИТЬ</t>
  </si>
  <si>
    <t>978-5-378-35238-8</t>
  </si>
  <si>
    <t xml:space="preserve">Серия «Маленький трактор» – это картонные мини-книжки, в которых главный герой – тракторенок – учится дружить, помогать в поле, преодолевать страхи и засыпать – легко и вовремя. </t>
  </si>
  <si>
    <t>9785378352388</t>
  </si>
  <si>
    <t>8642632d4337aba8fcc33c0745f9afcc</t>
  </si>
  <si>
    <t>15.01.2025 0:00:00</t>
  </si>
  <si>
    <t>142х144х5</t>
  </si>
  <si>
    <t>242341</t>
  </si>
  <si>
    <t>ЦК 145х145. МАЛЕНЬКИЙ ТРАКТОР. НЕ БОЙСЯ</t>
  </si>
  <si>
    <t>978-5-378-35239-5</t>
  </si>
  <si>
    <t>9785378352395</t>
  </si>
  <si>
    <t>0c2fd35ac4319f697ea436cbe1d7e17e</t>
  </si>
  <si>
    <t>242342</t>
  </si>
  <si>
    <t>ЦК 145х145. МАЛЕНЬКИЙ ТРАКТОР. ПОРА СПАТЬ</t>
  </si>
  <si>
    <t>978-5-378-35240-1</t>
  </si>
  <si>
    <t>9785378352401</t>
  </si>
  <si>
    <t>8f7cd6592f596da1ea019285e8be5168</t>
  </si>
  <si>
    <t>242343</t>
  </si>
  <si>
    <t>ЦК 145х145. МАЛЕНЬКИЙ ТРАКТОР. Я ПОМОЩНИК</t>
  </si>
  <si>
    <t>978-5-378-35241-8</t>
  </si>
  <si>
    <t>9785378352418</t>
  </si>
  <si>
    <t>4ccf3137e9cbda3644e591b1bccbf81c</t>
  </si>
  <si>
    <t>CЕРИЯ: КНИЖКИ НА КАРТОНЕ ЦК "ПЕРВЫЕ МАШИНКИ" 5 разворотов 145х145</t>
  </si>
  <si>
    <t>211317</t>
  </si>
  <si>
    <t>ЦК 145х145. ПЕРВЫЕ МАШИНКИ. ПОМОЩНИКИ</t>
  </si>
  <si>
    <t>978-5-378-35751-2</t>
  </si>
  <si>
    <t>9785378357512</t>
  </si>
  <si>
    <t>c471b47545153f42032530f6b20a620a</t>
  </si>
  <si>
    <t>145х145х5</t>
  </si>
  <si>
    <t>211318</t>
  </si>
  <si>
    <t>ЦК 145х145. ПЕРВЫЕ МАШИНКИ. СПАСАТЕЛИ</t>
  </si>
  <si>
    <t>978-5-378-35752-9</t>
  </si>
  <si>
    <t>9785378357529</t>
  </si>
  <si>
    <t>21eec56f310e1ebd038e4fba397e1693</t>
  </si>
  <si>
    <t>211320</t>
  </si>
  <si>
    <t>ЦК 145х145. ПЕРВЫЕ МАШИНКИ. СПОРТИВНЫЕ МАШИНЫ</t>
  </si>
  <si>
    <t>978-5-378-35753-6</t>
  </si>
  <si>
    <t>9785378357536</t>
  </si>
  <si>
    <t>402548d97f60ec3d951407ccd281dd08</t>
  </si>
  <si>
    <t>211319</t>
  </si>
  <si>
    <t>ЦК 145х145. ПЕРВЫЕ МАШИНКИ. СТРОИТЕЛИ</t>
  </si>
  <si>
    <t>978-5-378-35754-3</t>
  </si>
  <si>
    <t>9785378357543</t>
  </si>
  <si>
    <t>eb89ffe930099c391bd517b25751ca95</t>
  </si>
  <si>
    <t>CЕРИЯ: КНИЖКИ НА КАРТОНЕ ЦК 5 разворотов, круг.угол. 145х145</t>
  </si>
  <si>
    <t>248076</t>
  </si>
  <si>
    <t>ЦК 145х145. АЗБУКА (новая)</t>
  </si>
  <si>
    <t>978-5-378-35450-4</t>
  </si>
  <si>
    <t>9785378354504</t>
  </si>
  <si>
    <t>84d2dc058f8e9870938cbd7f5b9c133c</t>
  </si>
  <si>
    <t>248078</t>
  </si>
  <si>
    <t>ЦК 145х145. ВЕСЁЛЫЙ ТРАНСПОРТ</t>
  </si>
  <si>
    <t>978-5-378-35451-1</t>
  </si>
  <si>
    <t>9785378354511</t>
  </si>
  <si>
    <t>98de51dd807c8f8141726b973cf9f1a0</t>
  </si>
  <si>
    <t>248079</t>
  </si>
  <si>
    <t>ЦК 145х145. ДОМАШНИЕ ЖИВОТНЫЕ</t>
  </si>
  <si>
    <t>978-5-378-35452-8</t>
  </si>
  <si>
    <t>9785378354528</t>
  </si>
  <si>
    <t>acd0190b74436e16153017df81fa6516</t>
  </si>
  <si>
    <t>248082</t>
  </si>
  <si>
    <t>ЦК 145х145. КТО ТАК ГОВОРИТ?</t>
  </si>
  <si>
    <t>978-5-378-35453-5</t>
  </si>
  <si>
    <t>9785378354535</t>
  </si>
  <si>
    <t>d35e25f1c85f9c45d767e46e2d945165</t>
  </si>
  <si>
    <t>248083</t>
  </si>
  <si>
    <t>ЦК 145х145. МАМЫ И МАЛЫШИ</t>
  </si>
  <si>
    <t>978-5-378-35454-2</t>
  </si>
  <si>
    <t>9785378354542</t>
  </si>
  <si>
    <t>b4df230fe1321638914a5998cea12cd5</t>
  </si>
  <si>
    <t>248084</t>
  </si>
  <si>
    <t>ЦК 145х145. МОЙ ДОМ</t>
  </si>
  <si>
    <t>978-5-378-35455-9</t>
  </si>
  <si>
    <t>9785378354559</t>
  </si>
  <si>
    <t>bfdb96069178dfcdaeffa147482668c2</t>
  </si>
  <si>
    <t>248085</t>
  </si>
  <si>
    <t>ЦК 145х145. ОВОЩИ, ФРУКТЫ, ЯГОДЫ</t>
  </si>
  <si>
    <t>978-5-378-35456-6</t>
  </si>
  <si>
    <t>9785378354566</t>
  </si>
  <si>
    <t>0aea68fdd529d873f8bf75b0fe6727a9</t>
  </si>
  <si>
    <t>248086</t>
  </si>
  <si>
    <t>ЦК 145х145. ПОТЕШКИ</t>
  </si>
  <si>
    <t>978-5-378-35457-3</t>
  </si>
  <si>
    <t>9785378354573</t>
  </si>
  <si>
    <t>7686757d727affb9b9d33c9c20fa45c3</t>
  </si>
  <si>
    <t>248087</t>
  </si>
  <si>
    <t>ЦК 145х145. СЧЁТ (новая)</t>
  </si>
  <si>
    <t>978-5-378-35458-0</t>
  </si>
  <si>
    <t>9785378354580</t>
  </si>
  <si>
    <t>1cdc9152ed5508eaa5a08dfd19630e52</t>
  </si>
  <si>
    <t>248088</t>
  </si>
  <si>
    <t>ЦК 145х145. УЧИМ ЦВЕТА</t>
  </si>
  <si>
    <t>978-5-378-35459-7</t>
  </si>
  <si>
    <t>9785378354597</t>
  </si>
  <si>
    <t>09d1df531289d0903fb872ee79d89929</t>
  </si>
  <si>
    <t>248089</t>
  </si>
  <si>
    <t>ЦК 145х145. ФОРМЫ (новая)</t>
  </si>
  <si>
    <t>978-5-378-35460-3</t>
  </si>
  <si>
    <t>9785378354603</t>
  </si>
  <si>
    <t>fa72d5a14a5c216cbb1db7e955ee993a</t>
  </si>
  <si>
    <t>248090</t>
  </si>
  <si>
    <t>ЦК 145х145. ЧЕЙ ЭТО ДОМИК</t>
  </si>
  <si>
    <t>978-5-378-35461-0</t>
  </si>
  <si>
    <t>9785378354610</t>
  </si>
  <si>
    <t>685f81b8c96401e1d5c0f346275ca54d</t>
  </si>
  <si>
    <t>CЕРИЯ: КНИЖКИ НА КАРТОНЕ ЦК 8 разворотов 195х195</t>
  </si>
  <si>
    <t>271663</t>
  </si>
  <si>
    <t>ЦК 8 разворотов 195х195. АТЛАС МИРА</t>
  </si>
  <si>
    <t>978-5-378-36022-2</t>
  </si>
  <si>
    <t>Для чего нужен скелет? Кто изобрёл автомобиль и велосипед? Что особенного в разных материках нашей планеты? Откуда в кране вода, а в лампочке – свет? Ответы на эти и многие другие вопросы дадут книги новой серии. Они помогут родителям просто и коротко рассказать о сложных вещах и понятиях. Яркие иллюстрации увлекут малышей, а плотный картон позволит перелистывать страницы снова и снова, не боясь их порвать.</t>
  </si>
  <si>
    <t>9785378360222</t>
  </si>
  <si>
    <t>364ff26be94d09beae62b1ec0cf120ac</t>
  </si>
  <si>
    <t>193х194х8</t>
  </si>
  <si>
    <t>271657</t>
  </si>
  <si>
    <t>ЦК 8 разворотов 195х195. ОТКУДА В ДОМЕ БЕРЕТСЯ?..</t>
  </si>
  <si>
    <t>978-5-378-36019-2</t>
  </si>
  <si>
    <t>9785378360192</t>
  </si>
  <si>
    <t>fec2640c255bd587fee76fbde0d5cb6e</t>
  </si>
  <si>
    <t>271659</t>
  </si>
  <si>
    <t>ЦК 8 разворотов 195х195. ТЕЛО ЧЕЛОВЕКА</t>
  </si>
  <si>
    <t>978-5-378-36020-8</t>
  </si>
  <si>
    <t>9785378360208</t>
  </si>
  <si>
    <t>a2cda173c34f6b66afc2ba6d1cfc9e25</t>
  </si>
  <si>
    <t>271662</t>
  </si>
  <si>
    <t>ЦК 8 разворотов 195х195. ТРАНСПОРТ. ВСЁ, ЧТО ЕДЕТ, ЛЕТИТ, ПЛЫВЁТ</t>
  </si>
  <si>
    <t>978-5-378-36021-5</t>
  </si>
  <si>
    <t>9785378360215</t>
  </si>
  <si>
    <t>8dbb434545a4feb2d72fcada3d710be3</t>
  </si>
  <si>
    <t>CЕРИЯ: ЦК "КВАДРАТНЫЕ КНИГИ" 5 разворотов, глянц.ламин 180х180</t>
  </si>
  <si>
    <t>267376</t>
  </si>
  <si>
    <t>ЦК. КВАДРАТНЫЕ КНИГИ 180х180. КТО КАК ГОВОРИТ?</t>
  </si>
  <si>
    <t>978-5-378-35934-9</t>
  </si>
  <si>
    <t>Представляем новую серию ярких картонных книжек для самых маленьких читателей. Благодаря этой серии книг ваш малыш научится различать звуки животных, узнает как зовут животных-мам и их детенышей, познакомится с режимом дня и научится самостоятельно ходить на горшок! Плотный картон и закруглённые уголки обеспечат долговечность книг и безопасность вашему малышу, а красочные картинки и милые герои точно вызовут у ребенка улыбку и восторг. Эти книжки точно станут фаворитами в библиотеке вашего малыша и помогут привить ему любовь и интерес к чтению!</t>
  </si>
  <si>
    <t>9785378359349</t>
  </si>
  <si>
    <t>Купырина Анна Михайловна,Строителева Анна Владимировна</t>
  </si>
  <si>
    <t>7b847eb9f65923a80621187c046b32dd</t>
  </si>
  <si>
    <t>178х178х6</t>
  </si>
  <si>
    <t>267378</t>
  </si>
  <si>
    <t>ЦК. КВАДРАТНЫЕ КНИГИ 180х180. МАМЫ И МАЛЫШИ</t>
  </si>
  <si>
    <t>978-5-378-35936-3</t>
  </si>
  <si>
    <t>9785378359363</t>
  </si>
  <si>
    <t xml:space="preserve">Купырина Анна Михайловна,Строителева Анна Владимировна,Красилёва Ольга </t>
  </si>
  <si>
    <t>6a038bd6c123a3ecc5520c77b6d19440</t>
  </si>
  <si>
    <t>267375</t>
  </si>
  <si>
    <t>ЦК. КВАДРАТНЫЕ КНИГИ 180х180. РЕЖИМ ДНЯ</t>
  </si>
  <si>
    <t>978-5-378-35935-6</t>
  </si>
  <si>
    <t>9785378359356</t>
  </si>
  <si>
    <t>db3640a268303bafd63ff241a11a5678</t>
  </si>
  <si>
    <t>267373</t>
  </si>
  <si>
    <t>ЦК. КВАДРАТНЫЕ КНИГИ 180х180. СКОРЕЕ НА ГОРШОК!</t>
  </si>
  <si>
    <t>978-5-378-35933-2</t>
  </si>
  <si>
    <t>9785378359332</t>
  </si>
  <si>
    <t>6169d410f644ae880b9d11b2be5918b3</t>
  </si>
  <si>
    <t>CЕРИЯ: ЦК "ФОТОКНИГА ДЛЯ МАЛЫШЕЙ" 5 разворотов, круг.углы 160х220</t>
  </si>
  <si>
    <t>249492</t>
  </si>
  <si>
    <t>ЦК. ФОТОКНИГА ДЛЯ МАЛЫШЕЙ. ЖИВОТНЫЕ</t>
  </si>
  <si>
    <t>978-5-378-35486-3</t>
  </si>
  <si>
    <t>Новая серия книг на картоне "Фотокнига для малышей" увлечет ребенка надолго и поможет в игровой форме запомнить много новых слов. На каждом развороте малыш будет знакомиться с новыми словами и предметами, сможет играть в "найди и покажи", отыскивая и считая заданные предметы, отвечать на вопросы, выучит счёт и цвета. Занятия с книгой будут способствовать расширению кругозора и развитию речи. В серию входят "Транспорт", "Счёт", "Животные", "Цвета".</t>
  </si>
  <si>
    <t>9785378354863</t>
  </si>
  <si>
    <t>39417f4583f085ccd0ee4440ecf0d2cd</t>
  </si>
  <si>
    <t>249491</t>
  </si>
  <si>
    <t>ЦК. ФОТОКНИГА ДЛЯ МАЛЫШЕЙ. ИЗУЧАЕМ ЦВЕТА</t>
  </si>
  <si>
    <t>978-5-378-35485-6</t>
  </si>
  <si>
    <t>9785378354856</t>
  </si>
  <si>
    <t>5ccb5438958492cf893c7a05f05b14f8</t>
  </si>
  <si>
    <t>249495</t>
  </si>
  <si>
    <t>ЦК. ФОТОКНИГА ДЛЯ МАЛЫШЕЙ. СЧЁТ</t>
  </si>
  <si>
    <t>978-5-378-35488-7</t>
  </si>
  <si>
    <t>9785378354887</t>
  </si>
  <si>
    <t>adcc6def561cd9f81a46c8eab71f68ca</t>
  </si>
  <si>
    <t>249493</t>
  </si>
  <si>
    <t>ЦК. ФОТОКНИГА ДЛЯ МАЛЫШЕЙ. ТРАНСПОРТ</t>
  </si>
  <si>
    <t>978-5-378-35487-0</t>
  </si>
  <si>
    <t>9785378354870</t>
  </si>
  <si>
    <t>451b84939085dbce8e8e14255989c772</t>
  </si>
  <si>
    <t>КНИГИ НА КАРТОНЕ МАКСИ 235х315  7 разворотов</t>
  </si>
  <si>
    <t>091804</t>
  </si>
  <si>
    <t>книги на картоне МАКСИ 235х310  7 разворотов. Путешествие во времени</t>
  </si>
  <si>
    <t>978-5-378-28783-3</t>
  </si>
  <si>
    <t>Предлагаем отправиться в захватывающее путешествие в прошлое! И для этого тебе не понадобится машина времени. Просто открой книгу и ты побываешь в Древнем Египте, Древнем Китае, Древнем Риме и даже сможешь увидеть первобытных людей! Разглядывать яркие забавные картинки с множеством деталей понравится не только детям, но и взрослым. Сможешь ли ты найти все ошибки истории? Проверь свою внимательность! Приятного путешествия!</t>
  </si>
  <si>
    <t>9785378287833</t>
  </si>
  <si>
    <t>235x310x10</t>
  </si>
  <si>
    <t>171680</t>
  </si>
  <si>
    <t>книги на картоне МАКСИ 235х315  7 разворотов. Волшебные истории. Виммельбух для девочек</t>
  </si>
  <si>
    <t>978-5-378-32277-0</t>
  </si>
  <si>
    <t>Вместе с этими книжками вы отправитесь в увлекательное приключение в мир динозавров, сможете побывать в стране единорогов и русалок, а также познакомиться с необычными животными. Разглядывать яркие забавные картинки с множеством деталей понравится не только детям, но и взрослым. Сможете ли вы найти все спрятанные предметы и отгадать все загадки? Открывайте книгу - и давайте проверим, насколько вы внимательны!</t>
  </si>
  <si>
    <t>9785378322770</t>
  </si>
  <si>
    <t>СЕРИЯ: КНИЖКИ С ОКОШКАМИ глянц. ламин</t>
  </si>
  <si>
    <t>236306</t>
  </si>
  <si>
    <t>КНИЖКА С ОКОШКАМИ 235х315. МОЯ ПЕРВАЯ ЭНЦИКЛОПЕДИЯ</t>
  </si>
  <si>
    <t>978-5-378-34934-0</t>
  </si>
  <si>
    <t>Знаешь ли ты, детёныши каких животных любят молоко? Зачем человеку нужен скелет? Почему идёт дождь? В этой книге ты найдёшь ответы на эти и многие другие вопросы! Открывай её и отправляйся в увлекательное путешествие в мир знаний! Только не забудь заглянуть в окошки – там много интересного!</t>
  </si>
  <si>
    <t>9785378349340</t>
  </si>
  <si>
    <t>c79268767f665d040895cd962ccf3e07</t>
  </si>
  <si>
    <t>11.09.2024 0:00:00</t>
  </si>
  <si>
    <t>СЕРИЯ: КНИЖКИ-МАЛЫШКИ С ОКОШКАМИ глянц. ламин 120х120</t>
  </si>
  <si>
    <t>221862</t>
  </si>
  <si>
    <t>КНИЖКА-МАЛЫШКА С ОКОШКАМИ. Счёт от 1 до 5</t>
  </si>
  <si>
    <t>978-5-378-34610-3</t>
  </si>
  <si>
    <t>Новая серия книжек с окошками про животных, счёт и формы предназначена для самых маленьких «читателей». На каждом развороте их ждут милые иллюстрации, стихи и загадка, ответ на которую можно узнать, открыв окошко. Страницы выполнены из качественного картона, поэтому малыши смогут долго играть с любимой книжкой. А благодаря глянцевой ламинации цвета останутся яркими и насыщенными.</t>
  </si>
  <si>
    <t>9785378346103</t>
  </si>
  <si>
    <t>120х120х6</t>
  </si>
  <si>
    <t>221863</t>
  </si>
  <si>
    <t>КНИЖКА-МАЛЫШКА С ОКОШКАМИ. Формы</t>
  </si>
  <si>
    <t>978-5-378-34611-0</t>
  </si>
  <si>
    <t>9785378346110</t>
  </si>
  <si>
    <t>С ЧАСИКАМИ</t>
  </si>
  <si>
    <t>СЕРИЯ: ВЫРУБКИ НА КАРТОНЕ С ЧАСИКАМИ гл. ламин. 157х215</t>
  </si>
  <si>
    <t>017315</t>
  </si>
  <si>
    <t>ВЫРУБКА С ЧАСАМИ. МОЙ ДЕНЬ</t>
  </si>
  <si>
    <t>978-5-378-02934-1</t>
  </si>
  <si>
    <t>Книги из этой серии помогут малышу с лёгкостью научиться определять время по часам. Обучение не будет навязчивым, ведь оно сопровождается яркими иллюстрациями и весёлыми стихотворениями. Эти познавательные книги имеют красочный циферблат с двигающимися стрелками. Ребёнок без труда поймёт, как определять время и совсем скоро начнёт делать это самостоятельно. Малыш будет в восторге от такой волшебной книжки!</t>
  </si>
  <si>
    <t>9785378029341</t>
  </si>
  <si>
    <t>Степанов Владимир Александрович</t>
  </si>
  <si>
    <t>Книги на картоне с часиками</t>
  </si>
  <si>
    <t>157x215x6</t>
  </si>
  <si>
    <t>СЕРИЯ: ВЫРУБКИ НА КАРТОНЕ С ЧАСИКАМИ И ГЛАЗКАМИ гл. ламин. 160х220</t>
  </si>
  <si>
    <t>121662</t>
  </si>
  <si>
    <t>ВЫРУБКА С ЧАСИКАМИ И ГЛАЗКАМИ. В ГОСТЯХ У БАБУШКИ</t>
  </si>
  <si>
    <t>978-5-378-29720-7</t>
  </si>
  <si>
    <t>"Часики с глазками" - это познавательные книжки, с помощью которых ваш малыш научится: -определять время, -узнает, что показывает длинная стрелка, а что-короткая, -сам сможет выставлять время на ярком циферблате.</t>
  </si>
  <si>
    <t>9785378297207</t>
  </si>
  <si>
    <t>153x220x6</t>
  </si>
  <si>
    <t>91. ОНИКС</t>
  </si>
  <si>
    <t>117732</t>
  </si>
  <si>
    <t>ОНИКС. Вундеркидз. Вилвудская академия</t>
  </si>
  <si>
    <t>978-5-4451-0618-0</t>
  </si>
  <si>
    <t xml:space="preserve">Если вам 15 лет и вас приглашают совершенно бесплатно учиться в таинственной академии, о которой никто не слышал и у которой даже нет веб-сайта, то можно не сомневаться - приключения уже рядом. 
Новая школа оказывается роскошной, уютной и... очень странной. У юной Ники появляются новые подруги, друзья, она с энтузиазмом посещает не совсем обычные уроки. Вилдвудская академия расположена в очень романтичном месте, будто специально созданном для того, чтобы влюбляться. И, конечно, сердце юной девушки недолго остается свободным. Но кого же ей предпочесть? Ироничного, избалованного вниманием Зака или доброго, верного Тристана?
А вскоре выясняется, что любовный треугольник - лишь верхушка айсберга из тех проблем, с которыми предстоит разобраться Нике. Респектабельная Вилдвудская академия оказывается совсем не тем учебным заведением, каким хочет казаться. </t>
  </si>
  <si>
    <t>9785445106180</t>
  </si>
  <si>
    <t>Ж.Сильвестр</t>
  </si>
  <si>
    <t>130х205х25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</si>
</sst>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
    <numFmt numFmtId="165" formatCode="0.00000"/>
    <numFmt numFmtId="166" formatCode="0.0000"/>
    <numFmt numFmtId="167" formatCode="0.0"/>
  </numFmts>
  <fonts count="13" x14ac:knownFonts="1">
    <font>
      <sz val="8"/>
      <name val="Arial"/>
      <family val="2"/>
      <charset val="204"/>
    </font>
    <font>
      <b/>
      <sz val="18"/>
      <name val="Arial"/>
      <family val="2"/>
      <charset val="204"/>
    </font>
    <font>
      <sz val="10"/>
      <name val="Arial"/>
      <family val="2"/>
      <charset val="204"/>
    </font>
    <font>
      <b/>
      <sz val="12"/>
      <name val="Arial"/>
      <family val="2"/>
      <charset val="204"/>
    </font>
    <font>
      <sz val="11"/>
      <name val="Arial"/>
      <family val="2"/>
      <charset val="204"/>
    </font>
    <font>
      <b/>
      <sz val="8"/>
      <name val="Arial"/>
      <family val="2"/>
      <charset val="204"/>
    </font>
    <font>
      <b/>
      <u/>
      <sz val="12"/>
      <color indexed="12"/>
      <name val="Arial"/>
      <family val="2"/>
      <charset val="204"/>
    </font>
    <font>
      <b/>
      <sz val="12"/>
      <color indexed="12"/>
      <name val="Arial"/>
      <family val="2"/>
      <charset val="204"/>
    </font>
    <font>
      <b/>
      <i/>
      <u/>
      <sz val="9"/>
      <color indexed="8"/>
      <name val="Arial"/>
      <family val="2"/>
      <charset val="204"/>
    </font>
    <font>
      <b/>
      <i/>
      <sz val="9"/>
      <color indexed="8"/>
      <name val="Arial"/>
      <family val="2"/>
      <charset val="204"/>
    </font>
    <font>
      <b/>
      <sz val="8"/>
      <color indexed="10"/>
      <name val="Arial"/>
      <family val="2"/>
      <charset val="204"/>
    </font>
    <font>
      <b/>
      <sz val="10"/>
      <name val="Arial"/>
      <family val="2"/>
      <charset val="204"/>
    </font>
    <font>
      <sz val="8"/>
      <color indexed="8"/>
      <name val="Arial"/>
      <family val="2"/>
      <charset val="204"/>
    </font>
  </fonts>
  <fills count="5">
    <fill>
      <patternFill patternType="none"/>
    </fill>
    <fill>
      <patternFill patternType="gray125"/>
    </fill>
    <fill>
      <patternFill patternType="solid">
        <fgColor indexed="27"/>
        <bgColor indexed="64"/>
      </patternFill>
    </fill>
    <fill>
      <patternFill patternType="solid">
        <fgColor indexed="13"/>
        <bgColor indexed="64"/>
      </patternFill>
    </fill>
    <fill>
      <patternFill patternType="solid">
        <fgColor indexed="24"/>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10"/>
      </left>
      <right style="medium">
        <color indexed="10"/>
      </right>
      <top style="medium">
        <color indexed="10"/>
      </top>
      <bottom style="medium">
        <color indexed="1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62">
    <xf numFmtId="0" fontId="0" fillId="0" borderId="0" xfId="0" applyNumberFormat="1" applyFont="1" applyFill="1" applyBorder="1" applyAlignment="1" applyProtection="1"/>
    <xf numFmtId="0" fontId="1" fillId="0" borderId="0" xfId="0" applyNumberFormat="1" applyFont="1" applyAlignment="1">
      <alignment horizontal="left"/>
    </xf>
    <xf numFmtId="1" fontId="0" fillId="0" borderId="1" xfId="0" applyNumberFormat="1" applyFont="1" applyBorder="1" applyAlignment="1">
      <alignment horizontal="right" vertical="top"/>
    </xf>
    <xf numFmtId="0" fontId="0" fillId="0" borderId="2" xfId="0" applyNumberFormat="1" applyFont="1" applyBorder="1" applyAlignment="1">
      <alignment vertical="top" wrapText="1"/>
    </xf>
    <xf numFmtId="0" fontId="0" fillId="0" borderId="2" xfId="0" applyNumberFormat="1" applyFont="1" applyBorder="1" applyAlignment="1">
      <alignment vertical="top"/>
    </xf>
    <xf numFmtId="1" fontId="0" fillId="3" borderId="1" xfId="0" applyNumberFormat="1" applyFont="1" applyFill="1" applyBorder="1" applyAlignment="1">
      <alignment horizontal="right" vertical="top"/>
    </xf>
    <xf numFmtId="0" fontId="0" fillId="3" borderId="2" xfId="0" applyNumberFormat="1" applyFont="1" applyFill="1" applyBorder="1" applyAlignment="1">
      <alignment vertical="top" wrapText="1"/>
    </xf>
    <xf numFmtId="0" fontId="0" fillId="3" borderId="2" xfId="0" applyNumberFormat="1" applyFont="1" applyFill="1" applyBorder="1" applyAlignment="1">
      <alignment vertical="top"/>
    </xf>
    <xf numFmtId="0" fontId="10" fillId="0" borderId="2" xfId="0" applyNumberFormat="1" applyFont="1" applyBorder="1" applyAlignment="1">
      <alignment horizontal="center" vertical="top"/>
    </xf>
    <xf numFmtId="0" fontId="0" fillId="0" borderId="2" xfId="0" applyNumberFormat="1" applyFont="1" applyBorder="1" applyAlignment="1">
      <alignment horizontal="left" vertical="top" wrapText="1"/>
    </xf>
    <xf numFmtId="0" fontId="0" fillId="0" borderId="2" xfId="0" applyNumberFormat="1" applyFont="1" applyBorder="1" applyAlignment="1">
      <alignment horizontal="right" vertical="top"/>
    </xf>
    <xf numFmtId="1" fontId="0" fillId="0" borderId="2" xfId="0" applyNumberFormat="1" applyFont="1" applyBorder="1" applyAlignment="1">
      <alignment horizontal="right" vertical="top"/>
    </xf>
    <xf numFmtId="0" fontId="10" fillId="3" borderId="2" xfId="0" applyNumberFormat="1" applyFont="1" applyFill="1" applyBorder="1" applyAlignment="1">
      <alignment horizontal="center" vertical="top"/>
    </xf>
    <xf numFmtId="0" fontId="0" fillId="3" borderId="2" xfId="0" applyNumberFormat="1" applyFont="1" applyFill="1" applyBorder="1" applyAlignment="1">
      <alignment horizontal="left" vertical="top" wrapText="1"/>
    </xf>
    <xf numFmtId="0" fontId="0" fillId="3" borderId="2" xfId="0" applyNumberFormat="1" applyFont="1" applyFill="1" applyBorder="1" applyAlignment="1">
      <alignment horizontal="right" vertical="top"/>
    </xf>
    <xf numFmtId="1" fontId="0" fillId="3" borderId="2" xfId="0" applyNumberFormat="1" applyFont="1" applyFill="1" applyBorder="1" applyAlignment="1">
      <alignment horizontal="right" vertical="top"/>
    </xf>
    <xf numFmtId="0" fontId="11" fillId="4" borderId="3" xfId="0" applyNumberFormat="1" applyFont="1" applyFill="1" applyBorder="1" applyAlignment="1">
      <alignment horizontal="center" vertical="center"/>
    </xf>
    <xf numFmtId="2" fontId="12" fillId="0" borderId="2" xfId="0" applyNumberFormat="1" applyFont="1" applyBorder="1" applyAlignment="1">
      <alignment horizontal="right" vertical="top"/>
    </xf>
    <xf numFmtId="0" fontId="0" fillId="2" borderId="2" xfId="0" applyNumberFormat="1" applyFont="1" applyFill="1" applyBorder="1" applyAlignment="1" applyProtection="1">
      <alignment horizontal="right" vertical="top"/>
      <protection locked="0"/>
    </xf>
    <xf numFmtId="164" fontId="0" fillId="0" borderId="2" xfId="0" applyNumberFormat="1" applyFont="1" applyBorder="1" applyAlignment="1">
      <alignment horizontal="right" vertical="top"/>
    </xf>
    <xf numFmtId="165" fontId="0" fillId="0" borderId="2" xfId="0" applyNumberFormat="1" applyFont="1" applyBorder="1" applyAlignment="1">
      <alignment horizontal="right" vertical="top"/>
    </xf>
    <xf numFmtId="0" fontId="10" fillId="0" borderId="2" xfId="0" applyNumberFormat="1" applyFont="1" applyBorder="1" applyAlignment="1">
      <alignment horizontal="right" vertical="top"/>
    </xf>
    <xf numFmtId="0" fontId="0" fillId="0" borderId="2" xfId="0" applyNumberFormat="1" applyFont="1" applyBorder="1" applyAlignment="1">
      <alignment horizontal="left" vertical="top"/>
    </xf>
    <xf numFmtId="2" fontId="12" fillId="3" borderId="2" xfId="0" applyNumberFormat="1" applyFont="1" applyFill="1" applyBorder="1" applyAlignment="1">
      <alignment horizontal="right" vertical="top"/>
    </xf>
    <xf numFmtId="164" fontId="0" fillId="3" borderId="2" xfId="0" applyNumberFormat="1" applyFont="1" applyFill="1" applyBorder="1" applyAlignment="1">
      <alignment horizontal="right" vertical="top"/>
    </xf>
    <xf numFmtId="165" fontId="0" fillId="3" borderId="2" xfId="0" applyNumberFormat="1" applyFont="1" applyFill="1" applyBorder="1" applyAlignment="1">
      <alignment horizontal="right" vertical="top"/>
    </xf>
    <xf numFmtId="0" fontId="10" fillId="3" borderId="2" xfId="0" applyNumberFormat="1" applyFont="1" applyFill="1" applyBorder="1" applyAlignment="1">
      <alignment horizontal="right" vertical="top"/>
    </xf>
    <xf numFmtId="0" fontId="0" fillId="3" borderId="2" xfId="0" applyNumberFormat="1" applyFont="1" applyFill="1" applyBorder="1" applyAlignment="1">
      <alignment horizontal="left" vertical="top"/>
    </xf>
    <xf numFmtId="2" fontId="0" fillId="0" borderId="2" xfId="0" applyNumberFormat="1" applyFont="1" applyBorder="1" applyAlignment="1">
      <alignment horizontal="right" vertical="top"/>
    </xf>
    <xf numFmtId="4" fontId="12" fillId="0" borderId="2" xfId="0" applyNumberFormat="1" applyFont="1" applyBorder="1" applyAlignment="1">
      <alignment horizontal="right" vertical="top"/>
    </xf>
    <xf numFmtId="166" fontId="0" fillId="0" borderId="2" xfId="0" applyNumberFormat="1" applyFont="1" applyBorder="1" applyAlignment="1">
      <alignment horizontal="right" vertical="top"/>
    </xf>
    <xf numFmtId="166" fontId="0" fillId="3" borderId="2" xfId="0" applyNumberFormat="1" applyFont="1" applyFill="1" applyBorder="1" applyAlignment="1">
      <alignment horizontal="right" vertical="top"/>
    </xf>
    <xf numFmtId="1" fontId="0" fillId="0" borderId="2" xfId="0" applyNumberFormat="1" applyFont="1" applyBorder="1" applyAlignment="1">
      <alignment horizontal="right" vertical="top" wrapText="1"/>
    </xf>
    <xf numFmtId="1" fontId="0" fillId="3" borderId="2" xfId="0" applyNumberFormat="1" applyFont="1" applyFill="1" applyBorder="1" applyAlignment="1">
      <alignment horizontal="right" vertical="top" wrapText="1"/>
    </xf>
    <xf numFmtId="167" fontId="0" fillId="3" borderId="2" xfId="0" applyNumberFormat="1" applyFont="1" applyFill="1" applyBorder="1" applyAlignment="1">
      <alignment horizontal="right" vertical="top"/>
    </xf>
    <xf numFmtId="167" fontId="0" fillId="0" borderId="2" xfId="0" applyNumberFormat="1" applyFont="1" applyBorder="1" applyAlignment="1">
      <alignment horizontal="right" vertical="top"/>
    </xf>
    <xf numFmtId="2" fontId="0" fillId="3" borderId="2" xfId="0" applyNumberFormat="1" applyFont="1" applyFill="1" applyBorder="1" applyAlignment="1">
      <alignment horizontal="right" vertical="top"/>
    </xf>
    <xf numFmtId="4" fontId="12" fillId="3" borderId="2" xfId="0" applyNumberFormat="1" applyFont="1" applyFill="1" applyBorder="1" applyAlignment="1">
      <alignment horizontal="right" vertical="top"/>
    </xf>
    <xf numFmtId="3" fontId="0" fillId="0" borderId="2" xfId="0" applyNumberFormat="1" applyFont="1" applyBorder="1" applyAlignment="1">
      <alignment horizontal="right" vertical="top"/>
    </xf>
    <xf numFmtId="3" fontId="0" fillId="0" borderId="1" xfId="0" applyNumberFormat="1" applyFont="1" applyBorder="1" applyAlignment="1">
      <alignment horizontal="right" vertical="top"/>
    </xf>
    <xf numFmtId="3" fontId="0" fillId="3" borderId="1" xfId="0" applyNumberFormat="1" applyFont="1" applyFill="1" applyBorder="1" applyAlignment="1">
      <alignment horizontal="right" vertical="top"/>
    </xf>
    <xf numFmtId="0" fontId="2" fillId="0" borderId="0" xfId="0" applyNumberFormat="1" applyFont="1" applyAlignment="1">
      <alignment vertical="top"/>
    </xf>
    <xf numFmtId="0" fontId="3" fillId="0" borderId="0" xfId="0" applyNumberFormat="1" applyFont="1" applyAlignment="1">
      <alignment vertical="top" wrapText="1"/>
    </xf>
    <xf numFmtId="0" fontId="11" fillId="0" borderId="0" xfId="0" applyNumberFormat="1" applyFont="1" applyAlignment="1">
      <alignment horizontal="center" vertical="center"/>
    </xf>
    <xf numFmtId="0" fontId="4" fillId="0" borderId="0" xfId="0" applyNumberFormat="1" applyFont="1" applyAlignment="1">
      <alignment vertical="top" wrapText="1"/>
    </xf>
    <xf numFmtId="0" fontId="6" fillId="0" borderId="0" xfId="0" applyNumberFormat="1" applyFont="1" applyAlignment="1">
      <alignment vertical="center" wrapText="1"/>
    </xf>
    <xf numFmtId="0" fontId="7" fillId="0" borderId="0" xfId="0" applyNumberFormat="1" applyFont="1" applyAlignment="1">
      <alignment vertical="center" wrapText="1" indent="2"/>
    </xf>
    <xf numFmtId="0" fontId="8" fillId="0" borderId="0" xfId="0" applyNumberFormat="1" applyFont="1" applyAlignment="1">
      <alignment vertical="center" wrapText="1" indent="4"/>
    </xf>
    <xf numFmtId="0" fontId="9" fillId="0" borderId="0" xfId="0" applyNumberFormat="1" applyFont="1" applyAlignment="1">
      <alignment vertical="center" wrapText="1" indent="6"/>
    </xf>
    <xf numFmtId="0" fontId="0" fillId="0" borderId="2" xfId="0" applyNumberFormat="1" applyFont="1" applyBorder="1" applyAlignment="1">
      <alignment vertical="top" wrapText="1"/>
    </xf>
    <xf numFmtId="0" fontId="5" fillId="3" borderId="4" xfId="0" applyNumberFormat="1" applyFont="1" applyFill="1" applyBorder="1" applyAlignment="1">
      <alignment horizontal="center" vertical="center"/>
    </xf>
    <xf numFmtId="0" fontId="5" fillId="3" borderId="5" xfId="0" applyNumberFormat="1" applyFont="1" applyFill="1" applyBorder="1" applyAlignment="1">
      <alignment horizontal="center" vertical="center"/>
    </xf>
    <xf numFmtId="0" fontId="5" fillId="3" borderId="6" xfId="0" applyNumberFormat="1" applyFont="1" applyFill="1" applyBorder="1" applyAlignment="1">
      <alignment horizontal="center" vertical="center"/>
    </xf>
    <xf numFmtId="0" fontId="5" fillId="3" borderId="7" xfId="0" applyNumberFormat="1" applyFont="1" applyFill="1" applyBorder="1" applyAlignment="1">
      <alignment horizontal="center" vertical="center"/>
    </xf>
    <xf numFmtId="0" fontId="0" fillId="3" borderId="2" xfId="0" applyNumberFormat="1" applyFont="1" applyFill="1" applyBorder="1" applyAlignment="1">
      <alignment vertical="top" wrapText="1"/>
    </xf>
    <xf numFmtId="0" fontId="9" fillId="0" borderId="0" xfId="0" applyNumberFormat="1" applyFont="1" applyAlignment="1">
      <alignment vertical="center" wrapText="1" indent="8"/>
    </xf>
    <xf numFmtId="0" fontId="9" fillId="0" borderId="0" xfId="0" applyNumberFormat="1" applyFont="1" applyAlignment="1">
      <alignment vertical="center" wrapText="1" indent="10"/>
    </xf>
    <xf numFmtId="0" fontId="5" fillId="3" borderId="6" xfId="0" applyNumberFormat="1" applyFont="1" applyFill="1" applyBorder="1" applyAlignment="1">
      <alignment horizontal="center" vertical="center" wrapText="1"/>
    </xf>
    <xf numFmtId="0" fontId="5" fillId="3" borderId="7" xfId="0" applyNumberFormat="1" applyFont="1" applyFill="1" applyBorder="1" applyAlignment="1">
      <alignment horizontal="center" vertical="center" wrapText="1"/>
    </xf>
    <xf numFmtId="0" fontId="5" fillId="3" borderId="4" xfId="0" applyNumberFormat="1" applyFont="1" applyFill="1" applyBorder="1" applyAlignment="1">
      <alignment horizontal="center" vertical="center" wrapText="1"/>
    </xf>
    <xf numFmtId="0" fontId="5" fillId="3" borderId="5" xfId="0" applyNumberFormat="1" applyFont="1" applyFill="1" applyBorder="1" applyAlignment="1">
      <alignment horizontal="center" vertical="center" wrapText="1"/>
    </xf>
    <xf numFmtId="0" fontId="5" fillId="3" borderId="8" xfId="0" applyNumberFormat="1"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0FFF0"/>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L2945"/>
  <sheetViews>
    <sheetView tabSelected="1" workbookViewId="0">
      <selection activeCell="A5" sqref="A5:A6"/>
    </sheetView>
  </sheetViews>
  <sheetFormatPr defaultColWidth="10.5" defaultRowHeight="11.25" outlineLevelRow="6" x14ac:dyDescent="0.2"/>
  <cols>
    <col min="1" max="1" width="7.83203125" bestFit="1" customWidth="1"/>
    <col min="2" max="2" width="12.1640625" bestFit="1" customWidth="1"/>
    <col min="3" max="6" width="17.5" bestFit="1" customWidth="1"/>
    <col min="7" max="8" width="15.1640625" bestFit="1" customWidth="1"/>
    <col min="9" max="9" width="21.33203125" bestFit="1" customWidth="1"/>
    <col min="10" max="12" width="11.6640625" bestFit="1" customWidth="1"/>
    <col min="13" max="13" width="16.33203125" bestFit="1" customWidth="1"/>
    <col min="14" max="14" width="11.6640625" bestFit="1" customWidth="1"/>
    <col min="15" max="15" width="16.5" bestFit="1" customWidth="1"/>
    <col min="16" max="17" width="11.6640625" bestFit="1" customWidth="1"/>
    <col min="18" max="18" width="13.6640625" bestFit="1" customWidth="1"/>
    <col min="22" max="22" width="19.83203125" bestFit="1" customWidth="1"/>
    <col min="24" max="38" width="13.5" bestFit="1" customWidth="1"/>
  </cols>
  <sheetData>
    <row r="1" spans="1:38" ht="11.25" customHeight="1" x14ac:dyDescent="0.2"/>
    <row r="2" spans="1:38" ht="24" customHeight="1" x14ac:dyDescent="0.35">
      <c r="E2" s="1" t="s">
        <v>0</v>
      </c>
    </row>
    <row r="3" spans="1:38" ht="15.75" customHeight="1" x14ac:dyDescent="0.2">
      <c r="A3" s="41" t="s">
        <v>1</v>
      </c>
      <c r="B3" s="41"/>
      <c r="C3" s="42" t="s">
        <v>2</v>
      </c>
      <c r="D3" s="42"/>
      <c r="E3" s="42"/>
      <c r="F3" s="42"/>
      <c r="Q3" s="43" t="s">
        <v>3</v>
      </c>
      <c r="R3" s="43"/>
      <c r="S3" s="16"/>
    </row>
    <row r="4" spans="1:38" ht="15" customHeight="1" x14ac:dyDescent="0.2">
      <c r="B4" s="44"/>
      <c r="C4" s="44"/>
      <c r="D4" s="44"/>
      <c r="E4" s="44"/>
      <c r="F4" s="44"/>
    </row>
    <row r="5" spans="1:38" ht="20.100000000000001" customHeight="1" x14ac:dyDescent="0.2">
      <c r="A5" s="50" t="s">
        <v>4</v>
      </c>
      <c r="B5" s="52" t="s">
        <v>5</v>
      </c>
      <c r="C5" s="52" t="s">
        <v>6</v>
      </c>
      <c r="D5" s="52"/>
      <c r="E5" s="52"/>
      <c r="F5" s="52"/>
      <c r="G5" s="52" t="s">
        <v>7</v>
      </c>
      <c r="H5" s="52" t="s">
        <v>8</v>
      </c>
      <c r="I5" s="50" t="s">
        <v>9</v>
      </c>
      <c r="J5" s="57" t="s">
        <v>10</v>
      </c>
      <c r="K5" s="57" t="s">
        <v>11</v>
      </c>
      <c r="L5" s="57" t="s">
        <v>12</v>
      </c>
      <c r="M5" s="59" t="s">
        <v>13</v>
      </c>
      <c r="N5" s="57" t="s">
        <v>14</v>
      </c>
      <c r="O5" s="59" t="s">
        <v>15</v>
      </c>
      <c r="P5" s="52" t="s">
        <v>16</v>
      </c>
      <c r="Q5" s="52" t="s">
        <v>17</v>
      </c>
      <c r="R5" s="52" t="s">
        <v>18</v>
      </c>
      <c r="S5" s="52" t="s">
        <v>19</v>
      </c>
      <c r="T5" s="52" t="s">
        <v>20</v>
      </c>
      <c r="U5" s="52" t="s">
        <v>21</v>
      </c>
      <c r="V5" s="52" t="s">
        <v>22</v>
      </c>
      <c r="W5" s="57" t="s">
        <v>23</v>
      </c>
      <c r="X5" s="57" t="s">
        <v>24</v>
      </c>
      <c r="Y5" s="57" t="s">
        <v>25</v>
      </c>
      <c r="Z5" s="57" t="s">
        <v>26</v>
      </c>
      <c r="AA5" s="57" t="s">
        <v>27</v>
      </c>
      <c r="AB5" s="57" t="s">
        <v>28</v>
      </c>
      <c r="AC5" s="57" t="s">
        <v>29</v>
      </c>
      <c r="AD5" s="57" t="s">
        <v>30</v>
      </c>
      <c r="AE5" s="57" t="s">
        <v>31</v>
      </c>
      <c r="AF5" s="57" t="s">
        <v>32</v>
      </c>
      <c r="AG5" s="57" t="s">
        <v>33</v>
      </c>
      <c r="AH5" s="57" t="s">
        <v>34</v>
      </c>
      <c r="AI5" s="57" t="s">
        <v>35</v>
      </c>
      <c r="AJ5" s="57" t="s">
        <v>36</v>
      </c>
      <c r="AK5" s="57" t="s">
        <v>37</v>
      </c>
      <c r="AL5" s="57" t="s">
        <v>38</v>
      </c>
    </row>
    <row r="6" spans="1:38" ht="24.75" customHeight="1" x14ac:dyDescent="0.2">
      <c r="A6" s="51"/>
      <c r="B6" s="53"/>
      <c r="C6" s="61"/>
      <c r="D6" s="61"/>
      <c r="E6" s="61"/>
      <c r="F6" s="53"/>
      <c r="G6" s="53"/>
      <c r="H6" s="53"/>
      <c r="I6" s="51"/>
      <c r="J6" s="58"/>
      <c r="K6" s="58"/>
      <c r="L6" s="58"/>
      <c r="M6" s="60"/>
      <c r="N6" s="58"/>
      <c r="O6" s="60"/>
      <c r="P6" s="53"/>
      <c r="Q6" s="53"/>
      <c r="R6" s="53"/>
      <c r="S6" s="53"/>
      <c r="T6" s="53"/>
      <c r="U6" s="53"/>
      <c r="V6" s="53"/>
      <c r="W6" s="58"/>
      <c r="X6" s="58"/>
      <c r="Y6" s="58"/>
      <c r="Z6" s="58"/>
      <c r="AA6" s="58"/>
      <c r="AB6" s="58"/>
      <c r="AC6" s="58"/>
      <c r="AD6" s="58"/>
      <c r="AE6" s="58"/>
      <c r="AF6" s="58"/>
      <c r="AG6" s="58"/>
      <c r="AH6" s="58"/>
      <c r="AI6" s="58"/>
      <c r="AJ6" s="58"/>
      <c r="AK6" s="58"/>
      <c r="AL6" s="58"/>
    </row>
    <row r="7" spans="1:38" ht="23.1" customHeight="1" x14ac:dyDescent="0.2">
      <c r="A7" s="45" t="s">
        <v>39</v>
      </c>
      <c r="B7" s="45"/>
      <c r="C7" s="45"/>
      <c r="D7" s="45"/>
      <c r="E7" s="45"/>
      <c r="F7" s="45"/>
    </row>
    <row r="8" spans="1:38" ht="23.1" customHeight="1" outlineLevel="1" x14ac:dyDescent="0.2">
      <c r="A8" s="46" t="s">
        <v>40</v>
      </c>
      <c r="B8" s="46"/>
      <c r="C8" s="46"/>
      <c r="D8" s="46"/>
      <c r="E8" s="46"/>
      <c r="F8" s="46"/>
    </row>
    <row r="9" spans="1:38" ht="23.1" customHeight="1" outlineLevel="2" x14ac:dyDescent="0.2">
      <c r="A9" s="47" t="s">
        <v>41</v>
      </c>
      <c r="B9" s="47"/>
      <c r="C9" s="47"/>
      <c r="D9" s="47"/>
      <c r="E9" s="47"/>
      <c r="F9" s="47"/>
    </row>
    <row r="10" spans="1:38" ht="23.1" customHeight="1" outlineLevel="3" x14ac:dyDescent="0.2">
      <c r="A10" s="48" t="s">
        <v>42</v>
      </c>
      <c r="B10" s="48"/>
      <c r="C10" s="48"/>
      <c r="D10" s="48"/>
      <c r="E10" s="48"/>
      <c r="F10" s="48"/>
    </row>
    <row r="11" spans="1:38" ht="21" customHeight="1" outlineLevel="4" x14ac:dyDescent="0.2">
      <c r="A11" s="2">
        <v>1</v>
      </c>
      <c r="B11" s="3" t="s">
        <v>43</v>
      </c>
      <c r="C11" s="49" t="s">
        <v>44</v>
      </c>
      <c r="D11" s="49"/>
      <c r="E11" s="49"/>
      <c r="F11" s="49"/>
      <c r="G11" s="4" t="s">
        <v>45</v>
      </c>
      <c r="H11" s="8"/>
      <c r="I11" s="9" t="s">
        <v>46</v>
      </c>
      <c r="J11" s="10"/>
      <c r="K11" s="11">
        <v>100</v>
      </c>
      <c r="L11" s="10"/>
      <c r="M11" s="10" t="s">
        <v>47</v>
      </c>
      <c r="N11" s="10"/>
      <c r="O11" s="2">
        <v>2</v>
      </c>
      <c r="P11" s="17">
        <f>349*(1-S3/100)</f>
        <v>349</v>
      </c>
      <c r="Q11" s="18"/>
      <c r="R11" s="10">
        <f t="shared" ref="R11:R20" si="0">P11*Q11</f>
        <v>0</v>
      </c>
      <c r="S11" s="19">
        <f>0.141*Q11</f>
        <v>0</v>
      </c>
      <c r="T11" s="20">
        <f>0.00037*Q11</f>
        <v>0</v>
      </c>
      <c r="U11" s="21"/>
      <c r="V11" s="22" t="s">
        <v>48</v>
      </c>
      <c r="W11" s="22" t="s">
        <v>49</v>
      </c>
      <c r="X11" s="3" t="s">
        <v>50</v>
      </c>
      <c r="Y11" s="3" t="s">
        <v>51</v>
      </c>
      <c r="Z11" s="3" t="s">
        <v>52</v>
      </c>
      <c r="AA11" s="3" t="s">
        <v>53</v>
      </c>
      <c r="AB11" s="3"/>
      <c r="AC11" s="3" t="str">
        <f>HYPERLINK("https://knigipp.ru/api/getInfo/image/2d535f04-045e-11ef-a25d-00155d82e908")</f>
        <v>https://knigipp.ru/api/getInfo/image/2d535f04-045e-11ef-a25d-00155d82e908</v>
      </c>
      <c r="AD11" s="32">
        <v>64</v>
      </c>
      <c r="AE11" s="3" t="s">
        <v>54</v>
      </c>
      <c r="AF11" s="3" t="s">
        <v>55</v>
      </c>
      <c r="AG11" s="3"/>
      <c r="AH11" s="3" t="s">
        <v>56</v>
      </c>
      <c r="AI11" s="3"/>
      <c r="AJ11" s="3"/>
      <c r="AK11" s="3" t="str">
        <f>HYPERLINK("https://knigipp.ru/api/getInfo/item/2d535f04-045e-11ef-a25d-00155d82e908")</f>
        <v>https://knigipp.ru/api/getInfo/item/2d535f04-045e-11ef-a25d-00155d82e908</v>
      </c>
      <c r="AL11" s="3" t="s">
        <v>57</v>
      </c>
    </row>
    <row r="12" spans="1:38" ht="21" customHeight="1" outlineLevel="4" x14ac:dyDescent="0.2">
      <c r="A12" s="5">
        <v>2</v>
      </c>
      <c r="B12" s="6" t="s">
        <v>58</v>
      </c>
      <c r="C12" s="54" t="s">
        <v>59</v>
      </c>
      <c r="D12" s="54"/>
      <c r="E12" s="54"/>
      <c r="F12" s="54"/>
      <c r="G12" s="7" t="s">
        <v>60</v>
      </c>
      <c r="H12" s="12"/>
      <c r="I12" s="13" t="s">
        <v>61</v>
      </c>
      <c r="J12" s="14"/>
      <c r="K12" s="15">
        <v>60</v>
      </c>
      <c r="L12" s="14"/>
      <c r="M12" s="14" t="s">
        <v>47</v>
      </c>
      <c r="N12" s="14"/>
      <c r="O12" s="5">
        <v>2</v>
      </c>
      <c r="P12" s="23">
        <f>597*(1-S3/100)</f>
        <v>597</v>
      </c>
      <c r="Q12" s="18"/>
      <c r="R12" s="14">
        <f t="shared" si="0"/>
        <v>0</v>
      </c>
      <c r="S12" s="24">
        <f>0.275*Q12</f>
        <v>0</v>
      </c>
      <c r="T12" s="25">
        <f>0.00041*Q12</f>
        <v>0</v>
      </c>
      <c r="U12" s="26" t="s">
        <v>62</v>
      </c>
      <c r="V12" s="27" t="s">
        <v>63</v>
      </c>
      <c r="W12" s="27" t="s">
        <v>49</v>
      </c>
      <c r="X12" s="6" t="s">
        <v>64</v>
      </c>
      <c r="Y12" s="6"/>
      <c r="Z12" s="6" t="s">
        <v>52</v>
      </c>
      <c r="AA12" s="6"/>
      <c r="AB12" s="6"/>
      <c r="AC12" s="6" t="str">
        <f>HYPERLINK("https://knigipp.ru/api/getInfo/image/cc31b355-84f5-11f1-a29a-00155d82e908")</f>
        <v>https://knigipp.ru/api/getInfo/image/cc31b355-84f5-11f1-a29a-00155d82e908</v>
      </c>
      <c r="AD12" s="33">
        <v>128</v>
      </c>
      <c r="AE12" s="6" t="s">
        <v>65</v>
      </c>
      <c r="AF12" s="6" t="s">
        <v>55</v>
      </c>
      <c r="AG12" s="6"/>
      <c r="AH12" s="6" t="s">
        <v>56</v>
      </c>
      <c r="AI12" s="6"/>
      <c r="AJ12" s="6"/>
      <c r="AK12" s="6" t="str">
        <f>HYPERLINK("https://knigipp.ru/api/getInfo/item/cc31b355-84f5-11f1-a29a-00155d82e908")</f>
        <v>https://knigipp.ru/api/getInfo/item/cc31b355-84f5-11f1-a29a-00155d82e908</v>
      </c>
      <c r="AL12" s="6" t="s">
        <v>66</v>
      </c>
    </row>
    <row r="13" spans="1:38" ht="21" customHeight="1" outlineLevel="4" x14ac:dyDescent="0.2">
      <c r="A13" s="2">
        <v>3</v>
      </c>
      <c r="B13" s="3" t="s">
        <v>67</v>
      </c>
      <c r="C13" s="49" t="s">
        <v>68</v>
      </c>
      <c r="D13" s="49"/>
      <c r="E13" s="49"/>
      <c r="F13" s="49"/>
      <c r="G13" s="4" t="s">
        <v>69</v>
      </c>
      <c r="H13" s="8"/>
      <c r="I13" s="9" t="s">
        <v>70</v>
      </c>
      <c r="J13" s="10"/>
      <c r="K13" s="11">
        <v>100</v>
      </c>
      <c r="L13" s="10"/>
      <c r="M13" s="10" t="s">
        <v>47</v>
      </c>
      <c r="N13" s="10"/>
      <c r="O13" s="2">
        <v>2</v>
      </c>
      <c r="P13" s="17">
        <f>399*(1-S3/100)</f>
        <v>399</v>
      </c>
      <c r="Q13" s="18"/>
      <c r="R13" s="10">
        <f t="shared" si="0"/>
        <v>0</v>
      </c>
      <c r="S13" s="19">
        <f>0.148*Q13</f>
        <v>0</v>
      </c>
      <c r="T13" s="20">
        <f>0.00018*Q13</f>
        <v>0</v>
      </c>
      <c r="U13" s="21"/>
      <c r="V13" s="22" t="s">
        <v>71</v>
      </c>
      <c r="W13" s="22" t="s">
        <v>49</v>
      </c>
      <c r="X13" s="3" t="s">
        <v>72</v>
      </c>
      <c r="Y13" s="3" t="s">
        <v>73</v>
      </c>
      <c r="Z13" s="3" t="s">
        <v>52</v>
      </c>
      <c r="AA13" s="3"/>
      <c r="AB13" s="3"/>
      <c r="AC13" s="3" t="str">
        <f>HYPERLINK("https://knigipp.ru/api/getInfo/image/2490a16d-4f3b-11ef-a262-00155d82e908")</f>
        <v>https://knigipp.ru/api/getInfo/image/2490a16d-4f3b-11ef-a262-00155d82e908</v>
      </c>
      <c r="AD13" s="32">
        <v>80</v>
      </c>
      <c r="AE13" s="3" t="s">
        <v>54</v>
      </c>
      <c r="AF13" s="3" t="s">
        <v>55</v>
      </c>
      <c r="AG13" s="3"/>
      <c r="AH13" s="3" t="s">
        <v>56</v>
      </c>
      <c r="AI13" s="3"/>
      <c r="AJ13" s="3"/>
      <c r="AK13" s="3" t="str">
        <f>HYPERLINK("https://knigipp.ru/api/getInfo/item/2490a16d-4f3b-11ef-a262-00155d82e908")</f>
        <v>https://knigipp.ru/api/getInfo/item/2490a16d-4f3b-11ef-a262-00155d82e908</v>
      </c>
      <c r="AL13" s="3" t="s">
        <v>57</v>
      </c>
    </row>
    <row r="14" spans="1:38" ht="21" customHeight="1" outlineLevel="4" x14ac:dyDescent="0.2">
      <c r="A14" s="2">
        <v>4</v>
      </c>
      <c r="B14" s="3" t="s">
        <v>74</v>
      </c>
      <c r="C14" s="49" t="s">
        <v>75</v>
      </c>
      <c r="D14" s="49"/>
      <c r="E14" s="49"/>
      <c r="F14" s="49"/>
      <c r="G14" s="4" t="s">
        <v>76</v>
      </c>
      <c r="H14" s="8"/>
      <c r="I14" s="9" t="s">
        <v>77</v>
      </c>
      <c r="J14" s="10"/>
      <c r="K14" s="11">
        <v>100</v>
      </c>
      <c r="L14" s="10"/>
      <c r="M14" s="10" t="s">
        <v>78</v>
      </c>
      <c r="N14" s="10"/>
      <c r="O14" s="2">
        <v>2</v>
      </c>
      <c r="P14" s="17">
        <f>399*(1-S3/100)</f>
        <v>399</v>
      </c>
      <c r="Q14" s="18"/>
      <c r="R14" s="10">
        <f t="shared" si="0"/>
        <v>0</v>
      </c>
      <c r="S14" s="19">
        <f>0.172*Q14</f>
        <v>0</v>
      </c>
      <c r="T14" s="20">
        <f>0.00037*Q14</f>
        <v>0</v>
      </c>
      <c r="U14" s="21"/>
      <c r="V14" s="22" t="s">
        <v>79</v>
      </c>
      <c r="W14" s="22" t="s">
        <v>49</v>
      </c>
      <c r="X14" s="3" t="s">
        <v>72</v>
      </c>
      <c r="Y14" s="3" t="s">
        <v>80</v>
      </c>
      <c r="Z14" s="3" t="s">
        <v>52</v>
      </c>
      <c r="AA14" s="3" t="s">
        <v>81</v>
      </c>
      <c r="AB14" s="3"/>
      <c r="AC14" s="3" t="str">
        <f>HYPERLINK("https://knigipp.ru/api/getInfo/image/7c692dd5-9779-11ef-a267-00155d82e908")</f>
        <v>https://knigipp.ru/api/getInfo/image/7c692dd5-9779-11ef-a267-00155d82e908</v>
      </c>
      <c r="AD14" s="32">
        <v>80</v>
      </c>
      <c r="AE14" s="3" t="s">
        <v>54</v>
      </c>
      <c r="AF14" s="3" t="s">
        <v>55</v>
      </c>
      <c r="AG14" s="3"/>
      <c r="AH14" s="3" t="s">
        <v>56</v>
      </c>
      <c r="AI14" s="3"/>
      <c r="AJ14" s="3"/>
      <c r="AK14" s="3" t="str">
        <f>HYPERLINK("https://knigipp.ru/api/getInfo/item/7c692dd5-9779-11ef-a267-00155d82e908")</f>
        <v>https://knigipp.ru/api/getInfo/item/7c692dd5-9779-11ef-a267-00155d82e908</v>
      </c>
      <c r="AL14" s="3" t="s">
        <v>57</v>
      </c>
    </row>
    <row r="15" spans="1:38" ht="21" customHeight="1" outlineLevel="4" x14ac:dyDescent="0.2">
      <c r="A15" s="2">
        <v>5</v>
      </c>
      <c r="B15" s="3" t="s">
        <v>82</v>
      </c>
      <c r="C15" s="49" t="s">
        <v>83</v>
      </c>
      <c r="D15" s="49"/>
      <c r="E15" s="49"/>
      <c r="F15" s="49"/>
      <c r="G15" s="4" t="s">
        <v>84</v>
      </c>
      <c r="H15" s="8"/>
      <c r="I15" s="9" t="s">
        <v>85</v>
      </c>
      <c r="J15" s="10"/>
      <c r="K15" s="11">
        <v>90</v>
      </c>
      <c r="L15" s="10"/>
      <c r="M15" s="10" t="s">
        <v>47</v>
      </c>
      <c r="N15" s="10"/>
      <c r="O15" s="2">
        <v>2</v>
      </c>
      <c r="P15" s="17">
        <f>399*(1-S3/100)</f>
        <v>399</v>
      </c>
      <c r="Q15" s="18"/>
      <c r="R15" s="10">
        <f t="shared" si="0"/>
        <v>0</v>
      </c>
      <c r="S15" s="19">
        <f>0.212*Q15</f>
        <v>0</v>
      </c>
      <c r="T15" s="20">
        <f>0.00042*Q15</f>
        <v>0</v>
      </c>
      <c r="U15" s="21"/>
      <c r="V15" s="22" t="s">
        <v>86</v>
      </c>
      <c r="W15" s="22" t="s">
        <v>49</v>
      </c>
      <c r="X15" s="3" t="s">
        <v>72</v>
      </c>
      <c r="Y15" s="3" t="s">
        <v>87</v>
      </c>
      <c r="Z15" s="3" t="s">
        <v>52</v>
      </c>
      <c r="AA15" s="3"/>
      <c r="AB15" s="3"/>
      <c r="AC15" s="3" t="str">
        <f>HYPERLINK("https://knigipp.ru/api/getInfo/image/7308b5f6-b895-11ef-a267-00155d82e908")</f>
        <v>https://knigipp.ru/api/getInfo/image/7308b5f6-b895-11ef-a267-00155d82e908</v>
      </c>
      <c r="AD15" s="32">
        <v>96</v>
      </c>
      <c r="AE15" s="3" t="s">
        <v>54</v>
      </c>
      <c r="AF15" s="3" t="s">
        <v>55</v>
      </c>
      <c r="AG15" s="3"/>
      <c r="AH15" s="3" t="s">
        <v>56</v>
      </c>
      <c r="AI15" s="3"/>
      <c r="AJ15" s="3"/>
      <c r="AK15" s="3" t="str">
        <f>HYPERLINK("https://knigipp.ru/api/getInfo/item/7308b5f6-b895-11ef-a267-00155d82e908")</f>
        <v>https://knigipp.ru/api/getInfo/item/7308b5f6-b895-11ef-a267-00155d82e908</v>
      </c>
      <c r="AL15" s="3" t="s">
        <v>57</v>
      </c>
    </row>
    <row r="16" spans="1:38" ht="21" customHeight="1" outlineLevel="4" x14ac:dyDescent="0.2">
      <c r="A16" s="2">
        <v>6</v>
      </c>
      <c r="B16" s="3" t="s">
        <v>88</v>
      </c>
      <c r="C16" s="49" t="s">
        <v>89</v>
      </c>
      <c r="D16" s="49"/>
      <c r="E16" s="49"/>
      <c r="F16" s="49"/>
      <c r="G16" s="4" t="s">
        <v>90</v>
      </c>
      <c r="H16" s="8"/>
      <c r="I16" s="9" t="s">
        <v>91</v>
      </c>
      <c r="J16" s="10"/>
      <c r="K16" s="11">
        <v>100</v>
      </c>
      <c r="L16" s="10"/>
      <c r="M16" s="10" t="s">
        <v>78</v>
      </c>
      <c r="N16" s="10"/>
      <c r="O16" s="2">
        <v>2</v>
      </c>
      <c r="P16" s="17">
        <f>349*(1-S3/100)</f>
        <v>349</v>
      </c>
      <c r="Q16" s="18"/>
      <c r="R16" s="10">
        <f t="shared" si="0"/>
        <v>0</v>
      </c>
      <c r="S16" s="28">
        <f>0.15*Q16</f>
        <v>0</v>
      </c>
      <c r="T16" s="20">
        <f>0.00021*Q16</f>
        <v>0</v>
      </c>
      <c r="U16" s="21"/>
      <c r="V16" s="22" t="s">
        <v>92</v>
      </c>
      <c r="W16" s="22" t="s">
        <v>49</v>
      </c>
      <c r="X16" s="3" t="s">
        <v>50</v>
      </c>
      <c r="Y16" s="3" t="s">
        <v>93</v>
      </c>
      <c r="Z16" s="3" t="s">
        <v>52</v>
      </c>
      <c r="AA16" s="3"/>
      <c r="AB16" s="3"/>
      <c r="AC16" s="3" t="str">
        <f>HYPERLINK("https://knigipp.ru/api/getInfo/image/b8dced43-dfd9-11ef-a273-00155d82e908")</f>
        <v>https://knigipp.ru/api/getInfo/image/b8dced43-dfd9-11ef-a273-00155d82e908</v>
      </c>
      <c r="AD16" s="32">
        <v>64</v>
      </c>
      <c r="AE16" s="3" t="s">
        <v>54</v>
      </c>
      <c r="AF16" s="3" t="s">
        <v>55</v>
      </c>
      <c r="AG16" s="3"/>
      <c r="AH16" s="3" t="s">
        <v>56</v>
      </c>
      <c r="AI16" s="3"/>
      <c r="AJ16" s="3"/>
      <c r="AK16" s="3" t="str">
        <f>HYPERLINK("https://knigipp.ru/api/getInfo/item/b8dced43-dfd9-11ef-a273-00155d82e908")</f>
        <v>https://knigipp.ru/api/getInfo/item/b8dced43-dfd9-11ef-a273-00155d82e908</v>
      </c>
      <c r="AL16" s="3" t="s">
        <v>57</v>
      </c>
    </row>
    <row r="17" spans="1:38" ht="21" customHeight="1" outlineLevel="4" x14ac:dyDescent="0.2">
      <c r="A17" s="2">
        <v>7</v>
      </c>
      <c r="B17" s="3" t="s">
        <v>94</v>
      </c>
      <c r="C17" s="49" t="s">
        <v>95</v>
      </c>
      <c r="D17" s="49"/>
      <c r="E17" s="49"/>
      <c r="F17" s="49"/>
      <c r="G17" s="4" t="s">
        <v>96</v>
      </c>
      <c r="H17" s="8"/>
      <c r="I17" s="9" t="s">
        <v>97</v>
      </c>
      <c r="J17" s="10"/>
      <c r="K17" s="11">
        <v>100</v>
      </c>
      <c r="L17" s="10"/>
      <c r="M17" s="10" t="s">
        <v>47</v>
      </c>
      <c r="N17" s="10"/>
      <c r="O17" s="2">
        <v>2</v>
      </c>
      <c r="P17" s="17">
        <f>349*(1-S3/100)</f>
        <v>349</v>
      </c>
      <c r="Q17" s="18"/>
      <c r="R17" s="10">
        <f t="shared" si="0"/>
        <v>0</v>
      </c>
      <c r="S17" s="19">
        <f>0.151*Q17</f>
        <v>0</v>
      </c>
      <c r="T17" s="20">
        <f>0.00021*Q17</f>
        <v>0</v>
      </c>
      <c r="U17" s="21"/>
      <c r="V17" s="22" t="s">
        <v>98</v>
      </c>
      <c r="W17" s="22" t="s">
        <v>49</v>
      </c>
      <c r="X17" s="3" t="s">
        <v>50</v>
      </c>
      <c r="Y17" s="3" t="s">
        <v>99</v>
      </c>
      <c r="Z17" s="3" t="s">
        <v>52</v>
      </c>
      <c r="AA17" s="3"/>
      <c r="AB17" s="3"/>
      <c r="AC17" s="3" t="str">
        <f>HYPERLINK("https://knigipp.ru/api/getInfo/image/e3da44bd-00dc-11f0-a277-00155d82e908")</f>
        <v>https://knigipp.ru/api/getInfo/image/e3da44bd-00dc-11f0-a277-00155d82e908</v>
      </c>
      <c r="AD17" s="32">
        <v>64</v>
      </c>
      <c r="AE17" s="3" t="s">
        <v>54</v>
      </c>
      <c r="AF17" s="3" t="s">
        <v>55</v>
      </c>
      <c r="AG17" s="3"/>
      <c r="AH17" s="3" t="s">
        <v>56</v>
      </c>
      <c r="AI17" s="3"/>
      <c r="AJ17" s="3"/>
      <c r="AK17" s="3" t="str">
        <f>HYPERLINK("https://knigipp.ru/api/getInfo/item/e3da44bd-00dc-11f0-a277-00155d82e908")</f>
        <v>https://knigipp.ru/api/getInfo/item/e3da44bd-00dc-11f0-a277-00155d82e908</v>
      </c>
      <c r="AL17" s="3" t="s">
        <v>57</v>
      </c>
    </row>
    <row r="18" spans="1:38" ht="21" customHeight="1" outlineLevel="4" x14ac:dyDescent="0.2">
      <c r="A18" s="2">
        <v>8</v>
      </c>
      <c r="B18" s="3" t="s">
        <v>100</v>
      </c>
      <c r="C18" s="49" t="s">
        <v>101</v>
      </c>
      <c r="D18" s="49"/>
      <c r="E18" s="49"/>
      <c r="F18" s="49"/>
      <c r="G18" s="4" t="s">
        <v>102</v>
      </c>
      <c r="H18" s="8"/>
      <c r="I18" s="9" t="s">
        <v>103</v>
      </c>
      <c r="J18" s="10"/>
      <c r="K18" s="11">
        <v>100</v>
      </c>
      <c r="L18" s="10"/>
      <c r="M18" s="10" t="s">
        <v>47</v>
      </c>
      <c r="N18" s="10"/>
      <c r="O18" s="2">
        <v>2</v>
      </c>
      <c r="P18" s="17">
        <f>349*(1-S3/100)</f>
        <v>349</v>
      </c>
      <c r="Q18" s="18"/>
      <c r="R18" s="10">
        <f t="shared" si="0"/>
        <v>0</v>
      </c>
      <c r="S18" s="19">
        <f>0.148*Q18</f>
        <v>0</v>
      </c>
      <c r="T18" s="20">
        <f>0.00033*Q18</f>
        <v>0</v>
      </c>
      <c r="U18" s="21"/>
      <c r="V18" s="22" t="s">
        <v>104</v>
      </c>
      <c r="W18" s="22" t="s">
        <v>49</v>
      </c>
      <c r="X18" s="3" t="s">
        <v>72</v>
      </c>
      <c r="Y18" s="3" t="s">
        <v>105</v>
      </c>
      <c r="Z18" s="3" t="s">
        <v>52</v>
      </c>
      <c r="AA18" s="3"/>
      <c r="AB18" s="3"/>
      <c r="AC18" s="3" t="str">
        <f>HYPERLINK("https://knigipp.ru/api/getInfo/image/97d707b0-3d54-11f0-a27c-00155d82e908")</f>
        <v>https://knigipp.ru/api/getInfo/image/97d707b0-3d54-11f0-a27c-00155d82e908</v>
      </c>
      <c r="AD18" s="32">
        <v>64</v>
      </c>
      <c r="AE18" s="3" t="s">
        <v>54</v>
      </c>
      <c r="AF18" s="3" t="s">
        <v>55</v>
      </c>
      <c r="AG18" s="3"/>
      <c r="AH18" s="3" t="s">
        <v>56</v>
      </c>
      <c r="AI18" s="3"/>
      <c r="AJ18" s="3"/>
      <c r="AK18" s="3" t="str">
        <f>HYPERLINK("https://knigipp.ru/api/getInfo/item/97d707b0-3d54-11f0-a27c-00155d82e908")</f>
        <v>https://knigipp.ru/api/getInfo/item/97d707b0-3d54-11f0-a27c-00155d82e908</v>
      </c>
      <c r="AL18" s="3" t="s">
        <v>57</v>
      </c>
    </row>
    <row r="19" spans="1:38" ht="21" customHeight="1" outlineLevel="4" x14ac:dyDescent="0.2">
      <c r="A19" s="2">
        <v>9</v>
      </c>
      <c r="B19" s="3" t="s">
        <v>106</v>
      </c>
      <c r="C19" s="49" t="s">
        <v>107</v>
      </c>
      <c r="D19" s="49"/>
      <c r="E19" s="49"/>
      <c r="F19" s="49"/>
      <c r="G19" s="4" t="s">
        <v>108</v>
      </c>
      <c r="H19" s="8"/>
      <c r="I19" s="9" t="s">
        <v>109</v>
      </c>
      <c r="J19" s="10"/>
      <c r="K19" s="11">
        <v>100</v>
      </c>
      <c r="L19" s="10"/>
      <c r="M19" s="10" t="s">
        <v>47</v>
      </c>
      <c r="N19" s="10"/>
      <c r="O19" s="2">
        <v>2</v>
      </c>
      <c r="P19" s="17">
        <f>399*(1-S3/100)</f>
        <v>399</v>
      </c>
      <c r="Q19" s="18"/>
      <c r="R19" s="10">
        <f t="shared" si="0"/>
        <v>0</v>
      </c>
      <c r="S19" s="19">
        <f>0.175*Q19</f>
        <v>0</v>
      </c>
      <c r="T19" s="20">
        <f>0.00033*Q19</f>
        <v>0</v>
      </c>
      <c r="U19" s="21"/>
      <c r="V19" s="22" t="s">
        <v>110</v>
      </c>
      <c r="W19" s="22" t="s">
        <v>49</v>
      </c>
      <c r="X19" s="3" t="s">
        <v>72</v>
      </c>
      <c r="Y19" s="3" t="s">
        <v>111</v>
      </c>
      <c r="Z19" s="3" t="s">
        <v>52</v>
      </c>
      <c r="AA19" s="3"/>
      <c r="AB19" s="3"/>
      <c r="AC19" s="3" t="str">
        <f>HYPERLINK("https://knigipp.ru/api/getInfo/image/2871419d-840e-11f0-a284-00155d82e908")</f>
        <v>https://knigipp.ru/api/getInfo/image/2871419d-840e-11f0-a284-00155d82e908</v>
      </c>
      <c r="AD19" s="32">
        <v>80</v>
      </c>
      <c r="AE19" s="3" t="s">
        <v>54</v>
      </c>
      <c r="AF19" s="3" t="s">
        <v>55</v>
      </c>
      <c r="AG19" s="3"/>
      <c r="AH19" s="3" t="s">
        <v>56</v>
      </c>
      <c r="AI19" s="3"/>
      <c r="AJ19" s="3"/>
      <c r="AK19" s="3" t="str">
        <f>HYPERLINK("https://knigipp.ru/api/getInfo/item/2871419d-840e-11f0-a284-00155d82e908")</f>
        <v>https://knigipp.ru/api/getInfo/item/2871419d-840e-11f0-a284-00155d82e908</v>
      </c>
      <c r="AL19" s="3" t="s">
        <v>57</v>
      </c>
    </row>
    <row r="20" spans="1:38" ht="21" customHeight="1" outlineLevel="4" x14ac:dyDescent="0.2">
      <c r="A20" s="2">
        <v>10</v>
      </c>
      <c r="B20" s="3" t="s">
        <v>112</v>
      </c>
      <c r="C20" s="49" t="s">
        <v>113</v>
      </c>
      <c r="D20" s="49"/>
      <c r="E20" s="49"/>
      <c r="F20" s="49"/>
      <c r="G20" s="4" t="s">
        <v>114</v>
      </c>
      <c r="H20" s="8"/>
      <c r="I20" s="9" t="s">
        <v>115</v>
      </c>
      <c r="J20" s="10"/>
      <c r="K20" s="11">
        <v>90</v>
      </c>
      <c r="L20" s="10"/>
      <c r="M20" s="10" t="s">
        <v>47</v>
      </c>
      <c r="N20" s="10"/>
      <c r="O20" s="2">
        <v>2</v>
      </c>
      <c r="P20" s="17">
        <f>399*(1-S3/100)</f>
        <v>399</v>
      </c>
      <c r="Q20" s="18"/>
      <c r="R20" s="10">
        <f t="shared" si="0"/>
        <v>0</v>
      </c>
      <c r="S20" s="28">
        <f>0.21*Q20</f>
        <v>0</v>
      </c>
      <c r="T20" s="20">
        <f>0.00029*Q20</f>
        <v>0</v>
      </c>
      <c r="U20" s="21"/>
      <c r="V20" s="22" t="s">
        <v>116</v>
      </c>
      <c r="W20" s="22" t="s">
        <v>49</v>
      </c>
      <c r="X20" s="3" t="s">
        <v>117</v>
      </c>
      <c r="Y20" s="3" t="s">
        <v>118</v>
      </c>
      <c r="Z20" s="3" t="s">
        <v>52</v>
      </c>
      <c r="AA20" s="3"/>
      <c r="AB20" s="3"/>
      <c r="AC20" s="3" t="str">
        <f>HYPERLINK("https://knigipp.ru/api/getInfo/image/c6ebd6ab-13e0-11f1-a28f-00155d82e908")</f>
        <v>https://knigipp.ru/api/getInfo/image/c6ebd6ab-13e0-11f1-a28f-00155d82e908</v>
      </c>
      <c r="AD20" s="32">
        <v>96</v>
      </c>
      <c r="AE20" s="3" t="s">
        <v>54</v>
      </c>
      <c r="AF20" s="3" t="s">
        <v>55</v>
      </c>
      <c r="AG20" s="3"/>
      <c r="AH20" s="3" t="s">
        <v>56</v>
      </c>
      <c r="AI20" s="3"/>
      <c r="AJ20" s="3"/>
      <c r="AK20" s="3" t="str">
        <f>HYPERLINK("https://knigipp.ru/api/getInfo/item/c6ebd6ab-13e0-11f1-a28f-00155d82e908")</f>
        <v>https://knigipp.ru/api/getInfo/item/c6ebd6ab-13e0-11f1-a28f-00155d82e908</v>
      </c>
      <c r="AL20" s="3"/>
    </row>
    <row r="21" spans="1:38" ht="23.1" customHeight="1" outlineLevel="3" x14ac:dyDescent="0.2">
      <c r="A21" s="48" t="s">
        <v>119</v>
      </c>
      <c r="B21" s="48"/>
      <c r="C21" s="48"/>
      <c r="D21" s="48"/>
      <c r="E21" s="48"/>
      <c r="F21" s="48"/>
    </row>
    <row r="22" spans="1:38" ht="21" customHeight="1" outlineLevel="4" x14ac:dyDescent="0.2">
      <c r="A22" s="2">
        <v>11</v>
      </c>
      <c r="B22" s="3" t="s">
        <v>120</v>
      </c>
      <c r="C22" s="49" t="s">
        <v>121</v>
      </c>
      <c r="D22" s="49"/>
      <c r="E22" s="49"/>
      <c r="F22" s="49"/>
      <c r="G22" s="4" t="s">
        <v>122</v>
      </c>
      <c r="H22" s="8"/>
      <c r="I22" s="9" t="s">
        <v>123</v>
      </c>
      <c r="J22" s="10"/>
      <c r="K22" s="11">
        <v>4</v>
      </c>
      <c r="L22" s="10"/>
      <c r="M22" s="10" t="s">
        <v>47</v>
      </c>
      <c r="N22" s="10"/>
      <c r="O22" s="2">
        <v>1</v>
      </c>
      <c r="P22" s="29">
        <f>1777*(1-S3/100)</f>
        <v>1777</v>
      </c>
      <c r="Q22" s="18"/>
      <c r="R22" s="10">
        <f>P22*Q22</f>
        <v>0</v>
      </c>
      <c r="S22" s="19">
        <f>1.019*Q22</f>
        <v>0</v>
      </c>
      <c r="T22" s="20">
        <f>0.00131*Q22</f>
        <v>0</v>
      </c>
      <c r="U22" s="21"/>
      <c r="V22" s="22" t="s">
        <v>124</v>
      </c>
      <c r="W22" s="22" t="s">
        <v>49</v>
      </c>
      <c r="X22" s="3" t="s">
        <v>125</v>
      </c>
      <c r="Y22" s="3" t="s">
        <v>126</v>
      </c>
      <c r="Z22" s="3" t="s">
        <v>52</v>
      </c>
      <c r="AA22" s="3"/>
      <c r="AB22" s="3"/>
      <c r="AC22" s="3" t="str">
        <f>HYPERLINK("https://knigipp.ru/api/getInfo/image/e7e39604-b666-11f0-a286-00155d82e908")</f>
        <v>https://knigipp.ru/api/getInfo/image/e7e39604-b666-11f0-a286-00155d82e908</v>
      </c>
      <c r="AD22" s="32">
        <v>336</v>
      </c>
      <c r="AE22" s="3" t="s">
        <v>65</v>
      </c>
      <c r="AF22" s="3" t="s">
        <v>127</v>
      </c>
      <c r="AG22" s="3"/>
      <c r="AH22" s="3" t="s">
        <v>56</v>
      </c>
      <c r="AI22" s="3"/>
      <c r="AJ22" s="3"/>
      <c r="AK22" s="3" t="str">
        <f>HYPERLINK("https://knigipp.ru/api/getInfo/item/e7e39604-b666-11f0-a286-00155d82e908")</f>
        <v>https://knigipp.ru/api/getInfo/item/e7e39604-b666-11f0-a286-00155d82e908</v>
      </c>
      <c r="AL22" s="3" t="s">
        <v>128</v>
      </c>
    </row>
    <row r="23" spans="1:38" ht="23.1" customHeight="1" outlineLevel="3" x14ac:dyDescent="0.2">
      <c r="A23" s="48" t="s">
        <v>129</v>
      </c>
      <c r="B23" s="48"/>
      <c r="C23" s="48"/>
      <c r="D23" s="48"/>
      <c r="E23" s="48"/>
      <c r="F23" s="48"/>
    </row>
    <row r="24" spans="1:38" ht="21" customHeight="1" outlineLevel="4" x14ac:dyDescent="0.2">
      <c r="A24" s="2">
        <v>12</v>
      </c>
      <c r="B24" s="3" t="s">
        <v>130</v>
      </c>
      <c r="C24" s="49" t="s">
        <v>131</v>
      </c>
      <c r="D24" s="49"/>
      <c r="E24" s="49"/>
      <c r="F24" s="49"/>
      <c r="G24" s="4" t="s">
        <v>132</v>
      </c>
      <c r="H24" s="8"/>
      <c r="I24" s="9" t="s">
        <v>133</v>
      </c>
      <c r="J24" s="10"/>
      <c r="K24" s="11">
        <v>54</v>
      </c>
      <c r="L24" s="10"/>
      <c r="M24" s="10" t="s">
        <v>47</v>
      </c>
      <c r="N24" s="10"/>
      <c r="O24" s="2">
        <v>2</v>
      </c>
      <c r="P24" s="17">
        <f>257*(1-S3/100)</f>
        <v>257</v>
      </c>
      <c r="Q24" s="18"/>
      <c r="R24" s="10">
        <f t="shared" ref="R24:R29" si="1">P24*Q24</f>
        <v>0</v>
      </c>
      <c r="S24" s="19">
        <f>0.093*Q24</f>
        <v>0</v>
      </c>
      <c r="T24" s="20">
        <f>0.00017*Q24</f>
        <v>0</v>
      </c>
      <c r="U24" s="21"/>
      <c r="V24" s="22" t="s">
        <v>134</v>
      </c>
      <c r="W24" s="22" t="s">
        <v>49</v>
      </c>
      <c r="X24" s="3"/>
      <c r="Y24" s="3" t="s">
        <v>135</v>
      </c>
      <c r="Z24" s="3" t="s">
        <v>52</v>
      </c>
      <c r="AA24" s="3"/>
      <c r="AB24" s="3"/>
      <c r="AC24" s="3" t="str">
        <f>HYPERLINK("https://knigipp.ru/api/getInfo/image/d3644fec-b667-11f0-a286-00155d82e908")</f>
        <v>https://knigipp.ru/api/getInfo/image/d3644fec-b667-11f0-a286-00155d82e908</v>
      </c>
      <c r="AD24" s="32">
        <v>24</v>
      </c>
      <c r="AE24" s="3" t="s">
        <v>54</v>
      </c>
      <c r="AF24" s="3" t="s">
        <v>136</v>
      </c>
      <c r="AG24" s="3"/>
      <c r="AH24" s="3" t="s">
        <v>56</v>
      </c>
      <c r="AI24" s="3"/>
      <c r="AJ24" s="3"/>
      <c r="AK24" s="3" t="str">
        <f>HYPERLINK("https://knigipp.ru/api/getInfo/item/d3644fec-b667-11f0-a286-00155d82e908")</f>
        <v>https://knigipp.ru/api/getInfo/item/d3644fec-b667-11f0-a286-00155d82e908</v>
      </c>
      <c r="AL24" s="3" t="s">
        <v>137</v>
      </c>
    </row>
    <row r="25" spans="1:38" ht="21" customHeight="1" outlineLevel="4" x14ac:dyDescent="0.2">
      <c r="A25" s="2">
        <v>13</v>
      </c>
      <c r="B25" s="3" t="s">
        <v>138</v>
      </c>
      <c r="C25" s="49" t="s">
        <v>139</v>
      </c>
      <c r="D25" s="49"/>
      <c r="E25" s="49"/>
      <c r="F25" s="49"/>
      <c r="G25" s="4" t="s">
        <v>140</v>
      </c>
      <c r="H25" s="8"/>
      <c r="I25" s="9" t="s">
        <v>133</v>
      </c>
      <c r="J25" s="10"/>
      <c r="K25" s="11">
        <v>54</v>
      </c>
      <c r="L25" s="10"/>
      <c r="M25" s="10" t="s">
        <v>47</v>
      </c>
      <c r="N25" s="10"/>
      <c r="O25" s="2">
        <v>2</v>
      </c>
      <c r="P25" s="17">
        <f>257*(1-S3/100)</f>
        <v>257</v>
      </c>
      <c r="Q25" s="18"/>
      <c r="R25" s="10">
        <f t="shared" si="1"/>
        <v>0</v>
      </c>
      <c r="S25" s="19">
        <f>0.092*Q25</f>
        <v>0</v>
      </c>
      <c r="T25" s="20">
        <f>0.00028*Q25</f>
        <v>0</v>
      </c>
      <c r="U25" s="21"/>
      <c r="V25" s="22" t="s">
        <v>141</v>
      </c>
      <c r="W25" s="22" t="s">
        <v>49</v>
      </c>
      <c r="X25" s="3"/>
      <c r="Y25" s="3" t="s">
        <v>142</v>
      </c>
      <c r="Z25" s="3" t="s">
        <v>52</v>
      </c>
      <c r="AA25" s="3"/>
      <c r="AB25" s="3"/>
      <c r="AC25" s="3" t="str">
        <f>HYPERLINK("https://knigipp.ru/api/getInfo/image/4e3e4d31-cb90-11f0-a28a-00155d82e908")</f>
        <v>https://knigipp.ru/api/getInfo/image/4e3e4d31-cb90-11f0-a28a-00155d82e908</v>
      </c>
      <c r="AD25" s="32">
        <v>24</v>
      </c>
      <c r="AE25" s="3" t="s">
        <v>54</v>
      </c>
      <c r="AF25" s="3" t="s">
        <v>136</v>
      </c>
      <c r="AG25" s="3"/>
      <c r="AH25" s="3" t="s">
        <v>56</v>
      </c>
      <c r="AI25" s="3"/>
      <c r="AJ25" s="3"/>
      <c r="AK25" s="3" t="str">
        <f>HYPERLINK("https://knigipp.ru/api/getInfo/item/4e3e4d31-cb90-11f0-a28a-00155d82e908")</f>
        <v>https://knigipp.ru/api/getInfo/item/4e3e4d31-cb90-11f0-a28a-00155d82e908</v>
      </c>
      <c r="AL25" s="3" t="s">
        <v>143</v>
      </c>
    </row>
    <row r="26" spans="1:38" ht="21" customHeight="1" outlineLevel="4" x14ac:dyDescent="0.2">
      <c r="A26" s="2">
        <v>14</v>
      </c>
      <c r="B26" s="3" t="s">
        <v>144</v>
      </c>
      <c r="C26" s="49" t="s">
        <v>145</v>
      </c>
      <c r="D26" s="49"/>
      <c r="E26" s="49"/>
      <c r="F26" s="49"/>
      <c r="G26" s="4" t="s">
        <v>146</v>
      </c>
      <c r="H26" s="8"/>
      <c r="I26" s="9" t="s">
        <v>133</v>
      </c>
      <c r="J26" s="10"/>
      <c r="K26" s="11">
        <v>54</v>
      </c>
      <c r="L26" s="10"/>
      <c r="M26" s="10" t="s">
        <v>47</v>
      </c>
      <c r="N26" s="10"/>
      <c r="O26" s="2">
        <v>2</v>
      </c>
      <c r="P26" s="17">
        <f>257*(1-S3/100)</f>
        <v>257</v>
      </c>
      <c r="Q26" s="18"/>
      <c r="R26" s="10">
        <f t="shared" si="1"/>
        <v>0</v>
      </c>
      <c r="S26" s="19">
        <f>0.091*Q26</f>
        <v>0</v>
      </c>
      <c r="T26" s="20">
        <f>0.00028*Q26</f>
        <v>0</v>
      </c>
      <c r="U26" s="21"/>
      <c r="V26" s="22" t="s">
        <v>147</v>
      </c>
      <c r="W26" s="22" t="s">
        <v>49</v>
      </c>
      <c r="X26" s="3"/>
      <c r="Y26" s="3" t="s">
        <v>148</v>
      </c>
      <c r="Z26" s="3" t="s">
        <v>52</v>
      </c>
      <c r="AA26" s="3"/>
      <c r="AB26" s="3"/>
      <c r="AC26" s="3" t="str">
        <f>HYPERLINK("https://knigipp.ru/api/getInfo/image/6fa0cdcc-cb90-11f0-a28a-00155d82e908")</f>
        <v>https://knigipp.ru/api/getInfo/image/6fa0cdcc-cb90-11f0-a28a-00155d82e908</v>
      </c>
      <c r="AD26" s="32">
        <v>24</v>
      </c>
      <c r="AE26" s="3" t="s">
        <v>54</v>
      </c>
      <c r="AF26" s="3" t="s">
        <v>136</v>
      </c>
      <c r="AG26" s="3"/>
      <c r="AH26" s="3" t="s">
        <v>56</v>
      </c>
      <c r="AI26" s="3"/>
      <c r="AJ26" s="3"/>
      <c r="AK26" s="3" t="str">
        <f>HYPERLINK("https://knigipp.ru/api/getInfo/item/6fa0cdcc-cb90-11f0-a28a-00155d82e908")</f>
        <v>https://knigipp.ru/api/getInfo/item/6fa0cdcc-cb90-11f0-a28a-00155d82e908</v>
      </c>
      <c r="AL26" s="3" t="s">
        <v>143</v>
      </c>
    </row>
    <row r="27" spans="1:38" ht="21" customHeight="1" outlineLevel="4" x14ac:dyDescent="0.2">
      <c r="A27" s="5">
        <v>15</v>
      </c>
      <c r="B27" s="6" t="s">
        <v>149</v>
      </c>
      <c r="C27" s="54" t="s">
        <v>150</v>
      </c>
      <c r="D27" s="54"/>
      <c r="E27" s="54"/>
      <c r="F27" s="54"/>
      <c r="G27" s="7" t="s">
        <v>151</v>
      </c>
      <c r="H27" s="12"/>
      <c r="I27" s="13" t="s">
        <v>152</v>
      </c>
      <c r="J27" s="14"/>
      <c r="K27" s="15">
        <v>54</v>
      </c>
      <c r="L27" s="14"/>
      <c r="M27" s="14" t="s">
        <v>47</v>
      </c>
      <c r="N27" s="14"/>
      <c r="O27" s="5">
        <v>2</v>
      </c>
      <c r="P27" s="23">
        <f>347*(1-S3/100)</f>
        <v>347</v>
      </c>
      <c r="Q27" s="18"/>
      <c r="R27" s="14">
        <f t="shared" si="1"/>
        <v>0</v>
      </c>
      <c r="S27" s="24">
        <f>0.094*Q27</f>
        <v>0</v>
      </c>
      <c r="T27" s="25">
        <f>0.00011*Q27</f>
        <v>0</v>
      </c>
      <c r="U27" s="26" t="s">
        <v>62</v>
      </c>
      <c r="V27" s="27" t="s">
        <v>153</v>
      </c>
      <c r="W27" s="27" t="s">
        <v>49</v>
      </c>
      <c r="X27" s="6"/>
      <c r="Y27" s="6" t="s">
        <v>154</v>
      </c>
      <c r="Z27" s="6" t="s">
        <v>52</v>
      </c>
      <c r="AA27" s="6"/>
      <c r="AB27" s="6"/>
      <c r="AC27" s="6" t="str">
        <f>HYPERLINK("https://knigipp.ru/api/getInfo/image/8795ef43-47a9-11f1-a294-00155d82e908")</f>
        <v>https://knigipp.ru/api/getInfo/image/8795ef43-47a9-11f1-a294-00155d82e908</v>
      </c>
      <c r="AD27" s="33">
        <v>24</v>
      </c>
      <c r="AE27" s="6" t="s">
        <v>54</v>
      </c>
      <c r="AF27" s="6" t="s">
        <v>136</v>
      </c>
      <c r="AG27" s="6"/>
      <c r="AH27" s="6" t="s">
        <v>56</v>
      </c>
      <c r="AI27" s="6"/>
      <c r="AJ27" s="6"/>
      <c r="AK27" s="6" t="str">
        <f>HYPERLINK("https://knigipp.ru/api/getInfo/item/8795ef43-47a9-11f1-a294-00155d82e908")</f>
        <v>https://knigipp.ru/api/getInfo/item/8795ef43-47a9-11f1-a294-00155d82e908</v>
      </c>
      <c r="AL27" s="6" t="s">
        <v>137</v>
      </c>
    </row>
    <row r="28" spans="1:38" ht="21" customHeight="1" outlineLevel="4" x14ac:dyDescent="0.2">
      <c r="A28" s="5">
        <v>16</v>
      </c>
      <c r="B28" s="6" t="s">
        <v>155</v>
      </c>
      <c r="C28" s="54" t="s">
        <v>156</v>
      </c>
      <c r="D28" s="54"/>
      <c r="E28" s="54"/>
      <c r="F28" s="54"/>
      <c r="G28" s="7" t="s">
        <v>157</v>
      </c>
      <c r="H28" s="12"/>
      <c r="I28" s="13" t="s">
        <v>152</v>
      </c>
      <c r="J28" s="14"/>
      <c r="K28" s="15">
        <v>54</v>
      </c>
      <c r="L28" s="14"/>
      <c r="M28" s="14" t="s">
        <v>47</v>
      </c>
      <c r="N28" s="14"/>
      <c r="O28" s="5">
        <v>2</v>
      </c>
      <c r="P28" s="23">
        <f>347*(1-S3/100)</f>
        <v>347</v>
      </c>
      <c r="Q28" s="18"/>
      <c r="R28" s="14">
        <f t="shared" si="1"/>
        <v>0</v>
      </c>
      <c r="S28" s="24">
        <f>0.098*Q28</f>
        <v>0</v>
      </c>
      <c r="T28" s="25">
        <f>0.00011*Q28</f>
        <v>0</v>
      </c>
      <c r="U28" s="26" t="s">
        <v>62</v>
      </c>
      <c r="V28" s="27" t="s">
        <v>158</v>
      </c>
      <c r="W28" s="27" t="s">
        <v>49</v>
      </c>
      <c r="X28" s="6"/>
      <c r="Y28" s="6" t="s">
        <v>159</v>
      </c>
      <c r="Z28" s="6" t="s">
        <v>52</v>
      </c>
      <c r="AA28" s="6"/>
      <c r="AB28" s="6"/>
      <c r="AC28" s="6" t="str">
        <f>HYPERLINK("https://knigipp.ru/api/getInfo/image/b7d64fac-47a9-11f1-a294-00155d82e908")</f>
        <v>https://knigipp.ru/api/getInfo/image/b7d64fac-47a9-11f1-a294-00155d82e908</v>
      </c>
      <c r="AD28" s="33">
        <v>24</v>
      </c>
      <c r="AE28" s="6" t="s">
        <v>54</v>
      </c>
      <c r="AF28" s="6" t="s">
        <v>136</v>
      </c>
      <c r="AG28" s="6"/>
      <c r="AH28" s="6" t="s">
        <v>56</v>
      </c>
      <c r="AI28" s="6"/>
      <c r="AJ28" s="6"/>
      <c r="AK28" s="6" t="str">
        <f>HYPERLINK("https://knigipp.ru/api/getInfo/item/b7d64fac-47a9-11f1-a294-00155d82e908")</f>
        <v>https://knigipp.ru/api/getInfo/item/b7d64fac-47a9-11f1-a294-00155d82e908</v>
      </c>
      <c r="AL28" s="6" t="s">
        <v>137</v>
      </c>
    </row>
    <row r="29" spans="1:38" ht="21" customHeight="1" outlineLevel="4" x14ac:dyDescent="0.2">
      <c r="A29" s="5">
        <v>17</v>
      </c>
      <c r="B29" s="6" t="s">
        <v>160</v>
      </c>
      <c r="C29" s="54" t="s">
        <v>161</v>
      </c>
      <c r="D29" s="54"/>
      <c r="E29" s="54"/>
      <c r="F29" s="54"/>
      <c r="G29" s="7" t="s">
        <v>162</v>
      </c>
      <c r="H29" s="12"/>
      <c r="I29" s="13" t="s">
        <v>152</v>
      </c>
      <c r="J29" s="14"/>
      <c r="K29" s="15">
        <v>54</v>
      </c>
      <c r="L29" s="14"/>
      <c r="M29" s="14" t="s">
        <v>47</v>
      </c>
      <c r="N29" s="14"/>
      <c r="O29" s="5">
        <v>2</v>
      </c>
      <c r="P29" s="23">
        <f>347*(1-S3/100)</f>
        <v>347</v>
      </c>
      <c r="Q29" s="18"/>
      <c r="R29" s="14">
        <f t="shared" si="1"/>
        <v>0</v>
      </c>
      <c r="S29" s="24">
        <f>0.097*Q29</f>
        <v>0</v>
      </c>
      <c r="T29" s="25">
        <f>0.00033*Q29</f>
        <v>0</v>
      </c>
      <c r="U29" s="26" t="s">
        <v>62</v>
      </c>
      <c r="V29" s="27" t="s">
        <v>163</v>
      </c>
      <c r="W29" s="27" t="s">
        <v>49</v>
      </c>
      <c r="X29" s="6"/>
      <c r="Y29" s="6" t="s">
        <v>164</v>
      </c>
      <c r="Z29" s="6" t="s">
        <v>52</v>
      </c>
      <c r="AA29" s="6"/>
      <c r="AB29" s="6"/>
      <c r="AC29" s="6" t="str">
        <f>HYPERLINK("https://knigipp.ru/api/getInfo/image/d930ba55-47a9-11f1-a294-00155d82e908")</f>
        <v>https://knigipp.ru/api/getInfo/image/d930ba55-47a9-11f1-a294-00155d82e908</v>
      </c>
      <c r="AD29" s="33">
        <v>24</v>
      </c>
      <c r="AE29" s="6"/>
      <c r="AF29" s="6" t="s">
        <v>136</v>
      </c>
      <c r="AG29" s="6"/>
      <c r="AH29" s="6" t="s">
        <v>56</v>
      </c>
      <c r="AI29" s="6"/>
      <c r="AJ29" s="6"/>
      <c r="AK29" s="6" t="str">
        <f>HYPERLINK("https://knigipp.ru/api/getInfo/item/d930ba55-47a9-11f1-a294-00155d82e908")</f>
        <v>https://knigipp.ru/api/getInfo/item/d930ba55-47a9-11f1-a294-00155d82e908</v>
      </c>
      <c r="AL29" s="6" t="s">
        <v>137</v>
      </c>
    </row>
    <row r="30" spans="1:38" ht="23.1" customHeight="1" outlineLevel="3" x14ac:dyDescent="0.2">
      <c r="A30" s="48" t="s">
        <v>165</v>
      </c>
      <c r="B30" s="48"/>
      <c r="C30" s="48"/>
      <c r="D30" s="48"/>
      <c r="E30" s="48"/>
      <c r="F30" s="48"/>
    </row>
    <row r="31" spans="1:38" ht="21" customHeight="1" outlineLevel="4" x14ac:dyDescent="0.2">
      <c r="A31" s="2">
        <v>18</v>
      </c>
      <c r="B31" s="3" t="s">
        <v>166</v>
      </c>
      <c r="C31" s="49" t="s">
        <v>167</v>
      </c>
      <c r="D31" s="49"/>
      <c r="E31" s="49"/>
      <c r="F31" s="49"/>
      <c r="G31" s="4" t="s">
        <v>168</v>
      </c>
      <c r="H31" s="8"/>
      <c r="I31" s="9" t="s">
        <v>169</v>
      </c>
      <c r="J31" s="10"/>
      <c r="K31" s="11">
        <v>100</v>
      </c>
      <c r="L31" s="10"/>
      <c r="M31" s="10" t="s">
        <v>47</v>
      </c>
      <c r="N31" s="10"/>
      <c r="O31" s="2">
        <v>2</v>
      </c>
      <c r="P31" s="17">
        <f>349*(1-S3/100)</f>
        <v>349</v>
      </c>
      <c r="Q31" s="18"/>
      <c r="R31" s="10">
        <f>P31*Q31</f>
        <v>0</v>
      </c>
      <c r="S31" s="19">
        <f>0.148*Q31</f>
        <v>0</v>
      </c>
      <c r="T31" s="30">
        <f>0.0003*Q31</f>
        <v>0</v>
      </c>
      <c r="U31" s="21"/>
      <c r="V31" s="22" t="s">
        <v>170</v>
      </c>
      <c r="W31" s="22" t="s">
        <v>49</v>
      </c>
      <c r="X31" s="3" t="s">
        <v>72</v>
      </c>
      <c r="Y31" s="3" t="s">
        <v>171</v>
      </c>
      <c r="Z31" s="3" t="s">
        <v>52</v>
      </c>
      <c r="AA31" s="3"/>
      <c r="AB31" s="3"/>
      <c r="AC31" s="3" t="str">
        <f>HYPERLINK("https://knigipp.ru/api/getInfo/image/e45977f5-25be-11f0-a279-00155d82e908")</f>
        <v>https://knigipp.ru/api/getInfo/image/e45977f5-25be-11f0-a279-00155d82e908</v>
      </c>
      <c r="AD31" s="32">
        <v>64</v>
      </c>
      <c r="AE31" s="3" t="s">
        <v>54</v>
      </c>
      <c r="AF31" s="3" t="s">
        <v>55</v>
      </c>
      <c r="AG31" s="3"/>
      <c r="AH31" s="3" t="s">
        <v>56</v>
      </c>
      <c r="AI31" s="3"/>
      <c r="AJ31" s="3"/>
      <c r="AK31" s="3" t="str">
        <f>HYPERLINK("https://knigipp.ru/api/getInfo/item/e45977f5-25be-11f0-a279-00155d82e908")</f>
        <v>https://knigipp.ru/api/getInfo/item/e45977f5-25be-11f0-a279-00155d82e908</v>
      </c>
      <c r="AL31" s="3" t="s">
        <v>57</v>
      </c>
    </row>
    <row r="32" spans="1:38" ht="21" customHeight="1" outlineLevel="4" x14ac:dyDescent="0.2">
      <c r="A32" s="2">
        <v>19</v>
      </c>
      <c r="B32" s="3" t="s">
        <v>172</v>
      </c>
      <c r="C32" s="49" t="s">
        <v>173</v>
      </c>
      <c r="D32" s="49"/>
      <c r="E32" s="49"/>
      <c r="F32" s="49"/>
      <c r="G32" s="4" t="s">
        <v>174</v>
      </c>
      <c r="H32" s="8"/>
      <c r="I32" s="9" t="s">
        <v>175</v>
      </c>
      <c r="J32" s="10"/>
      <c r="K32" s="11">
        <v>100</v>
      </c>
      <c r="L32" s="10"/>
      <c r="M32" s="10" t="s">
        <v>47</v>
      </c>
      <c r="N32" s="10"/>
      <c r="O32" s="2">
        <v>2</v>
      </c>
      <c r="P32" s="17">
        <f>437*(1-S3/100)</f>
        <v>437</v>
      </c>
      <c r="Q32" s="18"/>
      <c r="R32" s="10">
        <f>P32*Q32</f>
        <v>0</v>
      </c>
      <c r="S32" s="19">
        <f>0.146*Q32</f>
        <v>0</v>
      </c>
      <c r="T32" s="20">
        <f>0.00021*Q32</f>
        <v>0</v>
      </c>
      <c r="U32" s="21"/>
      <c r="V32" s="22" t="s">
        <v>176</v>
      </c>
      <c r="W32" s="22" t="s">
        <v>49</v>
      </c>
      <c r="X32" s="3" t="s">
        <v>72</v>
      </c>
      <c r="Y32" s="3" t="s">
        <v>177</v>
      </c>
      <c r="Z32" s="3" t="s">
        <v>52</v>
      </c>
      <c r="AA32" s="3"/>
      <c r="AB32" s="3"/>
      <c r="AC32" s="3" t="str">
        <f>HYPERLINK("https://knigipp.ru/api/getInfo/image/88874bda-cc63-11f0-a28a-00155d82e908")</f>
        <v>https://knigipp.ru/api/getInfo/image/88874bda-cc63-11f0-a28a-00155d82e908</v>
      </c>
      <c r="AD32" s="32">
        <v>64</v>
      </c>
      <c r="AE32" s="3" t="s">
        <v>54</v>
      </c>
      <c r="AF32" s="3" t="s">
        <v>55</v>
      </c>
      <c r="AG32" s="3"/>
      <c r="AH32" s="3" t="s">
        <v>56</v>
      </c>
      <c r="AI32" s="3"/>
      <c r="AJ32" s="3"/>
      <c r="AK32" s="3" t="str">
        <f>HYPERLINK("https://knigipp.ru/api/getInfo/item/88874bda-cc63-11f0-a28a-00155d82e908")</f>
        <v>https://knigipp.ru/api/getInfo/item/88874bda-cc63-11f0-a28a-00155d82e908</v>
      </c>
      <c r="AL32" s="3" t="s">
        <v>57</v>
      </c>
    </row>
    <row r="33" spans="1:38" ht="23.1" customHeight="1" outlineLevel="3" x14ac:dyDescent="0.2">
      <c r="A33" s="48" t="s">
        <v>178</v>
      </c>
      <c r="B33" s="48"/>
      <c r="C33" s="48"/>
      <c r="D33" s="48"/>
      <c r="E33" s="48"/>
      <c r="F33" s="48"/>
    </row>
    <row r="34" spans="1:38" ht="21" customHeight="1" outlineLevel="4" x14ac:dyDescent="0.2">
      <c r="A34" s="2">
        <v>20</v>
      </c>
      <c r="B34" s="3" t="s">
        <v>179</v>
      </c>
      <c r="C34" s="49" t="s">
        <v>180</v>
      </c>
      <c r="D34" s="49"/>
      <c r="E34" s="49"/>
      <c r="F34" s="49"/>
      <c r="G34" s="4" t="s">
        <v>181</v>
      </c>
      <c r="H34" s="8"/>
      <c r="I34" s="9" t="s">
        <v>182</v>
      </c>
      <c r="J34" s="10"/>
      <c r="K34" s="11">
        <v>10</v>
      </c>
      <c r="L34" s="10"/>
      <c r="M34" s="10" t="s">
        <v>47</v>
      </c>
      <c r="N34" s="10"/>
      <c r="O34" s="2">
        <v>1</v>
      </c>
      <c r="P34" s="17">
        <f>677*(1-S3/100)</f>
        <v>677</v>
      </c>
      <c r="Q34" s="18"/>
      <c r="R34" s="10">
        <f>P34*Q34</f>
        <v>0</v>
      </c>
      <c r="S34" s="19">
        <f>0.241*Q34</f>
        <v>0</v>
      </c>
      <c r="T34" s="30">
        <f>0.0003*Q34</f>
        <v>0</v>
      </c>
      <c r="U34" s="21"/>
      <c r="V34" s="22" t="s">
        <v>183</v>
      </c>
      <c r="W34" s="22" t="s">
        <v>49</v>
      </c>
      <c r="X34" s="3" t="s">
        <v>117</v>
      </c>
      <c r="Y34" s="3" t="s">
        <v>184</v>
      </c>
      <c r="Z34" s="3" t="s">
        <v>52</v>
      </c>
      <c r="AA34" s="3"/>
      <c r="AB34" s="3"/>
      <c r="AC34" s="3" t="str">
        <f>HYPERLINK("https://knigipp.ru/api/getInfo/image/c36ab87d-e572-11f0-a28c-00155d82e908")</f>
        <v>https://knigipp.ru/api/getInfo/image/c36ab87d-e572-11f0-a28c-00155d82e908</v>
      </c>
      <c r="AD34" s="32">
        <v>80</v>
      </c>
      <c r="AE34" s="3" t="s">
        <v>54</v>
      </c>
      <c r="AF34" s="3" t="s">
        <v>127</v>
      </c>
      <c r="AG34" s="3"/>
      <c r="AH34" s="3" t="s">
        <v>56</v>
      </c>
      <c r="AI34" s="3"/>
      <c r="AJ34" s="3"/>
      <c r="AK34" s="3" t="str">
        <f>HYPERLINK("https://knigipp.ru/api/getInfo/item/c36ab87d-e572-11f0-a28c-00155d82e908")</f>
        <v>https://knigipp.ru/api/getInfo/item/c36ab87d-e572-11f0-a28c-00155d82e908</v>
      </c>
      <c r="AL34" s="3" t="s">
        <v>185</v>
      </c>
    </row>
    <row r="35" spans="1:38" ht="23.1" customHeight="1" outlineLevel="2" x14ac:dyDescent="0.2">
      <c r="A35" s="47" t="s">
        <v>186</v>
      </c>
      <c r="B35" s="47"/>
      <c r="C35" s="47"/>
      <c r="D35" s="47"/>
      <c r="E35" s="47"/>
      <c r="F35" s="47"/>
    </row>
    <row r="36" spans="1:38" ht="21" customHeight="1" outlineLevel="3" x14ac:dyDescent="0.2">
      <c r="A36" s="5">
        <v>21</v>
      </c>
      <c r="B36" s="6" t="s">
        <v>187</v>
      </c>
      <c r="C36" s="54" t="s">
        <v>188</v>
      </c>
      <c r="D36" s="54"/>
      <c r="E36" s="54"/>
      <c r="F36" s="54"/>
      <c r="G36" s="7" t="s">
        <v>189</v>
      </c>
      <c r="H36" s="12"/>
      <c r="I36" s="13"/>
      <c r="J36" s="14"/>
      <c r="K36" s="15">
        <v>30</v>
      </c>
      <c r="L36" s="14"/>
      <c r="M36" s="14" t="s">
        <v>47</v>
      </c>
      <c r="N36" s="14"/>
      <c r="O36" s="5">
        <v>2</v>
      </c>
      <c r="P36" s="23">
        <f>337*(1-S3/100)</f>
        <v>337</v>
      </c>
      <c r="Q36" s="18"/>
      <c r="R36" s="14">
        <f>P36*Q36</f>
        <v>0</v>
      </c>
      <c r="S36" s="24">
        <f>0.146*Q36</f>
        <v>0</v>
      </c>
      <c r="T36" s="25">
        <f>0.00016*Q36</f>
        <v>0</v>
      </c>
      <c r="U36" s="26" t="s">
        <v>62</v>
      </c>
      <c r="V36" s="27" t="s">
        <v>190</v>
      </c>
      <c r="W36" s="27" t="s">
        <v>191</v>
      </c>
      <c r="X36" s="6"/>
      <c r="Y36" s="6"/>
      <c r="Z36" s="6" t="s">
        <v>52</v>
      </c>
      <c r="AA36" s="6"/>
      <c r="AB36" s="6"/>
      <c r="AC36" s="6" t="str">
        <f>HYPERLINK("https://knigipp.ru/api/getInfo/image/e26d2de2-6b08-11f1-a29a-00155d82e908")</f>
        <v>https://knigipp.ru/api/getInfo/image/e26d2de2-6b08-11f1-a29a-00155d82e908</v>
      </c>
      <c r="AD36" s="33">
        <v>24</v>
      </c>
      <c r="AE36" s="6" t="s">
        <v>54</v>
      </c>
      <c r="AF36" s="6" t="s">
        <v>136</v>
      </c>
      <c r="AG36" s="6"/>
      <c r="AH36" s="6"/>
      <c r="AI36" s="6"/>
      <c r="AJ36" s="6"/>
      <c r="AK36" s="6" t="str">
        <f>HYPERLINK("https://knigipp.ru/api/getInfo/item/e26d2de2-6b08-11f1-a29a-00155d82e908")</f>
        <v>https://knigipp.ru/api/getInfo/item/e26d2de2-6b08-11f1-a29a-00155d82e908</v>
      </c>
      <c r="AL36" s="6" t="s">
        <v>192</v>
      </c>
    </row>
    <row r="37" spans="1:38" ht="23.1" customHeight="1" outlineLevel="2" x14ac:dyDescent="0.2">
      <c r="A37" s="47" t="s">
        <v>193</v>
      </c>
      <c r="B37" s="47"/>
      <c r="C37" s="47"/>
      <c r="D37" s="47"/>
      <c r="E37" s="47"/>
      <c r="F37" s="47"/>
    </row>
    <row r="38" spans="1:38" ht="21" customHeight="1" outlineLevel="3" x14ac:dyDescent="0.2">
      <c r="A38" s="2">
        <v>22</v>
      </c>
      <c r="B38" s="3" t="s">
        <v>194</v>
      </c>
      <c r="C38" s="49" t="s">
        <v>195</v>
      </c>
      <c r="D38" s="49"/>
      <c r="E38" s="49"/>
      <c r="F38" s="49"/>
      <c r="G38" s="4" t="s">
        <v>196</v>
      </c>
      <c r="H38" s="8"/>
      <c r="I38" s="9" t="s">
        <v>197</v>
      </c>
      <c r="J38" s="10"/>
      <c r="K38" s="11">
        <v>20</v>
      </c>
      <c r="L38" s="10"/>
      <c r="M38" s="10" t="s">
        <v>47</v>
      </c>
      <c r="N38" s="10"/>
      <c r="O38" s="2">
        <v>2</v>
      </c>
      <c r="P38" s="17">
        <f>377*(1-S3/100)</f>
        <v>377</v>
      </c>
      <c r="Q38" s="18"/>
      <c r="R38" s="10">
        <f>P38*Q38</f>
        <v>0</v>
      </c>
      <c r="S38" s="19">
        <f>0.144*Q38</f>
        <v>0</v>
      </c>
      <c r="T38" s="20">
        <f>0.00061*Q38</f>
        <v>0</v>
      </c>
      <c r="U38" s="21"/>
      <c r="V38" s="22" t="s">
        <v>198</v>
      </c>
      <c r="W38" s="22" t="s">
        <v>49</v>
      </c>
      <c r="X38" s="3"/>
      <c r="Y38" s="3" t="s">
        <v>199</v>
      </c>
      <c r="Z38" s="3" t="s">
        <v>52</v>
      </c>
      <c r="AA38" s="3"/>
      <c r="AB38" s="3"/>
      <c r="AC38" s="3" t="str">
        <f>HYPERLINK("https://knigipp.ru/api/getInfo/image/c91f632a-840f-11f0-a284-00155d82e908")</f>
        <v>https://knigipp.ru/api/getInfo/image/c91f632a-840f-11f0-a284-00155d82e908</v>
      </c>
      <c r="AD38" s="32">
        <v>64</v>
      </c>
      <c r="AE38" s="3" t="s">
        <v>54</v>
      </c>
      <c r="AF38" s="3" t="s">
        <v>55</v>
      </c>
      <c r="AG38" s="3"/>
      <c r="AH38" s="3" t="s">
        <v>56</v>
      </c>
      <c r="AI38" s="3"/>
      <c r="AJ38" s="3"/>
      <c r="AK38" s="3" t="str">
        <f>HYPERLINK("https://knigipp.ru/api/getInfo/item/c91f632a-840f-11f0-a284-00155d82e908")</f>
        <v>https://knigipp.ru/api/getInfo/item/c91f632a-840f-11f0-a284-00155d82e908</v>
      </c>
      <c r="AL38" s="3" t="s">
        <v>57</v>
      </c>
    </row>
    <row r="39" spans="1:38" ht="23.1" customHeight="1" outlineLevel="1" x14ac:dyDescent="0.2">
      <c r="A39" s="46" t="s">
        <v>200</v>
      </c>
      <c r="B39" s="46"/>
      <c r="C39" s="46"/>
      <c r="D39" s="46"/>
      <c r="E39" s="46"/>
      <c r="F39" s="46"/>
    </row>
    <row r="40" spans="1:38" ht="23.1" customHeight="1" outlineLevel="2" x14ac:dyDescent="0.2">
      <c r="A40" s="47" t="s">
        <v>201</v>
      </c>
      <c r="B40" s="47"/>
      <c r="C40" s="47"/>
      <c r="D40" s="47"/>
      <c r="E40" s="47"/>
      <c r="F40" s="47"/>
    </row>
    <row r="41" spans="1:38" ht="21" customHeight="1" outlineLevel="3" x14ac:dyDescent="0.2">
      <c r="A41" s="2">
        <v>23</v>
      </c>
      <c r="B41" s="3" t="s">
        <v>202</v>
      </c>
      <c r="C41" s="49" t="s">
        <v>203</v>
      </c>
      <c r="D41" s="49"/>
      <c r="E41" s="49"/>
      <c r="F41" s="49"/>
      <c r="G41" s="4" t="s">
        <v>204</v>
      </c>
      <c r="H41" s="8"/>
      <c r="I41" s="9" t="s">
        <v>205</v>
      </c>
      <c r="J41" s="10"/>
      <c r="K41" s="11">
        <v>40</v>
      </c>
      <c r="L41" s="10"/>
      <c r="M41" s="10" t="s">
        <v>47</v>
      </c>
      <c r="N41" s="10"/>
      <c r="O41" s="2">
        <v>5</v>
      </c>
      <c r="P41" s="17">
        <f>147*(1-S3/100)</f>
        <v>147</v>
      </c>
      <c r="Q41" s="18"/>
      <c r="R41" s="10">
        <f t="shared" ref="R41:R48" si="2">P41*Q41</f>
        <v>0</v>
      </c>
      <c r="S41" s="19">
        <f>0.082*Q41</f>
        <v>0</v>
      </c>
      <c r="T41" s="20">
        <f>0.00025*Q41</f>
        <v>0</v>
      </c>
      <c r="U41" s="21"/>
      <c r="V41" s="22" t="s">
        <v>206</v>
      </c>
      <c r="W41" s="22" t="s">
        <v>49</v>
      </c>
      <c r="X41" s="3" t="s">
        <v>207</v>
      </c>
      <c r="Y41" s="3" t="s">
        <v>208</v>
      </c>
      <c r="Z41" s="3" t="s">
        <v>52</v>
      </c>
      <c r="AA41" s="3"/>
      <c r="AB41" s="3"/>
      <c r="AC41" s="3" t="str">
        <f>HYPERLINK("https://knigipp.ru/api/getInfo/image/249ed082-1cba-11ef-a25e-00155d82e908")</f>
        <v>https://knigipp.ru/api/getInfo/image/249ed082-1cba-11ef-a25e-00155d82e908</v>
      </c>
      <c r="AD41" s="32">
        <v>10</v>
      </c>
      <c r="AE41" s="3" t="s">
        <v>54</v>
      </c>
      <c r="AF41" s="3" t="s">
        <v>209</v>
      </c>
      <c r="AG41" s="3"/>
      <c r="AH41" s="3" t="s">
        <v>56</v>
      </c>
      <c r="AI41" s="3"/>
      <c r="AJ41" s="3"/>
      <c r="AK41" s="3" t="str">
        <f>HYPERLINK("https://knigipp.ru/api/getInfo/item/249ed082-1cba-11ef-a25e-00155d82e908")</f>
        <v>https://knigipp.ru/api/getInfo/item/249ed082-1cba-11ef-a25e-00155d82e908</v>
      </c>
      <c r="AL41" s="3" t="s">
        <v>210</v>
      </c>
    </row>
    <row r="42" spans="1:38" ht="21" customHeight="1" outlineLevel="3" x14ac:dyDescent="0.2">
      <c r="A42" s="5">
        <v>24</v>
      </c>
      <c r="B42" s="6" t="s">
        <v>211</v>
      </c>
      <c r="C42" s="54" t="s">
        <v>212</v>
      </c>
      <c r="D42" s="54"/>
      <c r="E42" s="54"/>
      <c r="F42" s="54"/>
      <c r="G42" s="7" t="s">
        <v>213</v>
      </c>
      <c r="H42" s="12"/>
      <c r="I42" s="13"/>
      <c r="J42" s="14"/>
      <c r="K42" s="15">
        <v>40</v>
      </c>
      <c r="L42" s="14"/>
      <c r="M42" s="14" t="s">
        <v>47</v>
      </c>
      <c r="N42" s="14"/>
      <c r="O42" s="5">
        <v>5</v>
      </c>
      <c r="P42" s="23">
        <f>147*(1-S3/100)</f>
        <v>147</v>
      </c>
      <c r="Q42" s="18"/>
      <c r="R42" s="14">
        <f t="shared" si="2"/>
        <v>0</v>
      </c>
      <c r="S42" s="24">
        <f>0.082*Q42</f>
        <v>0</v>
      </c>
      <c r="T42" s="25">
        <f>0.00017*Q42</f>
        <v>0</v>
      </c>
      <c r="U42" s="26" t="s">
        <v>62</v>
      </c>
      <c r="V42" s="27" t="s">
        <v>214</v>
      </c>
      <c r="W42" s="27" t="s">
        <v>49</v>
      </c>
      <c r="X42" s="6" t="s">
        <v>117</v>
      </c>
      <c r="Y42" s="6" t="s">
        <v>215</v>
      </c>
      <c r="Z42" s="6" t="s">
        <v>52</v>
      </c>
      <c r="AA42" s="6"/>
      <c r="AB42" s="6"/>
      <c r="AC42" s="6" t="str">
        <f>HYPERLINK("https://knigipp.ru/api/getInfo/image/88fda4f4-68bc-11f1-a29a-00155d82e908")</f>
        <v>https://knigipp.ru/api/getInfo/image/88fda4f4-68bc-11f1-a29a-00155d82e908</v>
      </c>
      <c r="AD42" s="33">
        <v>10</v>
      </c>
      <c r="AE42" s="6" t="s">
        <v>54</v>
      </c>
      <c r="AF42" s="6" t="s">
        <v>209</v>
      </c>
      <c r="AG42" s="6"/>
      <c r="AH42" s="6" t="s">
        <v>56</v>
      </c>
      <c r="AI42" s="6"/>
      <c r="AJ42" s="6"/>
      <c r="AK42" s="6" t="str">
        <f>HYPERLINK("https://knigipp.ru/api/getInfo/item/88fda4f4-68bc-11f1-a29a-00155d82e908")</f>
        <v>https://knigipp.ru/api/getInfo/item/88fda4f4-68bc-11f1-a29a-00155d82e908</v>
      </c>
      <c r="AL42" s="6" t="s">
        <v>216</v>
      </c>
    </row>
    <row r="43" spans="1:38" ht="21" customHeight="1" outlineLevel="3" x14ac:dyDescent="0.2">
      <c r="A43" s="2">
        <v>25</v>
      </c>
      <c r="B43" s="3" t="s">
        <v>217</v>
      </c>
      <c r="C43" s="49" t="s">
        <v>218</v>
      </c>
      <c r="D43" s="49"/>
      <c r="E43" s="49"/>
      <c r="F43" s="49"/>
      <c r="G43" s="4" t="s">
        <v>219</v>
      </c>
      <c r="H43" s="8"/>
      <c r="I43" s="9" t="s">
        <v>220</v>
      </c>
      <c r="J43" s="10"/>
      <c r="K43" s="11">
        <v>40</v>
      </c>
      <c r="L43" s="10"/>
      <c r="M43" s="10" t="s">
        <v>47</v>
      </c>
      <c r="N43" s="10"/>
      <c r="O43" s="2">
        <v>5</v>
      </c>
      <c r="P43" s="17">
        <f>147*(1-S3/100)</f>
        <v>147</v>
      </c>
      <c r="Q43" s="18"/>
      <c r="R43" s="10">
        <f t="shared" si="2"/>
        <v>0</v>
      </c>
      <c r="S43" s="19">
        <f>0.082*Q43</f>
        <v>0</v>
      </c>
      <c r="T43" s="20">
        <f>0.00405*Q43</f>
        <v>0</v>
      </c>
      <c r="U43" s="21"/>
      <c r="V43" s="22" t="s">
        <v>221</v>
      </c>
      <c r="W43" s="22" t="s">
        <v>49</v>
      </c>
      <c r="X43" s="3"/>
      <c r="Y43" s="3" t="s">
        <v>222</v>
      </c>
      <c r="Z43" s="3" t="s">
        <v>52</v>
      </c>
      <c r="AA43" s="3"/>
      <c r="AB43" s="3"/>
      <c r="AC43" s="3" t="str">
        <f>HYPERLINK("https://knigipp.ru/api/getInfo/image/0757ece5-f93c-11ec-a213-ac1f6b442185")</f>
        <v>https://knigipp.ru/api/getInfo/image/0757ece5-f93c-11ec-a213-ac1f6b442185</v>
      </c>
      <c r="AD43" s="32">
        <v>10</v>
      </c>
      <c r="AE43" s="3"/>
      <c r="AF43" s="3" t="s">
        <v>209</v>
      </c>
      <c r="AG43" s="3"/>
      <c r="AH43" s="3" t="s">
        <v>56</v>
      </c>
      <c r="AI43" s="3"/>
      <c r="AJ43" s="3"/>
      <c r="AK43" s="3" t="str">
        <f>HYPERLINK("https://knigipp.ru/api/getInfo/item/0757ece5-f93c-11ec-a213-ac1f6b442185")</f>
        <v>https://knigipp.ru/api/getInfo/item/0757ece5-f93c-11ec-a213-ac1f6b442185</v>
      </c>
      <c r="AL43" s="3" t="s">
        <v>223</v>
      </c>
    </row>
    <row r="44" spans="1:38" ht="21" customHeight="1" outlineLevel="3" x14ac:dyDescent="0.2">
      <c r="A44" s="5">
        <v>26</v>
      </c>
      <c r="B44" s="6" t="s">
        <v>224</v>
      </c>
      <c r="C44" s="54" t="s">
        <v>225</v>
      </c>
      <c r="D44" s="54"/>
      <c r="E44" s="54"/>
      <c r="F44" s="54"/>
      <c r="G44" s="7" t="s">
        <v>226</v>
      </c>
      <c r="H44" s="12"/>
      <c r="I44" s="13"/>
      <c r="J44" s="14"/>
      <c r="K44" s="15">
        <v>40</v>
      </c>
      <c r="L44" s="14"/>
      <c r="M44" s="14" t="s">
        <v>47</v>
      </c>
      <c r="N44" s="14"/>
      <c r="O44" s="5">
        <v>5</v>
      </c>
      <c r="P44" s="23">
        <f>147*(1-S3/100)</f>
        <v>147</v>
      </c>
      <c r="Q44" s="18"/>
      <c r="R44" s="14">
        <f t="shared" si="2"/>
        <v>0</v>
      </c>
      <c r="S44" s="24">
        <f>0.082*Q44</f>
        <v>0</v>
      </c>
      <c r="T44" s="25">
        <f>0.00405*Q44</f>
        <v>0</v>
      </c>
      <c r="U44" s="26" t="s">
        <v>62</v>
      </c>
      <c r="V44" s="27" t="s">
        <v>227</v>
      </c>
      <c r="W44" s="27" t="s">
        <v>49</v>
      </c>
      <c r="X44" s="6" t="s">
        <v>117</v>
      </c>
      <c r="Y44" s="6" t="s">
        <v>228</v>
      </c>
      <c r="Z44" s="6" t="s">
        <v>52</v>
      </c>
      <c r="AA44" s="6"/>
      <c r="AB44" s="6"/>
      <c r="AC44" s="6" t="str">
        <f>HYPERLINK("https://knigipp.ru/api/getInfo/image/ceb7088c-68bc-11f1-a29a-00155d82e908")</f>
        <v>https://knigipp.ru/api/getInfo/image/ceb7088c-68bc-11f1-a29a-00155d82e908</v>
      </c>
      <c r="AD44" s="33">
        <v>10</v>
      </c>
      <c r="AE44" s="6" t="s">
        <v>54</v>
      </c>
      <c r="AF44" s="6" t="s">
        <v>209</v>
      </c>
      <c r="AG44" s="6"/>
      <c r="AH44" s="6" t="s">
        <v>56</v>
      </c>
      <c r="AI44" s="6"/>
      <c r="AJ44" s="6"/>
      <c r="AK44" s="6" t="str">
        <f>HYPERLINK("https://knigipp.ru/api/getInfo/item/ceb7088c-68bc-11f1-a29a-00155d82e908")</f>
        <v>https://knigipp.ru/api/getInfo/item/ceb7088c-68bc-11f1-a29a-00155d82e908</v>
      </c>
      <c r="AL44" s="6" t="s">
        <v>229</v>
      </c>
    </row>
    <row r="45" spans="1:38" ht="21" customHeight="1" outlineLevel="3" x14ac:dyDescent="0.2">
      <c r="A45" s="2">
        <v>27</v>
      </c>
      <c r="B45" s="3" t="s">
        <v>230</v>
      </c>
      <c r="C45" s="49" t="s">
        <v>231</v>
      </c>
      <c r="D45" s="49"/>
      <c r="E45" s="49"/>
      <c r="F45" s="49"/>
      <c r="G45" s="4" t="s">
        <v>232</v>
      </c>
      <c r="H45" s="8"/>
      <c r="I45" s="9" t="s">
        <v>233</v>
      </c>
      <c r="J45" s="10"/>
      <c r="K45" s="11">
        <v>40</v>
      </c>
      <c r="L45" s="10"/>
      <c r="M45" s="10" t="s">
        <v>47</v>
      </c>
      <c r="N45" s="10"/>
      <c r="O45" s="2">
        <v>5</v>
      </c>
      <c r="P45" s="17">
        <f>147*(1-S3/100)</f>
        <v>147</v>
      </c>
      <c r="Q45" s="18"/>
      <c r="R45" s="10">
        <f t="shared" si="2"/>
        <v>0</v>
      </c>
      <c r="S45" s="19">
        <f>0.103*Q45</f>
        <v>0</v>
      </c>
      <c r="T45" s="20">
        <f>0.00016*Q45</f>
        <v>0</v>
      </c>
      <c r="U45" s="21"/>
      <c r="V45" s="22" t="s">
        <v>234</v>
      </c>
      <c r="W45" s="22" t="s">
        <v>49</v>
      </c>
      <c r="X45" s="3"/>
      <c r="Y45" s="3" t="s">
        <v>235</v>
      </c>
      <c r="Z45" s="3" t="s">
        <v>52</v>
      </c>
      <c r="AA45" s="3" t="s">
        <v>236</v>
      </c>
      <c r="AB45" s="3"/>
      <c r="AC45" s="3" t="str">
        <f>HYPERLINK("https://knigipp.ru/api/getInfo/image/cbc6ba2a-447e-11e7-977d-5cf3fc4a2490")</f>
        <v>https://knigipp.ru/api/getInfo/image/cbc6ba2a-447e-11e7-977d-5cf3fc4a2490</v>
      </c>
      <c r="AD45" s="32">
        <v>10</v>
      </c>
      <c r="AE45" s="3"/>
      <c r="AF45" s="3" t="s">
        <v>209</v>
      </c>
      <c r="AG45" s="3"/>
      <c r="AH45" s="3" t="s">
        <v>56</v>
      </c>
      <c r="AI45" s="3"/>
      <c r="AJ45" s="3" t="s">
        <v>237</v>
      </c>
      <c r="AK45" s="3" t="str">
        <f>HYPERLINK("https://knigipp.ru/api/getInfo/item/cbc6ba2a-447e-11e7-977d-5cf3fc4a2490")</f>
        <v>https://knigipp.ru/api/getInfo/item/cbc6ba2a-447e-11e7-977d-5cf3fc4a2490</v>
      </c>
      <c r="AL45" s="3" t="s">
        <v>238</v>
      </c>
    </row>
    <row r="46" spans="1:38" ht="21" customHeight="1" outlineLevel="3" x14ac:dyDescent="0.2">
      <c r="A46" s="2">
        <v>28</v>
      </c>
      <c r="B46" s="3" t="s">
        <v>239</v>
      </c>
      <c r="C46" s="49" t="s">
        <v>240</v>
      </c>
      <c r="D46" s="49"/>
      <c r="E46" s="49"/>
      <c r="F46" s="49"/>
      <c r="G46" s="4" t="s">
        <v>241</v>
      </c>
      <c r="H46" s="8"/>
      <c r="I46" s="9" t="s">
        <v>242</v>
      </c>
      <c r="J46" s="10"/>
      <c r="K46" s="11">
        <v>40</v>
      </c>
      <c r="L46" s="10"/>
      <c r="M46" s="10" t="s">
        <v>47</v>
      </c>
      <c r="N46" s="10"/>
      <c r="O46" s="2">
        <v>5</v>
      </c>
      <c r="P46" s="17">
        <f>147*(1-S3/100)</f>
        <v>147</v>
      </c>
      <c r="Q46" s="18"/>
      <c r="R46" s="10">
        <f t="shared" si="2"/>
        <v>0</v>
      </c>
      <c r="S46" s="28">
        <f>0.08*Q46</f>
        <v>0</v>
      </c>
      <c r="T46" s="20">
        <f>0.00029*Q46</f>
        <v>0</v>
      </c>
      <c r="U46" s="21"/>
      <c r="V46" s="22" t="s">
        <v>243</v>
      </c>
      <c r="W46" s="22" t="s">
        <v>49</v>
      </c>
      <c r="X46" s="3"/>
      <c r="Y46" s="3" t="s">
        <v>244</v>
      </c>
      <c r="Z46" s="3" t="s">
        <v>52</v>
      </c>
      <c r="AA46" s="3"/>
      <c r="AB46" s="3"/>
      <c r="AC46" s="3" t="str">
        <f>HYPERLINK("https://knigipp.ru/api/getInfo/image/736ac2bb-da62-11eb-a209-ac1f6b442185")</f>
        <v>https://knigipp.ru/api/getInfo/image/736ac2bb-da62-11eb-a209-ac1f6b442185</v>
      </c>
      <c r="AD46" s="32">
        <v>10</v>
      </c>
      <c r="AE46" s="3"/>
      <c r="AF46" s="3" t="s">
        <v>209</v>
      </c>
      <c r="AG46" s="3"/>
      <c r="AH46" s="3" t="s">
        <v>56</v>
      </c>
      <c r="AI46" s="3"/>
      <c r="AJ46" s="3"/>
      <c r="AK46" s="3" t="str">
        <f>HYPERLINK("https://knigipp.ru/api/getInfo/item/736ac2bb-da62-11eb-a209-ac1f6b442185")</f>
        <v>https://knigipp.ru/api/getInfo/item/736ac2bb-da62-11eb-a209-ac1f6b442185</v>
      </c>
      <c r="AL46" s="3" t="s">
        <v>238</v>
      </c>
    </row>
    <row r="47" spans="1:38" ht="21" customHeight="1" outlineLevel="3" x14ac:dyDescent="0.2">
      <c r="A47" s="5">
        <v>29</v>
      </c>
      <c r="B47" s="6" t="s">
        <v>245</v>
      </c>
      <c r="C47" s="54" t="s">
        <v>246</v>
      </c>
      <c r="D47" s="54"/>
      <c r="E47" s="54"/>
      <c r="F47" s="54"/>
      <c r="G47" s="7" t="s">
        <v>247</v>
      </c>
      <c r="H47" s="12"/>
      <c r="I47" s="13"/>
      <c r="J47" s="14"/>
      <c r="K47" s="15">
        <v>40</v>
      </c>
      <c r="L47" s="14"/>
      <c r="M47" s="14" t="s">
        <v>47</v>
      </c>
      <c r="N47" s="14"/>
      <c r="O47" s="5">
        <v>5</v>
      </c>
      <c r="P47" s="23">
        <f>147*(1-S3/100)</f>
        <v>147</v>
      </c>
      <c r="Q47" s="18"/>
      <c r="R47" s="14">
        <f t="shared" si="2"/>
        <v>0</v>
      </c>
      <c r="S47" s="24">
        <f>0.083*Q47</f>
        <v>0</v>
      </c>
      <c r="T47" s="25">
        <f>0.00062*Q47</f>
        <v>0</v>
      </c>
      <c r="U47" s="26" t="s">
        <v>62</v>
      </c>
      <c r="V47" s="27" t="s">
        <v>248</v>
      </c>
      <c r="W47" s="27" t="s">
        <v>49</v>
      </c>
      <c r="X47" s="6"/>
      <c r="Y47" s="6" t="s">
        <v>249</v>
      </c>
      <c r="Z47" s="6" t="s">
        <v>52</v>
      </c>
      <c r="AA47" s="6"/>
      <c r="AB47" s="6"/>
      <c r="AC47" s="6" t="str">
        <f>HYPERLINK("https://knigipp.ru/api/getInfo/image/47139b7b-68bd-11f1-a29a-00155d82e908")</f>
        <v>https://knigipp.ru/api/getInfo/image/47139b7b-68bd-11f1-a29a-00155d82e908</v>
      </c>
      <c r="AD47" s="33">
        <v>10</v>
      </c>
      <c r="AE47" s="6" t="s">
        <v>54</v>
      </c>
      <c r="AF47" s="6" t="s">
        <v>209</v>
      </c>
      <c r="AG47" s="6"/>
      <c r="AH47" s="6" t="s">
        <v>56</v>
      </c>
      <c r="AI47" s="6"/>
      <c r="AJ47" s="6"/>
      <c r="AK47" s="6" t="str">
        <f>HYPERLINK("https://knigipp.ru/api/getInfo/item/47139b7b-68bd-11f1-a29a-00155d82e908")</f>
        <v>https://knigipp.ru/api/getInfo/item/47139b7b-68bd-11f1-a29a-00155d82e908</v>
      </c>
      <c r="AL47" s="6" t="s">
        <v>216</v>
      </c>
    </row>
    <row r="48" spans="1:38" ht="21" customHeight="1" outlineLevel="3" x14ac:dyDescent="0.2">
      <c r="A48" s="5">
        <v>30</v>
      </c>
      <c r="B48" s="6" t="s">
        <v>250</v>
      </c>
      <c r="C48" s="54" t="s">
        <v>251</v>
      </c>
      <c r="D48" s="54"/>
      <c r="E48" s="54"/>
      <c r="F48" s="54"/>
      <c r="G48" s="7" t="s">
        <v>252</v>
      </c>
      <c r="H48" s="12"/>
      <c r="I48" s="13"/>
      <c r="J48" s="14"/>
      <c r="K48" s="15">
        <v>40</v>
      </c>
      <c r="L48" s="14"/>
      <c r="M48" s="14" t="s">
        <v>47</v>
      </c>
      <c r="N48" s="14"/>
      <c r="O48" s="5">
        <v>5</v>
      </c>
      <c r="P48" s="23">
        <f>147*(1-S3/100)</f>
        <v>147</v>
      </c>
      <c r="Q48" s="18"/>
      <c r="R48" s="14">
        <f t="shared" si="2"/>
        <v>0</v>
      </c>
      <c r="S48" s="24">
        <f>0.084*Q48</f>
        <v>0</v>
      </c>
      <c r="T48" s="31">
        <f>0.0001*Q48</f>
        <v>0</v>
      </c>
      <c r="U48" s="26" t="s">
        <v>62</v>
      </c>
      <c r="V48" s="27" t="s">
        <v>253</v>
      </c>
      <c r="W48" s="27" t="s">
        <v>49</v>
      </c>
      <c r="X48" s="6" t="s">
        <v>117</v>
      </c>
      <c r="Y48" s="6" t="s">
        <v>254</v>
      </c>
      <c r="Z48" s="6" t="s">
        <v>52</v>
      </c>
      <c r="AA48" s="6"/>
      <c r="AB48" s="6"/>
      <c r="AC48" s="6" t="str">
        <f>HYPERLINK("https://knigipp.ru/api/getInfo/image/7d4e4b80-68bd-11f1-a29a-00155d82e908")</f>
        <v>https://knigipp.ru/api/getInfo/image/7d4e4b80-68bd-11f1-a29a-00155d82e908</v>
      </c>
      <c r="AD48" s="33">
        <v>10</v>
      </c>
      <c r="AE48" s="6" t="s">
        <v>54</v>
      </c>
      <c r="AF48" s="6" t="s">
        <v>209</v>
      </c>
      <c r="AG48" s="6"/>
      <c r="AH48" s="6" t="s">
        <v>56</v>
      </c>
      <c r="AI48" s="6"/>
      <c r="AJ48" s="6"/>
      <c r="AK48" s="6" t="str">
        <f>HYPERLINK("https://knigipp.ru/api/getInfo/item/7d4e4b80-68bd-11f1-a29a-00155d82e908")</f>
        <v>https://knigipp.ru/api/getInfo/item/7d4e4b80-68bd-11f1-a29a-00155d82e908</v>
      </c>
      <c r="AL48" s="6" t="s">
        <v>229</v>
      </c>
    </row>
    <row r="49" spans="1:38" ht="23.1" customHeight="1" outlineLevel="2" x14ac:dyDescent="0.2">
      <c r="A49" s="47" t="s">
        <v>255</v>
      </c>
      <c r="B49" s="47"/>
      <c r="C49" s="47"/>
      <c r="D49" s="47"/>
      <c r="E49" s="47"/>
      <c r="F49" s="47"/>
    </row>
    <row r="50" spans="1:38" ht="21" customHeight="1" outlineLevel="3" x14ac:dyDescent="0.2">
      <c r="A50" s="2">
        <v>31</v>
      </c>
      <c r="B50" s="3" t="s">
        <v>256</v>
      </c>
      <c r="C50" s="49" t="s">
        <v>257</v>
      </c>
      <c r="D50" s="49"/>
      <c r="E50" s="49"/>
      <c r="F50" s="49"/>
      <c r="G50" s="4" t="s">
        <v>258</v>
      </c>
      <c r="H50" s="8"/>
      <c r="I50" s="9" t="s">
        <v>259</v>
      </c>
      <c r="J50" s="10"/>
      <c r="K50" s="11">
        <v>40</v>
      </c>
      <c r="L50" s="10"/>
      <c r="M50" s="10" t="s">
        <v>47</v>
      </c>
      <c r="N50" s="10"/>
      <c r="O50" s="2">
        <v>5</v>
      </c>
      <c r="P50" s="17">
        <f>147*(1-S3/100)</f>
        <v>147</v>
      </c>
      <c r="Q50" s="18"/>
      <c r="R50" s="10">
        <f>P50*Q50</f>
        <v>0</v>
      </c>
      <c r="S50" s="19">
        <f>0.118*Q50</f>
        <v>0</v>
      </c>
      <c r="T50" s="30">
        <f>0.0002*Q50</f>
        <v>0</v>
      </c>
      <c r="U50" s="21"/>
      <c r="V50" s="22" t="s">
        <v>260</v>
      </c>
      <c r="W50" s="22" t="s">
        <v>49</v>
      </c>
      <c r="X50" s="3" t="s">
        <v>261</v>
      </c>
      <c r="Y50" s="3" t="s">
        <v>262</v>
      </c>
      <c r="Z50" s="3" t="s">
        <v>52</v>
      </c>
      <c r="AA50" s="3" t="s">
        <v>263</v>
      </c>
      <c r="AB50" s="3"/>
      <c r="AC50" s="3" t="str">
        <f>HYPERLINK("https://knigipp.ru/api/getInfo/image/56803345-1b69-11e3-8b8b-5cf3fc4a2490")</f>
        <v>https://knigipp.ru/api/getInfo/image/56803345-1b69-11e3-8b8b-5cf3fc4a2490</v>
      </c>
      <c r="AD50" s="32">
        <v>10</v>
      </c>
      <c r="AE50" s="3"/>
      <c r="AF50" s="3" t="s">
        <v>209</v>
      </c>
      <c r="AG50" s="3"/>
      <c r="AH50" s="3" t="s">
        <v>56</v>
      </c>
      <c r="AI50" s="3"/>
      <c r="AJ50" s="3" t="s">
        <v>264</v>
      </c>
      <c r="AK50" s="3" t="str">
        <f>HYPERLINK("https://knigipp.ru/api/getInfo/item/56803345-1b69-11e3-8b8b-5cf3fc4a2490")</f>
        <v>https://knigipp.ru/api/getInfo/item/56803345-1b69-11e3-8b8b-5cf3fc4a2490</v>
      </c>
      <c r="AL50" s="3" t="s">
        <v>238</v>
      </c>
    </row>
    <row r="51" spans="1:38" ht="21" customHeight="1" outlineLevel="3" x14ac:dyDescent="0.2">
      <c r="A51" s="2">
        <v>32</v>
      </c>
      <c r="B51" s="3" t="s">
        <v>265</v>
      </c>
      <c r="C51" s="49" t="s">
        <v>266</v>
      </c>
      <c r="D51" s="49"/>
      <c r="E51" s="49"/>
      <c r="F51" s="49"/>
      <c r="G51" s="4" t="s">
        <v>267</v>
      </c>
      <c r="H51" s="8"/>
      <c r="I51" s="9" t="s">
        <v>259</v>
      </c>
      <c r="J51" s="10"/>
      <c r="K51" s="11">
        <v>40</v>
      </c>
      <c r="L51" s="10"/>
      <c r="M51" s="10" t="s">
        <v>47</v>
      </c>
      <c r="N51" s="10"/>
      <c r="O51" s="2">
        <v>5</v>
      </c>
      <c r="P51" s="17">
        <f>147*(1-S3/100)</f>
        <v>147</v>
      </c>
      <c r="Q51" s="18"/>
      <c r="R51" s="10">
        <f>P51*Q51</f>
        <v>0</v>
      </c>
      <c r="S51" s="19">
        <f>0.118*Q51</f>
        <v>0</v>
      </c>
      <c r="T51" s="30">
        <f>0.0002*Q51</f>
        <v>0</v>
      </c>
      <c r="U51" s="21"/>
      <c r="V51" s="22" t="s">
        <v>268</v>
      </c>
      <c r="W51" s="22" t="s">
        <v>49</v>
      </c>
      <c r="X51" s="3" t="s">
        <v>269</v>
      </c>
      <c r="Y51" s="3" t="s">
        <v>270</v>
      </c>
      <c r="Z51" s="3" t="s">
        <v>52</v>
      </c>
      <c r="AA51" s="3" t="s">
        <v>263</v>
      </c>
      <c r="AB51" s="3"/>
      <c r="AC51" s="3" t="str">
        <f>HYPERLINK("https://knigipp.ru/api/getInfo/image/ed8fcf46-48a1-11e4-98b8-5cf3fc4a2490")</f>
        <v>https://knigipp.ru/api/getInfo/image/ed8fcf46-48a1-11e4-98b8-5cf3fc4a2490</v>
      </c>
      <c r="AD51" s="32">
        <v>10</v>
      </c>
      <c r="AE51" s="3"/>
      <c r="AF51" s="3" t="s">
        <v>209</v>
      </c>
      <c r="AG51" s="3"/>
      <c r="AH51" s="3" t="s">
        <v>56</v>
      </c>
      <c r="AI51" s="3"/>
      <c r="AJ51" s="3" t="s">
        <v>264</v>
      </c>
      <c r="AK51" s="3" t="str">
        <f>HYPERLINK("https://knigipp.ru/api/getInfo/item/ed8fcf46-48a1-11e4-98b8-5cf3fc4a2490")</f>
        <v>https://knigipp.ru/api/getInfo/item/ed8fcf46-48a1-11e4-98b8-5cf3fc4a2490</v>
      </c>
      <c r="AL51" s="3" t="s">
        <v>238</v>
      </c>
    </row>
    <row r="52" spans="1:38" ht="21" customHeight="1" outlineLevel="3" x14ac:dyDescent="0.2">
      <c r="A52" s="2">
        <v>33</v>
      </c>
      <c r="B52" s="3" t="s">
        <v>271</v>
      </c>
      <c r="C52" s="49" t="s">
        <v>272</v>
      </c>
      <c r="D52" s="49"/>
      <c r="E52" s="49"/>
      <c r="F52" s="49"/>
      <c r="G52" s="4" t="s">
        <v>273</v>
      </c>
      <c r="H52" s="8"/>
      <c r="I52" s="9" t="s">
        <v>259</v>
      </c>
      <c r="J52" s="10"/>
      <c r="K52" s="11">
        <v>40</v>
      </c>
      <c r="L52" s="10"/>
      <c r="M52" s="10" t="s">
        <v>47</v>
      </c>
      <c r="N52" s="10"/>
      <c r="O52" s="2">
        <v>5</v>
      </c>
      <c r="P52" s="17">
        <f>147*(1-S3/100)</f>
        <v>147</v>
      </c>
      <c r="Q52" s="18"/>
      <c r="R52" s="10">
        <f>P52*Q52</f>
        <v>0</v>
      </c>
      <c r="S52" s="19">
        <f>0.118*Q52</f>
        <v>0</v>
      </c>
      <c r="T52" s="30">
        <f>0.0002*Q52</f>
        <v>0</v>
      </c>
      <c r="U52" s="21"/>
      <c r="V52" s="22" t="s">
        <v>274</v>
      </c>
      <c r="W52" s="22" t="s">
        <v>49</v>
      </c>
      <c r="X52" s="3" t="s">
        <v>275</v>
      </c>
      <c r="Y52" s="3" t="s">
        <v>276</v>
      </c>
      <c r="Z52" s="3" t="s">
        <v>52</v>
      </c>
      <c r="AA52" s="3" t="s">
        <v>263</v>
      </c>
      <c r="AB52" s="3"/>
      <c r="AC52" s="3" t="str">
        <f>HYPERLINK("https://knigipp.ru/api/getInfo/image/938eb25f-1c75-11e3-8b8b-5cf3fc4a2490")</f>
        <v>https://knigipp.ru/api/getInfo/image/938eb25f-1c75-11e3-8b8b-5cf3fc4a2490</v>
      </c>
      <c r="AD52" s="32">
        <v>10</v>
      </c>
      <c r="AE52" s="3"/>
      <c r="AF52" s="3" t="s">
        <v>209</v>
      </c>
      <c r="AG52" s="3"/>
      <c r="AH52" s="3" t="s">
        <v>56</v>
      </c>
      <c r="AI52" s="3"/>
      <c r="AJ52" s="3" t="s">
        <v>264</v>
      </c>
      <c r="AK52" s="3" t="str">
        <f>HYPERLINK("https://knigipp.ru/api/getInfo/item/938eb25f-1c75-11e3-8b8b-5cf3fc4a2490")</f>
        <v>https://knigipp.ru/api/getInfo/item/938eb25f-1c75-11e3-8b8b-5cf3fc4a2490</v>
      </c>
      <c r="AL52" s="3" t="s">
        <v>238</v>
      </c>
    </row>
    <row r="53" spans="1:38" ht="21" customHeight="1" outlineLevel="3" x14ac:dyDescent="0.2">
      <c r="A53" s="2">
        <v>34</v>
      </c>
      <c r="B53" s="3" t="s">
        <v>277</v>
      </c>
      <c r="C53" s="49" t="s">
        <v>278</v>
      </c>
      <c r="D53" s="49"/>
      <c r="E53" s="49"/>
      <c r="F53" s="49"/>
      <c r="G53" s="4" t="s">
        <v>279</v>
      </c>
      <c r="H53" s="8"/>
      <c r="I53" s="9" t="s">
        <v>259</v>
      </c>
      <c r="J53" s="10"/>
      <c r="K53" s="11">
        <v>40</v>
      </c>
      <c r="L53" s="10"/>
      <c r="M53" s="10" t="s">
        <v>47</v>
      </c>
      <c r="N53" s="10"/>
      <c r="O53" s="2">
        <v>5</v>
      </c>
      <c r="P53" s="17">
        <f>147*(1-S3/100)</f>
        <v>147</v>
      </c>
      <c r="Q53" s="18"/>
      <c r="R53" s="10">
        <f>P53*Q53</f>
        <v>0</v>
      </c>
      <c r="S53" s="19">
        <f>0.118*Q53</f>
        <v>0</v>
      </c>
      <c r="T53" s="30">
        <f>0.0002*Q53</f>
        <v>0</v>
      </c>
      <c r="U53" s="21"/>
      <c r="V53" s="22" t="s">
        <v>280</v>
      </c>
      <c r="W53" s="22" t="s">
        <v>49</v>
      </c>
      <c r="X53" s="3" t="s">
        <v>281</v>
      </c>
      <c r="Y53" s="3" t="s">
        <v>282</v>
      </c>
      <c r="Z53" s="3" t="s">
        <v>52</v>
      </c>
      <c r="AA53" s="3" t="s">
        <v>263</v>
      </c>
      <c r="AB53" s="3"/>
      <c r="AC53" s="3" t="str">
        <f>HYPERLINK("https://knigipp.ru/api/getInfo/image/0eef8a5f-1c49-11e3-8b8b-5cf3fc4a2490")</f>
        <v>https://knigipp.ru/api/getInfo/image/0eef8a5f-1c49-11e3-8b8b-5cf3fc4a2490</v>
      </c>
      <c r="AD53" s="32">
        <v>10</v>
      </c>
      <c r="AE53" s="3"/>
      <c r="AF53" s="3" t="s">
        <v>209</v>
      </c>
      <c r="AG53" s="3"/>
      <c r="AH53" s="3" t="s">
        <v>56</v>
      </c>
      <c r="AI53" s="3"/>
      <c r="AJ53" s="3" t="s">
        <v>264</v>
      </c>
      <c r="AK53" s="3" t="str">
        <f>HYPERLINK("https://knigipp.ru/api/getInfo/item/0eef8a5f-1c49-11e3-8b8b-5cf3fc4a2490")</f>
        <v>https://knigipp.ru/api/getInfo/item/0eef8a5f-1c49-11e3-8b8b-5cf3fc4a2490</v>
      </c>
      <c r="AL53" s="3" t="s">
        <v>238</v>
      </c>
    </row>
    <row r="54" spans="1:38" ht="23.1" customHeight="1" outlineLevel="2" x14ac:dyDescent="0.2">
      <c r="A54" s="47" t="s">
        <v>283</v>
      </c>
      <c r="B54" s="47"/>
      <c r="C54" s="47"/>
      <c r="D54" s="47"/>
      <c r="E54" s="47"/>
      <c r="F54" s="47"/>
    </row>
    <row r="55" spans="1:38" ht="21" customHeight="1" outlineLevel="3" x14ac:dyDescent="0.2">
      <c r="A55" s="2">
        <v>35</v>
      </c>
      <c r="B55" s="3" t="s">
        <v>284</v>
      </c>
      <c r="C55" s="49" t="s">
        <v>285</v>
      </c>
      <c r="D55" s="49"/>
      <c r="E55" s="49"/>
      <c r="F55" s="49"/>
      <c r="G55" s="4" t="s">
        <v>286</v>
      </c>
      <c r="H55" s="8"/>
      <c r="I55" s="9" t="s">
        <v>287</v>
      </c>
      <c r="J55" s="10"/>
      <c r="K55" s="11">
        <v>40</v>
      </c>
      <c r="L55" s="10"/>
      <c r="M55" s="10" t="s">
        <v>47</v>
      </c>
      <c r="N55" s="10"/>
      <c r="O55" s="2">
        <v>5</v>
      </c>
      <c r="P55" s="17">
        <f>147*(1-S3/100)</f>
        <v>147</v>
      </c>
      <c r="Q55" s="18"/>
      <c r="R55" s="10">
        <f t="shared" ref="R55:R61" si="3">P55*Q55</f>
        <v>0</v>
      </c>
      <c r="S55" s="19">
        <f>0.069*Q55</f>
        <v>0</v>
      </c>
      <c r="T55" s="20">
        <f>0.00013*Q55</f>
        <v>0</v>
      </c>
      <c r="U55" s="21"/>
      <c r="V55" s="22" t="s">
        <v>288</v>
      </c>
      <c r="W55" s="22" t="s">
        <v>49</v>
      </c>
      <c r="X55" s="3"/>
      <c r="Y55" s="3"/>
      <c r="Z55" s="3" t="s">
        <v>52</v>
      </c>
      <c r="AA55" s="3"/>
      <c r="AB55" s="3"/>
      <c r="AC55" s="3" t="str">
        <f>HYPERLINK("https://knigipp.ru/api/getInfo/image/7f77840f-9eab-11eb-a201-ac1f6b442185")</f>
        <v>https://knigipp.ru/api/getInfo/image/7f77840f-9eab-11eb-a201-ac1f6b442185</v>
      </c>
      <c r="AD55" s="32">
        <v>10</v>
      </c>
      <c r="AE55" s="3"/>
      <c r="AF55" s="3" t="s">
        <v>209</v>
      </c>
      <c r="AG55" s="3"/>
      <c r="AH55" s="3" t="s">
        <v>56</v>
      </c>
      <c r="AI55" s="3"/>
      <c r="AJ55" s="3" t="s">
        <v>289</v>
      </c>
      <c r="AK55" s="3" t="str">
        <f>HYPERLINK("https://knigipp.ru/api/getInfo/item/7f77840f-9eab-11eb-a201-ac1f6b442185")</f>
        <v>https://knigipp.ru/api/getInfo/item/7f77840f-9eab-11eb-a201-ac1f6b442185</v>
      </c>
      <c r="AL55" s="3" t="s">
        <v>290</v>
      </c>
    </row>
    <row r="56" spans="1:38" ht="21" customHeight="1" outlineLevel="3" x14ac:dyDescent="0.2">
      <c r="A56" s="2">
        <v>36</v>
      </c>
      <c r="B56" s="3" t="s">
        <v>291</v>
      </c>
      <c r="C56" s="49" t="s">
        <v>292</v>
      </c>
      <c r="D56" s="49"/>
      <c r="E56" s="49"/>
      <c r="F56" s="49"/>
      <c r="G56" s="4" t="s">
        <v>293</v>
      </c>
      <c r="H56" s="8"/>
      <c r="I56" s="9" t="s">
        <v>294</v>
      </c>
      <c r="J56" s="10"/>
      <c r="K56" s="11">
        <v>40</v>
      </c>
      <c r="L56" s="10"/>
      <c r="M56" s="10" t="s">
        <v>47</v>
      </c>
      <c r="N56" s="10"/>
      <c r="O56" s="2">
        <v>5</v>
      </c>
      <c r="P56" s="17">
        <f>147*(1-S3/100)</f>
        <v>147</v>
      </c>
      <c r="Q56" s="18"/>
      <c r="R56" s="10">
        <f t="shared" si="3"/>
        <v>0</v>
      </c>
      <c r="S56" s="19">
        <f>0.079*Q56</f>
        <v>0</v>
      </c>
      <c r="T56" s="30">
        <f>0.0004*Q56</f>
        <v>0</v>
      </c>
      <c r="U56" s="21"/>
      <c r="V56" s="22" t="s">
        <v>295</v>
      </c>
      <c r="W56" s="22" t="s">
        <v>49</v>
      </c>
      <c r="X56" s="3"/>
      <c r="Y56" s="3"/>
      <c r="Z56" s="3" t="s">
        <v>52</v>
      </c>
      <c r="AA56" s="3"/>
      <c r="AB56" s="3"/>
      <c r="AC56" s="3" t="str">
        <f>HYPERLINK("https://knigipp.ru/api/getInfo/image/0090d6a6-f93e-11ec-a213-ac1f6b442185")</f>
        <v>https://knigipp.ru/api/getInfo/image/0090d6a6-f93e-11ec-a213-ac1f6b442185</v>
      </c>
      <c r="AD56" s="32">
        <v>10</v>
      </c>
      <c r="AE56" s="3"/>
      <c r="AF56" s="3" t="s">
        <v>209</v>
      </c>
      <c r="AG56" s="3"/>
      <c r="AH56" s="3" t="s">
        <v>56</v>
      </c>
      <c r="AI56" s="3"/>
      <c r="AJ56" s="3"/>
      <c r="AK56" s="3" t="str">
        <f>HYPERLINK("https://knigipp.ru/api/getInfo/item/0090d6a6-f93e-11ec-a213-ac1f6b442185")</f>
        <v>https://knigipp.ru/api/getInfo/item/0090d6a6-f93e-11ec-a213-ac1f6b442185</v>
      </c>
      <c r="AL56" s="3" t="s">
        <v>296</v>
      </c>
    </row>
    <row r="57" spans="1:38" ht="21" customHeight="1" outlineLevel="3" x14ac:dyDescent="0.2">
      <c r="A57" s="2">
        <v>37</v>
      </c>
      <c r="B57" s="3" t="s">
        <v>297</v>
      </c>
      <c r="C57" s="49" t="s">
        <v>298</v>
      </c>
      <c r="D57" s="49"/>
      <c r="E57" s="49"/>
      <c r="F57" s="49"/>
      <c r="G57" s="4" t="s">
        <v>299</v>
      </c>
      <c r="H57" s="8"/>
      <c r="I57" s="9" t="s">
        <v>287</v>
      </c>
      <c r="J57" s="10"/>
      <c r="K57" s="11">
        <v>40</v>
      </c>
      <c r="L57" s="10"/>
      <c r="M57" s="10" t="s">
        <v>47</v>
      </c>
      <c r="N57" s="10"/>
      <c r="O57" s="2">
        <v>5</v>
      </c>
      <c r="P57" s="17">
        <f>147*(1-S3/100)</f>
        <v>147</v>
      </c>
      <c r="Q57" s="18"/>
      <c r="R57" s="10">
        <f t="shared" si="3"/>
        <v>0</v>
      </c>
      <c r="S57" s="19">
        <f>0.075*Q57</f>
        <v>0</v>
      </c>
      <c r="T57" s="20">
        <f>0.00017*Q57</f>
        <v>0</v>
      </c>
      <c r="U57" s="21"/>
      <c r="V57" s="22" t="s">
        <v>300</v>
      </c>
      <c r="W57" s="22" t="s">
        <v>49</v>
      </c>
      <c r="X57" s="3"/>
      <c r="Y57" s="3"/>
      <c r="Z57" s="3" t="s">
        <v>52</v>
      </c>
      <c r="AA57" s="3"/>
      <c r="AB57" s="3"/>
      <c r="AC57" s="3" t="str">
        <f>HYPERLINK("https://knigipp.ru/api/getInfo/image/fa1f9389-9eab-11eb-a201-ac1f6b442185")</f>
        <v>https://knigipp.ru/api/getInfo/image/fa1f9389-9eab-11eb-a201-ac1f6b442185</v>
      </c>
      <c r="AD57" s="32">
        <v>10</v>
      </c>
      <c r="AE57" s="3"/>
      <c r="AF57" s="3" t="s">
        <v>209</v>
      </c>
      <c r="AG57" s="3"/>
      <c r="AH57" s="3" t="s">
        <v>56</v>
      </c>
      <c r="AI57" s="3"/>
      <c r="AJ57" s="3" t="s">
        <v>289</v>
      </c>
      <c r="AK57" s="3" t="str">
        <f>HYPERLINK("https://knigipp.ru/api/getInfo/item/fa1f9389-9eab-11eb-a201-ac1f6b442185")</f>
        <v>https://knigipp.ru/api/getInfo/item/fa1f9389-9eab-11eb-a201-ac1f6b442185</v>
      </c>
      <c r="AL57" s="3" t="s">
        <v>290</v>
      </c>
    </row>
    <row r="58" spans="1:38" ht="21" customHeight="1" outlineLevel="3" x14ac:dyDescent="0.2">
      <c r="A58" s="2">
        <v>38</v>
      </c>
      <c r="B58" s="3" t="s">
        <v>301</v>
      </c>
      <c r="C58" s="49" t="s">
        <v>302</v>
      </c>
      <c r="D58" s="49"/>
      <c r="E58" s="49"/>
      <c r="F58" s="49"/>
      <c r="G58" s="4" t="s">
        <v>303</v>
      </c>
      <c r="H58" s="8"/>
      <c r="I58" s="9" t="s">
        <v>205</v>
      </c>
      <c r="J58" s="10"/>
      <c r="K58" s="11">
        <v>40</v>
      </c>
      <c r="L58" s="10"/>
      <c r="M58" s="10" t="s">
        <v>304</v>
      </c>
      <c r="N58" s="10"/>
      <c r="O58" s="2">
        <v>5</v>
      </c>
      <c r="P58" s="17">
        <f>147*(1-S3/100)</f>
        <v>147</v>
      </c>
      <c r="Q58" s="18"/>
      <c r="R58" s="10">
        <f t="shared" si="3"/>
        <v>0</v>
      </c>
      <c r="S58" s="28">
        <f>0.08*Q58</f>
        <v>0</v>
      </c>
      <c r="T58" s="30">
        <f>0.0002*Q58</f>
        <v>0</v>
      </c>
      <c r="U58" s="21"/>
      <c r="V58" s="22" t="s">
        <v>305</v>
      </c>
      <c r="W58" s="22" t="s">
        <v>49</v>
      </c>
      <c r="X58" s="3" t="s">
        <v>207</v>
      </c>
      <c r="Y58" s="3"/>
      <c r="Z58" s="3" t="s">
        <v>52</v>
      </c>
      <c r="AA58" s="3"/>
      <c r="AB58" s="3"/>
      <c r="AC58" s="3" t="str">
        <f>HYPERLINK("https://knigipp.ru/api/getInfo/image/e5e0830e-1cb9-11ef-a25e-00155d82e908")</f>
        <v>https://knigipp.ru/api/getInfo/image/e5e0830e-1cb9-11ef-a25e-00155d82e908</v>
      </c>
      <c r="AD58" s="32">
        <v>10</v>
      </c>
      <c r="AE58" s="3" t="s">
        <v>54</v>
      </c>
      <c r="AF58" s="3" t="s">
        <v>209</v>
      </c>
      <c r="AG58" s="3"/>
      <c r="AH58" s="3" t="s">
        <v>56</v>
      </c>
      <c r="AI58" s="3"/>
      <c r="AJ58" s="3"/>
      <c r="AK58" s="3" t="str">
        <f>HYPERLINK("https://knigipp.ru/api/getInfo/item/e5e0830e-1cb9-11ef-a25e-00155d82e908")</f>
        <v>https://knigipp.ru/api/getInfo/item/e5e0830e-1cb9-11ef-a25e-00155d82e908</v>
      </c>
      <c r="AL58" s="3" t="s">
        <v>210</v>
      </c>
    </row>
    <row r="59" spans="1:38" ht="21" customHeight="1" outlineLevel="3" x14ac:dyDescent="0.2">
      <c r="A59" s="2">
        <v>39</v>
      </c>
      <c r="B59" s="3" t="s">
        <v>306</v>
      </c>
      <c r="C59" s="49" t="s">
        <v>307</v>
      </c>
      <c r="D59" s="49"/>
      <c r="E59" s="49"/>
      <c r="F59" s="49"/>
      <c r="G59" s="4" t="s">
        <v>308</v>
      </c>
      <c r="H59" s="8"/>
      <c r="I59" s="9" t="s">
        <v>287</v>
      </c>
      <c r="J59" s="10"/>
      <c r="K59" s="11">
        <v>40</v>
      </c>
      <c r="L59" s="10"/>
      <c r="M59" s="10" t="s">
        <v>47</v>
      </c>
      <c r="N59" s="10"/>
      <c r="O59" s="2">
        <v>5</v>
      </c>
      <c r="P59" s="17">
        <f>147*(1-S3/100)</f>
        <v>147</v>
      </c>
      <c r="Q59" s="18"/>
      <c r="R59" s="10">
        <f t="shared" si="3"/>
        <v>0</v>
      </c>
      <c r="S59" s="19">
        <f>0.073*Q59</f>
        <v>0</v>
      </c>
      <c r="T59" s="20">
        <f>0.00018*Q59</f>
        <v>0</v>
      </c>
      <c r="U59" s="21"/>
      <c r="V59" s="22" t="s">
        <v>309</v>
      </c>
      <c r="W59" s="22" t="s">
        <v>49</v>
      </c>
      <c r="X59" s="3"/>
      <c r="Y59" s="3"/>
      <c r="Z59" s="3" t="s">
        <v>52</v>
      </c>
      <c r="AA59" s="3"/>
      <c r="AB59" s="3"/>
      <c r="AC59" s="3" t="str">
        <f>HYPERLINK("https://knigipp.ru/api/getInfo/image/d73eb495-9eab-11eb-a201-ac1f6b442185")</f>
        <v>https://knigipp.ru/api/getInfo/image/d73eb495-9eab-11eb-a201-ac1f6b442185</v>
      </c>
      <c r="AD59" s="32">
        <v>10</v>
      </c>
      <c r="AE59" s="3"/>
      <c r="AF59" s="3" t="s">
        <v>209</v>
      </c>
      <c r="AG59" s="3"/>
      <c r="AH59" s="3" t="s">
        <v>56</v>
      </c>
      <c r="AI59" s="3"/>
      <c r="AJ59" s="3" t="s">
        <v>289</v>
      </c>
      <c r="AK59" s="3" t="str">
        <f>HYPERLINK("https://knigipp.ru/api/getInfo/item/d73eb495-9eab-11eb-a201-ac1f6b442185")</f>
        <v>https://knigipp.ru/api/getInfo/item/d73eb495-9eab-11eb-a201-ac1f6b442185</v>
      </c>
      <c r="AL59" s="3" t="s">
        <v>290</v>
      </c>
    </row>
    <row r="60" spans="1:38" ht="21" customHeight="1" outlineLevel="3" x14ac:dyDescent="0.2">
      <c r="A60" s="2">
        <v>40</v>
      </c>
      <c r="B60" s="3" t="s">
        <v>310</v>
      </c>
      <c r="C60" s="49" t="s">
        <v>311</v>
      </c>
      <c r="D60" s="49"/>
      <c r="E60" s="49"/>
      <c r="F60" s="49"/>
      <c r="G60" s="4" t="s">
        <v>312</v>
      </c>
      <c r="H60" s="8"/>
      <c r="I60" s="9" t="s">
        <v>205</v>
      </c>
      <c r="J60" s="10"/>
      <c r="K60" s="11">
        <v>40</v>
      </c>
      <c r="L60" s="10"/>
      <c r="M60" s="10" t="s">
        <v>47</v>
      </c>
      <c r="N60" s="10"/>
      <c r="O60" s="2">
        <v>5</v>
      </c>
      <c r="P60" s="17">
        <f>147*(1-S3/100)</f>
        <v>147</v>
      </c>
      <c r="Q60" s="18"/>
      <c r="R60" s="10">
        <f t="shared" si="3"/>
        <v>0</v>
      </c>
      <c r="S60" s="19">
        <f>0.078*Q60</f>
        <v>0</v>
      </c>
      <c r="T60" s="20">
        <f>0.00037*Q60</f>
        <v>0</v>
      </c>
      <c r="U60" s="21"/>
      <c r="V60" s="22" t="s">
        <v>313</v>
      </c>
      <c r="W60" s="22" t="s">
        <v>49</v>
      </c>
      <c r="X60" s="3" t="s">
        <v>207</v>
      </c>
      <c r="Y60" s="3"/>
      <c r="Z60" s="3" t="s">
        <v>52</v>
      </c>
      <c r="AA60" s="3"/>
      <c r="AB60" s="3"/>
      <c r="AC60" s="3" t="str">
        <f>HYPERLINK("https://knigipp.ru/api/getInfo/image/8c785394-1cb9-11ef-a25e-00155d82e908")</f>
        <v>https://knigipp.ru/api/getInfo/image/8c785394-1cb9-11ef-a25e-00155d82e908</v>
      </c>
      <c r="AD60" s="32">
        <v>10</v>
      </c>
      <c r="AE60" s="3" t="s">
        <v>54</v>
      </c>
      <c r="AF60" s="3" t="s">
        <v>209</v>
      </c>
      <c r="AG60" s="3"/>
      <c r="AH60" s="3" t="s">
        <v>56</v>
      </c>
      <c r="AI60" s="3"/>
      <c r="AJ60" s="3"/>
      <c r="AK60" s="3" t="str">
        <f>HYPERLINK("https://knigipp.ru/api/getInfo/item/8c785394-1cb9-11ef-a25e-00155d82e908")</f>
        <v>https://knigipp.ru/api/getInfo/item/8c785394-1cb9-11ef-a25e-00155d82e908</v>
      </c>
      <c r="AL60" s="3" t="s">
        <v>314</v>
      </c>
    </row>
    <row r="61" spans="1:38" ht="21" customHeight="1" outlineLevel="3" x14ac:dyDescent="0.2">
      <c r="A61" s="5">
        <v>41</v>
      </c>
      <c r="B61" s="6" t="s">
        <v>315</v>
      </c>
      <c r="C61" s="54" t="s">
        <v>316</v>
      </c>
      <c r="D61" s="54"/>
      <c r="E61" s="54"/>
      <c r="F61" s="54"/>
      <c r="G61" s="7" t="s">
        <v>317</v>
      </c>
      <c r="H61" s="12"/>
      <c r="I61" s="13"/>
      <c r="J61" s="14"/>
      <c r="K61" s="15">
        <v>40</v>
      </c>
      <c r="L61" s="14"/>
      <c r="M61" s="14" t="s">
        <v>47</v>
      </c>
      <c r="N61" s="14"/>
      <c r="O61" s="5">
        <v>5</v>
      </c>
      <c r="P61" s="23">
        <f>147*(1-S3/100)</f>
        <v>147</v>
      </c>
      <c r="Q61" s="18"/>
      <c r="R61" s="14">
        <f t="shared" si="3"/>
        <v>0</v>
      </c>
      <c r="S61" s="24">
        <f>0.081*Q61</f>
        <v>0</v>
      </c>
      <c r="T61" s="31">
        <f>0.0002*Q61</f>
        <v>0</v>
      </c>
      <c r="U61" s="26" t="s">
        <v>62</v>
      </c>
      <c r="V61" s="27" t="s">
        <v>318</v>
      </c>
      <c r="W61" s="27" t="s">
        <v>49</v>
      </c>
      <c r="X61" s="6" t="s">
        <v>319</v>
      </c>
      <c r="Y61" s="6" t="s">
        <v>320</v>
      </c>
      <c r="Z61" s="6" t="s">
        <v>52</v>
      </c>
      <c r="AA61" s="6"/>
      <c r="AB61" s="6"/>
      <c r="AC61" s="6" t="str">
        <f>HYPERLINK("https://knigipp.ru/api/getInfo/image/0c1fce96-68bf-11f1-a29a-00155d82e908")</f>
        <v>https://knigipp.ru/api/getInfo/image/0c1fce96-68bf-11f1-a29a-00155d82e908</v>
      </c>
      <c r="AD61" s="33">
        <v>10</v>
      </c>
      <c r="AE61" s="6" t="s">
        <v>54</v>
      </c>
      <c r="AF61" s="6" t="s">
        <v>209</v>
      </c>
      <c r="AG61" s="6"/>
      <c r="AH61" s="6" t="s">
        <v>56</v>
      </c>
      <c r="AI61" s="6"/>
      <c r="AJ61" s="6"/>
      <c r="AK61" s="6" t="str">
        <f>HYPERLINK("https://knigipp.ru/api/getInfo/item/0c1fce96-68bf-11f1-a29a-00155d82e908")</f>
        <v>https://knigipp.ru/api/getInfo/item/0c1fce96-68bf-11f1-a29a-00155d82e908</v>
      </c>
      <c r="AL61" s="6" t="s">
        <v>216</v>
      </c>
    </row>
    <row r="62" spans="1:38" ht="23.1" customHeight="1" outlineLevel="2" x14ac:dyDescent="0.2">
      <c r="A62" s="47" t="s">
        <v>321</v>
      </c>
      <c r="B62" s="47"/>
      <c r="C62" s="47"/>
      <c r="D62" s="47"/>
      <c r="E62" s="47"/>
      <c r="F62" s="47"/>
    </row>
    <row r="63" spans="1:38" ht="21" customHeight="1" outlineLevel="3" x14ac:dyDescent="0.2">
      <c r="A63" s="2">
        <v>42</v>
      </c>
      <c r="B63" s="3" t="s">
        <v>322</v>
      </c>
      <c r="C63" s="49" t="s">
        <v>323</v>
      </c>
      <c r="D63" s="49"/>
      <c r="E63" s="49"/>
      <c r="F63" s="49"/>
      <c r="G63" s="4" t="s">
        <v>324</v>
      </c>
      <c r="H63" s="8"/>
      <c r="I63" s="9" t="s">
        <v>325</v>
      </c>
      <c r="J63" s="10"/>
      <c r="K63" s="11">
        <v>10</v>
      </c>
      <c r="L63" s="10"/>
      <c r="M63" s="10" t="s">
        <v>47</v>
      </c>
      <c r="N63" s="10"/>
      <c r="O63" s="2">
        <v>1</v>
      </c>
      <c r="P63" s="17">
        <f>599*(1-S3/100)</f>
        <v>599</v>
      </c>
      <c r="Q63" s="18"/>
      <c r="R63" s="10">
        <f t="shared" ref="R63:R75" si="4">P63*Q63</f>
        <v>0</v>
      </c>
      <c r="S63" s="19">
        <f>0.412*Q63</f>
        <v>0</v>
      </c>
      <c r="T63" s="20">
        <f>0.00104*Q63</f>
        <v>0</v>
      </c>
      <c r="U63" s="21"/>
      <c r="V63" s="22" t="s">
        <v>326</v>
      </c>
      <c r="W63" s="22" t="s">
        <v>49</v>
      </c>
      <c r="X63" s="3" t="s">
        <v>327</v>
      </c>
      <c r="Y63" s="3" t="s">
        <v>328</v>
      </c>
      <c r="Z63" s="3" t="s">
        <v>52</v>
      </c>
      <c r="AA63" s="3"/>
      <c r="AB63" s="3"/>
      <c r="AC63" s="3" t="str">
        <f>HYPERLINK("https://knigipp.ru/api/getInfo/image/4f109ce7-0445-11ee-a23b-00155d82e902")</f>
        <v>https://knigipp.ru/api/getInfo/image/4f109ce7-0445-11ee-a23b-00155d82e902</v>
      </c>
      <c r="AD63" s="32">
        <v>320</v>
      </c>
      <c r="AE63" s="3" t="s">
        <v>329</v>
      </c>
      <c r="AF63" s="3" t="s">
        <v>127</v>
      </c>
      <c r="AG63" s="3"/>
      <c r="AH63" s="3" t="s">
        <v>56</v>
      </c>
      <c r="AI63" s="3"/>
      <c r="AJ63" s="3" t="s">
        <v>330</v>
      </c>
      <c r="AK63" s="3" t="str">
        <f>HYPERLINK("https://knigipp.ru/api/getInfo/item/4f109ce7-0445-11ee-a23b-00155d82e902")</f>
        <v>https://knigipp.ru/api/getInfo/item/4f109ce7-0445-11ee-a23b-00155d82e902</v>
      </c>
      <c r="AL63" s="3" t="s">
        <v>331</v>
      </c>
    </row>
    <row r="64" spans="1:38" ht="21" customHeight="1" outlineLevel="3" x14ac:dyDescent="0.2">
      <c r="A64" s="5">
        <v>43</v>
      </c>
      <c r="B64" s="6" t="s">
        <v>332</v>
      </c>
      <c r="C64" s="54" t="s">
        <v>333</v>
      </c>
      <c r="D64" s="54"/>
      <c r="E64" s="54"/>
      <c r="F64" s="54"/>
      <c r="G64" s="7" t="s">
        <v>334</v>
      </c>
      <c r="H64" s="12"/>
      <c r="I64" s="13" t="s">
        <v>335</v>
      </c>
      <c r="J64" s="14"/>
      <c r="K64" s="15">
        <v>10</v>
      </c>
      <c r="L64" s="14"/>
      <c r="M64" s="14" t="s">
        <v>47</v>
      </c>
      <c r="N64" s="14"/>
      <c r="O64" s="5">
        <v>1</v>
      </c>
      <c r="P64" s="23">
        <f>677*(1-S3/100)</f>
        <v>677</v>
      </c>
      <c r="Q64" s="18"/>
      <c r="R64" s="14">
        <f t="shared" si="4"/>
        <v>0</v>
      </c>
      <c r="S64" s="24">
        <f>0.299*Q64</f>
        <v>0</v>
      </c>
      <c r="T64" s="25">
        <f>0.00032*Q64</f>
        <v>0</v>
      </c>
      <c r="U64" s="26" t="s">
        <v>62</v>
      </c>
      <c r="V64" s="27" t="s">
        <v>336</v>
      </c>
      <c r="W64" s="27" t="s">
        <v>49</v>
      </c>
      <c r="X64" s="6" t="s">
        <v>337</v>
      </c>
      <c r="Y64" s="6" t="s">
        <v>338</v>
      </c>
      <c r="Z64" s="6" t="s">
        <v>52</v>
      </c>
      <c r="AA64" s="6"/>
      <c r="AB64" s="6"/>
      <c r="AC64" s="6" t="str">
        <f>HYPERLINK("https://knigipp.ru/api/getInfo/image/588d0080-5b54-11f1-a295-00155d82e908")</f>
        <v>https://knigipp.ru/api/getInfo/image/588d0080-5b54-11f1-a295-00155d82e908</v>
      </c>
      <c r="AD64" s="33">
        <v>64</v>
      </c>
      <c r="AE64" s="6" t="s">
        <v>65</v>
      </c>
      <c r="AF64" s="6" t="s">
        <v>127</v>
      </c>
      <c r="AG64" s="6"/>
      <c r="AH64" s="6" t="s">
        <v>56</v>
      </c>
      <c r="AI64" s="6"/>
      <c r="AJ64" s="6"/>
      <c r="AK64" s="6" t="str">
        <f>HYPERLINK("https://knigipp.ru/api/getInfo/item/588d0080-5b54-11f1-a295-00155d82e908")</f>
        <v>https://knigipp.ru/api/getInfo/item/588d0080-5b54-11f1-a295-00155d82e908</v>
      </c>
      <c r="AL64" s="6" t="s">
        <v>339</v>
      </c>
    </row>
    <row r="65" spans="1:38" ht="21" customHeight="1" outlineLevel="3" x14ac:dyDescent="0.2">
      <c r="A65" s="2">
        <v>44</v>
      </c>
      <c r="B65" s="3" t="s">
        <v>340</v>
      </c>
      <c r="C65" s="49" t="s">
        <v>341</v>
      </c>
      <c r="D65" s="49"/>
      <c r="E65" s="49"/>
      <c r="F65" s="49"/>
      <c r="G65" s="4" t="s">
        <v>342</v>
      </c>
      <c r="H65" s="8"/>
      <c r="I65" s="9" t="s">
        <v>343</v>
      </c>
      <c r="J65" s="10"/>
      <c r="K65" s="11">
        <v>12</v>
      </c>
      <c r="L65" s="10"/>
      <c r="M65" s="10" t="s">
        <v>47</v>
      </c>
      <c r="N65" s="10"/>
      <c r="O65" s="2">
        <v>1</v>
      </c>
      <c r="P65" s="17">
        <f>499*(1-S3/100)</f>
        <v>499</v>
      </c>
      <c r="Q65" s="18"/>
      <c r="R65" s="10">
        <f t="shared" si="4"/>
        <v>0</v>
      </c>
      <c r="S65" s="19">
        <f>0.338*Q65</f>
        <v>0</v>
      </c>
      <c r="T65" s="20">
        <f>0.00058*Q65</f>
        <v>0</v>
      </c>
      <c r="U65" s="21"/>
      <c r="V65" s="22" t="s">
        <v>344</v>
      </c>
      <c r="W65" s="22" t="s">
        <v>49</v>
      </c>
      <c r="X65" s="3" t="s">
        <v>345</v>
      </c>
      <c r="Y65" s="3" t="s">
        <v>346</v>
      </c>
      <c r="Z65" s="3" t="s">
        <v>52</v>
      </c>
      <c r="AA65" s="3" t="s">
        <v>347</v>
      </c>
      <c r="AB65" s="3"/>
      <c r="AC65" s="3" t="str">
        <f>HYPERLINK("https://knigipp.ru/api/getInfo/image/eb6d69c9-ffbb-11ed-a23a-00155d82e902")</f>
        <v>https://knigipp.ru/api/getInfo/image/eb6d69c9-ffbb-11ed-a23a-00155d82e902</v>
      </c>
      <c r="AD65" s="32">
        <v>48</v>
      </c>
      <c r="AE65" s="3" t="s">
        <v>54</v>
      </c>
      <c r="AF65" s="3" t="s">
        <v>127</v>
      </c>
      <c r="AG65" s="3"/>
      <c r="AH65" s="3" t="s">
        <v>56</v>
      </c>
      <c r="AI65" s="3"/>
      <c r="AJ65" s="3"/>
      <c r="AK65" s="3" t="str">
        <f>HYPERLINK("https://knigipp.ru/api/getInfo/item/eb6d69c9-ffbb-11ed-a23a-00155d82e902")</f>
        <v>https://knigipp.ru/api/getInfo/item/eb6d69c9-ffbb-11ed-a23a-00155d82e902</v>
      </c>
      <c r="AL65" s="3" t="s">
        <v>348</v>
      </c>
    </row>
    <row r="66" spans="1:38" ht="21" customHeight="1" outlineLevel="3" x14ac:dyDescent="0.2">
      <c r="A66" s="2">
        <v>45</v>
      </c>
      <c r="B66" s="3" t="s">
        <v>349</v>
      </c>
      <c r="C66" s="49" t="s">
        <v>350</v>
      </c>
      <c r="D66" s="49"/>
      <c r="E66" s="49"/>
      <c r="F66" s="49"/>
      <c r="G66" s="4" t="s">
        <v>351</v>
      </c>
      <c r="H66" s="8"/>
      <c r="I66" s="9" t="s">
        <v>352</v>
      </c>
      <c r="J66" s="10"/>
      <c r="K66" s="11">
        <v>10</v>
      </c>
      <c r="L66" s="10"/>
      <c r="M66" s="10" t="s">
        <v>47</v>
      </c>
      <c r="N66" s="10"/>
      <c r="O66" s="2">
        <v>1</v>
      </c>
      <c r="P66" s="17">
        <f>597*(1-S3/100)</f>
        <v>597</v>
      </c>
      <c r="Q66" s="18"/>
      <c r="R66" s="10">
        <f t="shared" si="4"/>
        <v>0</v>
      </c>
      <c r="S66" s="19">
        <f>0.346*Q66</f>
        <v>0</v>
      </c>
      <c r="T66" s="20">
        <f>0.00046*Q66</f>
        <v>0</v>
      </c>
      <c r="U66" s="21"/>
      <c r="V66" s="22" t="s">
        <v>353</v>
      </c>
      <c r="W66" s="22" t="s">
        <v>49</v>
      </c>
      <c r="X66" s="3"/>
      <c r="Y66" s="3" t="s">
        <v>354</v>
      </c>
      <c r="Z66" s="3" t="s">
        <v>52</v>
      </c>
      <c r="AA66" s="3"/>
      <c r="AB66" s="3"/>
      <c r="AC66" s="3" t="str">
        <f>HYPERLINK("https://knigipp.ru/api/getInfo/image/b884e943-5101-11f0-a27e-00155d82e908")</f>
        <v>https://knigipp.ru/api/getInfo/image/b884e943-5101-11f0-a27e-00155d82e908</v>
      </c>
      <c r="AD66" s="32">
        <v>240</v>
      </c>
      <c r="AE66" s="3" t="s">
        <v>355</v>
      </c>
      <c r="AF66" s="3" t="s">
        <v>127</v>
      </c>
      <c r="AG66" s="3"/>
      <c r="AH66" s="3" t="s">
        <v>56</v>
      </c>
      <c r="AI66" s="3"/>
      <c r="AJ66" s="3"/>
      <c r="AK66" s="3" t="str">
        <f>HYPERLINK("https://knigipp.ru/api/getInfo/item/b884e943-5101-11f0-a27e-00155d82e908")</f>
        <v>https://knigipp.ru/api/getInfo/item/b884e943-5101-11f0-a27e-00155d82e908</v>
      </c>
      <c r="AL66" s="3" t="s">
        <v>356</v>
      </c>
    </row>
    <row r="67" spans="1:38" ht="21" customHeight="1" outlineLevel="3" x14ac:dyDescent="0.2">
      <c r="A67" s="2">
        <v>46</v>
      </c>
      <c r="B67" s="3" t="s">
        <v>357</v>
      </c>
      <c r="C67" s="49" t="s">
        <v>358</v>
      </c>
      <c r="D67" s="49"/>
      <c r="E67" s="49"/>
      <c r="F67" s="49"/>
      <c r="G67" s="4" t="s">
        <v>359</v>
      </c>
      <c r="H67" s="8"/>
      <c r="I67" s="9" t="s">
        <v>360</v>
      </c>
      <c r="J67" s="10"/>
      <c r="K67" s="11">
        <v>24</v>
      </c>
      <c r="L67" s="10"/>
      <c r="M67" s="10" t="s">
        <v>47</v>
      </c>
      <c r="N67" s="10"/>
      <c r="O67" s="2">
        <v>1</v>
      </c>
      <c r="P67" s="17">
        <f>399*(1-S3/100)</f>
        <v>399</v>
      </c>
      <c r="Q67" s="18"/>
      <c r="R67" s="10">
        <f t="shared" si="4"/>
        <v>0</v>
      </c>
      <c r="S67" s="19">
        <f>0.142*Q67</f>
        <v>0</v>
      </c>
      <c r="T67" s="20">
        <f>0.00031*Q67</f>
        <v>0</v>
      </c>
      <c r="U67" s="21"/>
      <c r="V67" s="22" t="s">
        <v>361</v>
      </c>
      <c r="W67" s="22" t="s">
        <v>49</v>
      </c>
      <c r="X67" s="3" t="s">
        <v>362</v>
      </c>
      <c r="Y67" s="3"/>
      <c r="Z67" s="3" t="s">
        <v>52</v>
      </c>
      <c r="AA67" s="3"/>
      <c r="AB67" s="3"/>
      <c r="AC67" s="3" t="str">
        <f>HYPERLINK("https://knigipp.ru/api/getInfo/image/9a488baa-10de-11ee-a23b-00155d82e902")</f>
        <v>https://knigipp.ru/api/getInfo/image/9a488baa-10de-11ee-a23b-00155d82e902</v>
      </c>
      <c r="AD67" s="32">
        <v>48</v>
      </c>
      <c r="AE67" s="3" t="s">
        <v>54</v>
      </c>
      <c r="AF67" s="3" t="s">
        <v>127</v>
      </c>
      <c r="AG67" s="3"/>
      <c r="AH67" s="3" t="s">
        <v>56</v>
      </c>
      <c r="AI67" s="3"/>
      <c r="AJ67" s="3"/>
      <c r="AK67" s="3" t="str">
        <f>HYPERLINK("https://knigipp.ru/api/getInfo/item/9a488baa-10de-11ee-a23b-00155d82e902")</f>
        <v>https://knigipp.ru/api/getInfo/item/9a488baa-10de-11ee-a23b-00155d82e902</v>
      </c>
      <c r="AL67" s="3" t="s">
        <v>363</v>
      </c>
    </row>
    <row r="68" spans="1:38" ht="21" customHeight="1" outlineLevel="3" x14ac:dyDescent="0.2">
      <c r="A68" s="5">
        <v>47</v>
      </c>
      <c r="B68" s="6" t="s">
        <v>364</v>
      </c>
      <c r="C68" s="54" t="s">
        <v>365</v>
      </c>
      <c r="D68" s="54"/>
      <c r="E68" s="54"/>
      <c r="F68" s="54"/>
      <c r="G68" s="7" t="s">
        <v>366</v>
      </c>
      <c r="H68" s="12"/>
      <c r="I68" s="13" t="s">
        <v>367</v>
      </c>
      <c r="J68" s="14"/>
      <c r="K68" s="15">
        <v>12</v>
      </c>
      <c r="L68" s="14"/>
      <c r="M68" s="14" t="s">
        <v>47</v>
      </c>
      <c r="N68" s="14"/>
      <c r="O68" s="5">
        <v>1</v>
      </c>
      <c r="P68" s="23">
        <f>577*(1-S3/100)</f>
        <v>577</v>
      </c>
      <c r="Q68" s="18"/>
      <c r="R68" s="14">
        <f t="shared" si="4"/>
        <v>0</v>
      </c>
      <c r="S68" s="34">
        <f>0.4*Q68</f>
        <v>0</v>
      </c>
      <c r="T68" s="25">
        <f>0.00045*Q68</f>
        <v>0</v>
      </c>
      <c r="U68" s="26" t="s">
        <v>62</v>
      </c>
      <c r="V68" s="27" t="s">
        <v>368</v>
      </c>
      <c r="W68" s="27" t="s">
        <v>49</v>
      </c>
      <c r="X68" s="6" t="s">
        <v>369</v>
      </c>
      <c r="Y68" s="6" t="s">
        <v>370</v>
      </c>
      <c r="Z68" s="6" t="s">
        <v>52</v>
      </c>
      <c r="AA68" s="6"/>
      <c r="AB68" s="6"/>
      <c r="AC68" s="6" t="str">
        <f>HYPERLINK("https://knigipp.ru/api/getInfo/image/68704ea6-748b-11f1-a29a-00155d82e908")</f>
        <v>https://knigipp.ru/api/getInfo/image/68704ea6-748b-11f1-a29a-00155d82e908</v>
      </c>
      <c r="AD68" s="33">
        <v>48</v>
      </c>
      <c r="AE68" s="6" t="s">
        <v>54</v>
      </c>
      <c r="AF68" s="6" t="s">
        <v>127</v>
      </c>
      <c r="AG68" s="6"/>
      <c r="AH68" s="6" t="s">
        <v>56</v>
      </c>
      <c r="AI68" s="6"/>
      <c r="AJ68" s="6"/>
      <c r="AK68" s="6" t="str">
        <f>HYPERLINK("https://knigipp.ru/api/getInfo/item/68704ea6-748b-11f1-a29a-00155d82e908")</f>
        <v>https://knigipp.ru/api/getInfo/item/68704ea6-748b-11f1-a29a-00155d82e908</v>
      </c>
      <c r="AL68" s="6" t="s">
        <v>371</v>
      </c>
    </row>
    <row r="69" spans="1:38" ht="21" customHeight="1" outlineLevel="3" x14ac:dyDescent="0.2">
      <c r="A69" s="2">
        <v>48</v>
      </c>
      <c r="B69" s="3" t="s">
        <v>372</v>
      </c>
      <c r="C69" s="49" t="s">
        <v>373</v>
      </c>
      <c r="D69" s="49"/>
      <c r="E69" s="49"/>
      <c r="F69" s="49"/>
      <c r="G69" s="4" t="s">
        <v>374</v>
      </c>
      <c r="H69" s="8"/>
      <c r="I69" s="9" t="s">
        <v>375</v>
      </c>
      <c r="J69" s="10"/>
      <c r="K69" s="11">
        <v>10</v>
      </c>
      <c r="L69" s="10"/>
      <c r="M69" s="10" t="s">
        <v>47</v>
      </c>
      <c r="N69" s="10"/>
      <c r="O69" s="2">
        <v>1</v>
      </c>
      <c r="P69" s="17">
        <f>278.85*(1-S3/100)</f>
        <v>278.85000000000002</v>
      </c>
      <c r="Q69" s="18"/>
      <c r="R69" s="10">
        <f t="shared" si="4"/>
        <v>0</v>
      </c>
      <c r="S69" s="19">
        <f>0.361*Q69</f>
        <v>0</v>
      </c>
      <c r="T69" s="20">
        <f>0.00058*Q69</f>
        <v>0</v>
      </c>
      <c r="U69" s="21"/>
      <c r="V69" s="22" t="s">
        <v>376</v>
      </c>
      <c r="W69" s="22" t="s">
        <v>49</v>
      </c>
      <c r="X69" s="3"/>
      <c r="Y69" s="3"/>
      <c r="Z69" s="3" t="s">
        <v>52</v>
      </c>
      <c r="AA69" s="3"/>
      <c r="AB69" s="3"/>
      <c r="AC69" s="3" t="str">
        <f>HYPERLINK("https://knigipp.ru/api/getInfo/image/a850ac5a-ae4e-11eb-a201-ac1f6b442185")</f>
        <v>https://knigipp.ru/api/getInfo/image/a850ac5a-ae4e-11eb-a201-ac1f6b442185</v>
      </c>
      <c r="AD69" s="32">
        <v>24</v>
      </c>
      <c r="AE69" s="3"/>
      <c r="AF69" s="3" t="s">
        <v>127</v>
      </c>
      <c r="AG69" s="3"/>
      <c r="AH69" s="3" t="s">
        <v>56</v>
      </c>
      <c r="AI69" s="3"/>
      <c r="AJ69" s="3"/>
      <c r="AK69" s="3" t="str">
        <f>HYPERLINK("https://knigipp.ru/api/getInfo/item/a850ac5a-ae4e-11eb-a201-ac1f6b442185")</f>
        <v>https://knigipp.ru/api/getInfo/item/a850ac5a-ae4e-11eb-a201-ac1f6b442185</v>
      </c>
      <c r="AL69" s="3" t="s">
        <v>377</v>
      </c>
    </row>
    <row r="70" spans="1:38" ht="21" customHeight="1" outlineLevel="3" x14ac:dyDescent="0.2">
      <c r="A70" s="2">
        <v>49</v>
      </c>
      <c r="B70" s="3" t="s">
        <v>378</v>
      </c>
      <c r="C70" s="49" t="s">
        <v>379</v>
      </c>
      <c r="D70" s="49"/>
      <c r="E70" s="49"/>
      <c r="F70" s="49"/>
      <c r="G70" s="4" t="s">
        <v>380</v>
      </c>
      <c r="H70" s="8"/>
      <c r="I70" s="9" t="s">
        <v>381</v>
      </c>
      <c r="J70" s="10"/>
      <c r="K70" s="11">
        <v>5</v>
      </c>
      <c r="L70" s="10"/>
      <c r="M70" s="10" t="s">
        <v>78</v>
      </c>
      <c r="N70" s="10"/>
      <c r="O70" s="2">
        <v>1</v>
      </c>
      <c r="P70" s="29">
        <f>1090*(1-S3/100)</f>
        <v>1090</v>
      </c>
      <c r="Q70" s="18"/>
      <c r="R70" s="10">
        <f t="shared" si="4"/>
        <v>0</v>
      </c>
      <c r="S70" s="19">
        <f>0.902*Q70</f>
        <v>0</v>
      </c>
      <c r="T70" s="20">
        <f>0.00116*Q70</f>
        <v>0</v>
      </c>
      <c r="U70" s="21"/>
      <c r="V70" s="22" t="s">
        <v>382</v>
      </c>
      <c r="W70" s="22" t="s">
        <v>49</v>
      </c>
      <c r="X70" s="3" t="s">
        <v>383</v>
      </c>
      <c r="Y70" s="3"/>
      <c r="Z70" s="3" t="s">
        <v>384</v>
      </c>
      <c r="AA70" s="3"/>
      <c r="AB70" s="3"/>
      <c r="AC70" s="3" t="str">
        <f>HYPERLINK("https://knigipp.ru/api/getInfo/image/12baf8bb-98da-11e9-a227-ac1f6b442184")</f>
        <v>https://knigipp.ru/api/getInfo/image/12baf8bb-98da-11e9-a227-ac1f6b442184</v>
      </c>
      <c r="AD70" s="32">
        <v>128</v>
      </c>
      <c r="AE70" s="3"/>
      <c r="AF70" s="3" t="s">
        <v>127</v>
      </c>
      <c r="AG70" s="3"/>
      <c r="AH70" s="3" t="s">
        <v>56</v>
      </c>
      <c r="AI70" s="3"/>
      <c r="AJ70" s="3" t="s">
        <v>385</v>
      </c>
      <c r="AK70" s="3" t="str">
        <f>HYPERLINK("https://knigipp.ru/api/getInfo/item/12baf8bb-98da-11e9-a227-ac1f6b442184")</f>
        <v>https://knigipp.ru/api/getInfo/item/12baf8bb-98da-11e9-a227-ac1f6b442184</v>
      </c>
      <c r="AL70" s="3" t="s">
        <v>386</v>
      </c>
    </row>
    <row r="71" spans="1:38" ht="21" customHeight="1" outlineLevel="3" x14ac:dyDescent="0.2">
      <c r="A71" s="2">
        <v>50</v>
      </c>
      <c r="B71" s="3" t="s">
        <v>387</v>
      </c>
      <c r="C71" s="49" t="s">
        <v>388</v>
      </c>
      <c r="D71" s="49"/>
      <c r="E71" s="49"/>
      <c r="F71" s="49"/>
      <c r="G71" s="4" t="s">
        <v>389</v>
      </c>
      <c r="H71" s="8"/>
      <c r="I71" s="9" t="s">
        <v>390</v>
      </c>
      <c r="J71" s="10"/>
      <c r="K71" s="11">
        <v>8</v>
      </c>
      <c r="L71" s="10"/>
      <c r="M71" s="10" t="s">
        <v>47</v>
      </c>
      <c r="N71" s="10"/>
      <c r="O71" s="2">
        <v>1</v>
      </c>
      <c r="P71" s="17">
        <f>597*(1-S3/100)</f>
        <v>597</v>
      </c>
      <c r="Q71" s="18"/>
      <c r="R71" s="10">
        <f t="shared" si="4"/>
        <v>0</v>
      </c>
      <c r="S71" s="19">
        <f>0.328*Q71</f>
        <v>0</v>
      </c>
      <c r="T71" s="20">
        <f>0.00076*Q71</f>
        <v>0</v>
      </c>
      <c r="U71" s="21"/>
      <c r="V71" s="22" t="s">
        <v>391</v>
      </c>
      <c r="W71" s="22" t="s">
        <v>49</v>
      </c>
      <c r="X71" s="3"/>
      <c r="Y71" s="3"/>
      <c r="Z71" s="3" t="s">
        <v>52</v>
      </c>
      <c r="AA71" s="3"/>
      <c r="AB71" s="3"/>
      <c r="AC71" s="3" t="str">
        <f>HYPERLINK("https://knigipp.ru/api/getInfo/image/7f985894-a645-11ea-a248-ac1f6b442184")</f>
        <v>https://knigipp.ru/api/getInfo/image/7f985894-a645-11ea-a248-ac1f6b442184</v>
      </c>
      <c r="AD71" s="32">
        <v>128</v>
      </c>
      <c r="AE71" s="3"/>
      <c r="AF71" s="3" t="s">
        <v>127</v>
      </c>
      <c r="AG71" s="3"/>
      <c r="AH71" s="3" t="s">
        <v>56</v>
      </c>
      <c r="AI71" s="3"/>
      <c r="AJ71" s="3" t="s">
        <v>392</v>
      </c>
      <c r="AK71" s="3" t="str">
        <f>HYPERLINK("https://knigipp.ru/api/getInfo/item/7f985894-a645-11ea-a248-ac1f6b442184")</f>
        <v>https://knigipp.ru/api/getInfo/item/7f985894-a645-11ea-a248-ac1f6b442184</v>
      </c>
      <c r="AL71" s="3" t="s">
        <v>393</v>
      </c>
    </row>
    <row r="72" spans="1:38" ht="21" customHeight="1" outlineLevel="3" x14ac:dyDescent="0.2">
      <c r="A72" s="5">
        <v>51</v>
      </c>
      <c r="B72" s="6" t="s">
        <v>394</v>
      </c>
      <c r="C72" s="54" t="s">
        <v>395</v>
      </c>
      <c r="D72" s="54"/>
      <c r="E72" s="54"/>
      <c r="F72" s="54"/>
      <c r="G72" s="7" t="s">
        <v>396</v>
      </c>
      <c r="H72" s="12"/>
      <c r="I72" s="13" t="s">
        <v>397</v>
      </c>
      <c r="J72" s="14"/>
      <c r="K72" s="15">
        <v>24</v>
      </c>
      <c r="L72" s="14"/>
      <c r="M72" s="14" t="s">
        <v>47</v>
      </c>
      <c r="N72" s="14"/>
      <c r="O72" s="5">
        <v>1</v>
      </c>
      <c r="P72" s="23">
        <f>299*(1-S3/100)</f>
        <v>299</v>
      </c>
      <c r="Q72" s="18"/>
      <c r="R72" s="14">
        <f t="shared" si="4"/>
        <v>0</v>
      </c>
      <c r="S72" s="24">
        <f>0.149*Q72</f>
        <v>0</v>
      </c>
      <c r="T72" s="25">
        <f>0.00027*Q72</f>
        <v>0</v>
      </c>
      <c r="U72" s="26" t="s">
        <v>62</v>
      </c>
      <c r="V72" s="27" t="s">
        <v>398</v>
      </c>
      <c r="W72" s="27" t="s">
        <v>49</v>
      </c>
      <c r="X72" s="6" t="s">
        <v>399</v>
      </c>
      <c r="Y72" s="6" t="s">
        <v>400</v>
      </c>
      <c r="Z72" s="6" t="s">
        <v>52</v>
      </c>
      <c r="AA72" s="6"/>
      <c r="AB72" s="6"/>
      <c r="AC72" s="6" t="str">
        <f>HYPERLINK("https://knigipp.ru/api/getInfo/image/31d1ace3-420e-11f1-a294-00155d82e908")</f>
        <v>https://knigipp.ru/api/getInfo/image/31d1ace3-420e-11f1-a294-00155d82e908</v>
      </c>
      <c r="AD72" s="33">
        <v>48</v>
      </c>
      <c r="AE72" s="6" t="s">
        <v>54</v>
      </c>
      <c r="AF72" s="6" t="s">
        <v>127</v>
      </c>
      <c r="AG72" s="6"/>
      <c r="AH72" s="6" t="s">
        <v>56</v>
      </c>
      <c r="AI72" s="6"/>
      <c r="AJ72" s="6"/>
      <c r="AK72" s="6" t="str">
        <f>HYPERLINK("https://knigipp.ru/api/getInfo/item/31d1ace3-420e-11f1-a294-00155d82e908")</f>
        <v>https://knigipp.ru/api/getInfo/item/31d1ace3-420e-11f1-a294-00155d82e908</v>
      </c>
      <c r="AL72" s="6" t="s">
        <v>401</v>
      </c>
    </row>
    <row r="73" spans="1:38" ht="21" customHeight="1" outlineLevel="3" x14ac:dyDescent="0.2">
      <c r="A73" s="2">
        <v>52</v>
      </c>
      <c r="B73" s="3" t="s">
        <v>402</v>
      </c>
      <c r="C73" s="49" t="s">
        <v>403</v>
      </c>
      <c r="D73" s="49"/>
      <c r="E73" s="49"/>
      <c r="F73" s="49"/>
      <c r="G73" s="4" t="s">
        <v>404</v>
      </c>
      <c r="H73" s="8"/>
      <c r="I73" s="9" t="s">
        <v>405</v>
      </c>
      <c r="J73" s="10"/>
      <c r="K73" s="11">
        <v>24</v>
      </c>
      <c r="L73" s="10"/>
      <c r="M73" s="10" t="s">
        <v>47</v>
      </c>
      <c r="N73" s="10"/>
      <c r="O73" s="2">
        <v>1</v>
      </c>
      <c r="P73" s="17">
        <f>299*(1-S3/100)</f>
        <v>299</v>
      </c>
      <c r="Q73" s="18"/>
      <c r="R73" s="10">
        <f t="shared" si="4"/>
        <v>0</v>
      </c>
      <c r="S73" s="19">
        <f>0.141*Q73</f>
        <v>0</v>
      </c>
      <c r="T73" s="20">
        <f>0.00065*Q73</f>
        <v>0</v>
      </c>
      <c r="U73" s="21"/>
      <c r="V73" s="22" t="s">
        <v>406</v>
      </c>
      <c r="W73" s="22" t="s">
        <v>49</v>
      </c>
      <c r="X73" s="3" t="s">
        <v>407</v>
      </c>
      <c r="Y73" s="3" t="s">
        <v>408</v>
      </c>
      <c r="Z73" s="3" t="s">
        <v>52</v>
      </c>
      <c r="AA73" s="3"/>
      <c r="AB73" s="3"/>
      <c r="AC73" s="3" t="str">
        <f>HYPERLINK("https://knigipp.ru/api/getInfo/image/7b0e3ba4-edc0-11ee-a25b-00155d82e908")</f>
        <v>https://knigipp.ru/api/getInfo/image/7b0e3ba4-edc0-11ee-a25b-00155d82e908</v>
      </c>
      <c r="AD73" s="32">
        <v>48</v>
      </c>
      <c r="AE73" s="3" t="s">
        <v>54</v>
      </c>
      <c r="AF73" s="3" t="s">
        <v>127</v>
      </c>
      <c r="AG73" s="3"/>
      <c r="AH73" s="3" t="s">
        <v>56</v>
      </c>
      <c r="AI73" s="3"/>
      <c r="AJ73" s="3"/>
      <c r="AK73" s="3" t="str">
        <f>HYPERLINK("https://knigipp.ru/api/getInfo/item/7b0e3ba4-edc0-11ee-a25b-00155d82e908")</f>
        <v>https://knigipp.ru/api/getInfo/item/7b0e3ba4-edc0-11ee-a25b-00155d82e908</v>
      </c>
      <c r="AL73" s="3" t="s">
        <v>409</v>
      </c>
    </row>
    <row r="74" spans="1:38" ht="21" customHeight="1" outlineLevel="3" x14ac:dyDescent="0.2">
      <c r="A74" s="2">
        <v>53</v>
      </c>
      <c r="B74" s="3" t="s">
        <v>410</v>
      </c>
      <c r="C74" s="49" t="s">
        <v>411</v>
      </c>
      <c r="D74" s="49"/>
      <c r="E74" s="49"/>
      <c r="F74" s="49"/>
      <c r="G74" s="4" t="s">
        <v>412</v>
      </c>
      <c r="H74" s="8"/>
      <c r="I74" s="9" t="s">
        <v>413</v>
      </c>
      <c r="J74" s="10"/>
      <c r="K74" s="11">
        <v>20</v>
      </c>
      <c r="L74" s="10"/>
      <c r="M74" s="10" t="s">
        <v>47</v>
      </c>
      <c r="N74" s="10"/>
      <c r="O74" s="2">
        <v>1</v>
      </c>
      <c r="P74" s="17">
        <f>327*(1-S3/100)</f>
        <v>327</v>
      </c>
      <c r="Q74" s="18"/>
      <c r="R74" s="10">
        <f t="shared" si="4"/>
        <v>0</v>
      </c>
      <c r="S74" s="19">
        <f>0.315*Q74</f>
        <v>0</v>
      </c>
      <c r="T74" s="20">
        <f>0.00042*Q74</f>
        <v>0</v>
      </c>
      <c r="U74" s="21"/>
      <c r="V74" s="22" t="s">
        <v>414</v>
      </c>
      <c r="W74" s="22" t="s">
        <v>49</v>
      </c>
      <c r="X74" s="3" t="s">
        <v>415</v>
      </c>
      <c r="Y74" s="3" t="s">
        <v>416</v>
      </c>
      <c r="Z74" s="3" t="s">
        <v>52</v>
      </c>
      <c r="AA74" s="3"/>
      <c r="AB74" s="3"/>
      <c r="AC74" s="3" t="str">
        <f>HYPERLINK("https://knigipp.ru/api/getInfo/image/1c9a9a74-edd5-11ee-a25b-00155d82e908")</f>
        <v>https://knigipp.ru/api/getInfo/image/1c9a9a74-edd5-11ee-a25b-00155d82e908</v>
      </c>
      <c r="AD74" s="32">
        <v>32</v>
      </c>
      <c r="AE74" s="3" t="s">
        <v>54</v>
      </c>
      <c r="AF74" s="3" t="s">
        <v>127</v>
      </c>
      <c r="AG74" s="3"/>
      <c r="AH74" s="3" t="s">
        <v>56</v>
      </c>
      <c r="AI74" s="3"/>
      <c r="AJ74" s="3"/>
      <c r="AK74" s="3" t="str">
        <f>HYPERLINK("https://knigipp.ru/api/getInfo/item/1c9a9a74-edd5-11ee-a25b-00155d82e908")</f>
        <v>https://knigipp.ru/api/getInfo/item/1c9a9a74-edd5-11ee-a25b-00155d82e908</v>
      </c>
      <c r="AL74" s="3" t="s">
        <v>417</v>
      </c>
    </row>
    <row r="75" spans="1:38" ht="21" customHeight="1" outlineLevel="3" x14ac:dyDescent="0.2">
      <c r="A75" s="5">
        <v>54</v>
      </c>
      <c r="B75" s="6" t="s">
        <v>418</v>
      </c>
      <c r="C75" s="54" t="s">
        <v>419</v>
      </c>
      <c r="D75" s="54"/>
      <c r="E75" s="54"/>
      <c r="F75" s="54"/>
      <c r="G75" s="7" t="s">
        <v>420</v>
      </c>
      <c r="H75" s="12"/>
      <c r="I75" s="13" t="s">
        <v>421</v>
      </c>
      <c r="J75" s="14"/>
      <c r="K75" s="15">
        <v>10</v>
      </c>
      <c r="L75" s="14"/>
      <c r="M75" s="14" t="s">
        <v>47</v>
      </c>
      <c r="N75" s="14"/>
      <c r="O75" s="5">
        <v>1</v>
      </c>
      <c r="P75" s="23">
        <f>537*(1-S3/100)</f>
        <v>537</v>
      </c>
      <c r="Q75" s="18"/>
      <c r="R75" s="14">
        <f t="shared" si="4"/>
        <v>0</v>
      </c>
      <c r="S75" s="24">
        <f>0.244*Q75</f>
        <v>0</v>
      </c>
      <c r="T75" s="25">
        <f>0.00031*Q75</f>
        <v>0</v>
      </c>
      <c r="U75" s="26" t="s">
        <v>62</v>
      </c>
      <c r="V75" s="27" t="s">
        <v>422</v>
      </c>
      <c r="W75" s="27" t="s">
        <v>49</v>
      </c>
      <c r="X75" s="6" t="s">
        <v>423</v>
      </c>
      <c r="Y75" s="6" t="s">
        <v>424</v>
      </c>
      <c r="Z75" s="6" t="s">
        <v>52</v>
      </c>
      <c r="AA75" s="6"/>
      <c r="AB75" s="6"/>
      <c r="AC75" s="6" t="str">
        <f>HYPERLINK("https://knigipp.ru/api/getInfo/image/3ddbc5eb-5b56-11f1-a295-00155d82e908")</f>
        <v>https://knigipp.ru/api/getInfo/image/3ddbc5eb-5b56-11f1-a295-00155d82e908</v>
      </c>
      <c r="AD75" s="33">
        <v>80</v>
      </c>
      <c r="AE75" s="6" t="s">
        <v>54</v>
      </c>
      <c r="AF75" s="6" t="s">
        <v>127</v>
      </c>
      <c r="AG75" s="6"/>
      <c r="AH75" s="6" t="s">
        <v>56</v>
      </c>
      <c r="AI75" s="6"/>
      <c r="AJ75" s="6"/>
      <c r="AK75" s="6" t="str">
        <f>HYPERLINK("https://knigipp.ru/api/getInfo/item/3ddbc5eb-5b56-11f1-a295-00155d82e908")</f>
        <v>https://knigipp.ru/api/getInfo/item/3ddbc5eb-5b56-11f1-a295-00155d82e908</v>
      </c>
      <c r="AL75" s="6" t="s">
        <v>425</v>
      </c>
    </row>
    <row r="76" spans="1:38" ht="23.1" customHeight="1" outlineLevel="2" x14ac:dyDescent="0.2">
      <c r="A76" s="47" t="s">
        <v>426</v>
      </c>
      <c r="B76" s="47"/>
      <c r="C76" s="47"/>
      <c r="D76" s="47"/>
      <c r="E76" s="47"/>
      <c r="F76" s="47"/>
    </row>
    <row r="77" spans="1:38" ht="21" customHeight="1" outlineLevel="3" x14ac:dyDescent="0.2">
      <c r="A77" s="2">
        <v>55</v>
      </c>
      <c r="B77" s="3" t="s">
        <v>427</v>
      </c>
      <c r="C77" s="49" t="s">
        <v>428</v>
      </c>
      <c r="D77" s="49"/>
      <c r="E77" s="49"/>
      <c r="F77" s="49"/>
      <c r="G77" s="4" t="s">
        <v>429</v>
      </c>
      <c r="H77" s="8"/>
      <c r="I77" s="9" t="s">
        <v>430</v>
      </c>
      <c r="J77" s="10"/>
      <c r="K77" s="11">
        <v>25</v>
      </c>
      <c r="L77" s="10"/>
      <c r="M77" s="10" t="s">
        <v>47</v>
      </c>
      <c r="N77" s="10"/>
      <c r="O77" s="2">
        <v>1</v>
      </c>
      <c r="P77" s="17">
        <f>270*(1-S3/100)</f>
        <v>270</v>
      </c>
      <c r="Q77" s="18"/>
      <c r="R77" s="10">
        <f t="shared" ref="R77:R83" si="5">P77*Q77</f>
        <v>0</v>
      </c>
      <c r="S77" s="19">
        <f>0.146*Q77</f>
        <v>0</v>
      </c>
      <c r="T77" s="20">
        <f>0.00026*Q77</f>
        <v>0</v>
      </c>
      <c r="U77" s="21"/>
      <c r="V77" s="22" t="s">
        <v>431</v>
      </c>
      <c r="W77" s="22" t="s">
        <v>49</v>
      </c>
      <c r="X77" s="3"/>
      <c r="Y77" s="3"/>
      <c r="Z77" s="3" t="s">
        <v>52</v>
      </c>
      <c r="AA77" s="3"/>
      <c r="AB77" s="3"/>
      <c r="AC77" s="3" t="str">
        <f>HYPERLINK("https://knigipp.ru/api/getInfo/image/be6d18cb-b584-11ec-a211-ac1f6b442185")</f>
        <v>https://knigipp.ru/api/getInfo/image/be6d18cb-b584-11ec-a211-ac1f6b442185</v>
      </c>
      <c r="AD77" s="32">
        <v>48</v>
      </c>
      <c r="AE77" s="3"/>
      <c r="AF77" s="3" t="s">
        <v>55</v>
      </c>
      <c r="AG77" s="3"/>
      <c r="AH77" s="3" t="s">
        <v>56</v>
      </c>
      <c r="AI77" s="3"/>
      <c r="AJ77" s="3"/>
      <c r="AK77" s="3" t="str">
        <f>HYPERLINK("https://knigipp.ru/api/getInfo/item/be6d18cb-b584-11ec-a211-ac1f6b442185")</f>
        <v>https://knigipp.ru/api/getInfo/item/be6d18cb-b584-11ec-a211-ac1f6b442185</v>
      </c>
      <c r="AL77" s="3" t="s">
        <v>432</v>
      </c>
    </row>
    <row r="78" spans="1:38" ht="21" customHeight="1" outlineLevel="3" x14ac:dyDescent="0.2">
      <c r="A78" s="2">
        <v>56</v>
      </c>
      <c r="B78" s="3" t="s">
        <v>433</v>
      </c>
      <c r="C78" s="49" t="s">
        <v>434</v>
      </c>
      <c r="D78" s="49"/>
      <c r="E78" s="49"/>
      <c r="F78" s="49"/>
      <c r="G78" s="4" t="s">
        <v>435</v>
      </c>
      <c r="H78" s="8"/>
      <c r="I78" s="9" t="s">
        <v>436</v>
      </c>
      <c r="J78" s="10"/>
      <c r="K78" s="11">
        <v>1</v>
      </c>
      <c r="L78" s="10"/>
      <c r="M78" s="10" t="s">
        <v>47</v>
      </c>
      <c r="N78" s="10"/>
      <c r="O78" s="2">
        <v>1</v>
      </c>
      <c r="P78" s="17">
        <f>899*(1-S3/100)</f>
        <v>899</v>
      </c>
      <c r="Q78" s="18"/>
      <c r="R78" s="10">
        <f t="shared" si="5"/>
        <v>0</v>
      </c>
      <c r="S78" s="19">
        <f>0.677*Q78</f>
        <v>0</v>
      </c>
      <c r="T78" s="20">
        <f>0.00521*Q78</f>
        <v>0</v>
      </c>
      <c r="U78" s="21"/>
      <c r="V78" s="22" t="s">
        <v>437</v>
      </c>
      <c r="W78" s="22" t="s">
        <v>49</v>
      </c>
      <c r="X78" s="3"/>
      <c r="Y78" s="3"/>
      <c r="Z78" s="3" t="s">
        <v>52</v>
      </c>
      <c r="AA78" s="3" t="s">
        <v>438</v>
      </c>
      <c r="AB78" s="3"/>
      <c r="AC78" s="3" t="str">
        <f>HYPERLINK("https://knigipp.ru/api/getInfo/image/5b04725c-1f54-11ef-a25f-00155d82e908")</f>
        <v>https://knigipp.ru/api/getInfo/image/5b04725c-1f54-11ef-a25f-00155d82e908</v>
      </c>
      <c r="AD78" s="3"/>
      <c r="AE78" s="3"/>
      <c r="AF78" s="3" t="s">
        <v>439</v>
      </c>
      <c r="AG78" s="3"/>
      <c r="AH78" s="3" t="s">
        <v>56</v>
      </c>
      <c r="AI78" s="3"/>
      <c r="AJ78" s="3"/>
      <c r="AK78" s="3" t="str">
        <f>HYPERLINK("https://knigipp.ru/api/getInfo/item/5b04725c-1f54-11ef-a25f-00155d82e908")</f>
        <v>https://knigipp.ru/api/getInfo/item/5b04725c-1f54-11ef-a25f-00155d82e908</v>
      </c>
      <c r="AL78" s="3" t="s">
        <v>440</v>
      </c>
    </row>
    <row r="79" spans="1:38" ht="21" customHeight="1" outlineLevel="3" x14ac:dyDescent="0.2">
      <c r="A79" s="2">
        <v>57</v>
      </c>
      <c r="B79" s="3" t="s">
        <v>441</v>
      </c>
      <c r="C79" s="49" t="s">
        <v>442</v>
      </c>
      <c r="D79" s="49"/>
      <c r="E79" s="49"/>
      <c r="F79" s="49"/>
      <c r="G79" s="4" t="s">
        <v>443</v>
      </c>
      <c r="H79" s="8"/>
      <c r="I79" s="9" t="s">
        <v>436</v>
      </c>
      <c r="J79" s="10"/>
      <c r="K79" s="11">
        <v>1</v>
      </c>
      <c r="L79" s="10"/>
      <c r="M79" s="10" t="s">
        <v>47</v>
      </c>
      <c r="N79" s="10"/>
      <c r="O79" s="2">
        <v>1</v>
      </c>
      <c r="P79" s="17">
        <f>899*(1-S3/100)</f>
        <v>899</v>
      </c>
      <c r="Q79" s="18"/>
      <c r="R79" s="10">
        <f t="shared" si="5"/>
        <v>0</v>
      </c>
      <c r="S79" s="19">
        <f>0.157*Q79</f>
        <v>0</v>
      </c>
      <c r="T79" s="20">
        <f>0.00098*Q79</f>
        <v>0</v>
      </c>
      <c r="U79" s="21"/>
      <c r="V79" s="22" t="s">
        <v>444</v>
      </c>
      <c r="W79" s="22" t="s">
        <v>49</v>
      </c>
      <c r="X79" s="3"/>
      <c r="Y79" s="3"/>
      <c r="Z79" s="3" t="s">
        <v>52</v>
      </c>
      <c r="AA79" s="3" t="s">
        <v>438</v>
      </c>
      <c r="AB79" s="3"/>
      <c r="AC79" s="3" t="str">
        <f>HYPERLINK("https://knigipp.ru/api/getInfo/image/8058530c-1f54-11ef-a25f-00155d82e908")</f>
        <v>https://knigipp.ru/api/getInfo/image/8058530c-1f54-11ef-a25f-00155d82e908</v>
      </c>
      <c r="AD79" s="3"/>
      <c r="AE79" s="3"/>
      <c r="AF79" s="3" t="s">
        <v>439</v>
      </c>
      <c r="AG79" s="3"/>
      <c r="AH79" s="3" t="s">
        <v>56</v>
      </c>
      <c r="AI79" s="3"/>
      <c r="AJ79" s="3"/>
      <c r="AK79" s="3" t="str">
        <f>HYPERLINK("https://knigipp.ru/api/getInfo/item/8058530c-1f54-11ef-a25f-00155d82e908")</f>
        <v>https://knigipp.ru/api/getInfo/item/8058530c-1f54-11ef-a25f-00155d82e908</v>
      </c>
      <c r="AL79" s="3" t="s">
        <v>440</v>
      </c>
    </row>
    <row r="80" spans="1:38" ht="21" customHeight="1" outlineLevel="3" x14ac:dyDescent="0.2">
      <c r="A80" s="2">
        <v>58</v>
      </c>
      <c r="B80" s="3" t="s">
        <v>445</v>
      </c>
      <c r="C80" s="49" t="s">
        <v>446</v>
      </c>
      <c r="D80" s="49"/>
      <c r="E80" s="49"/>
      <c r="F80" s="49"/>
      <c r="G80" s="4" t="s">
        <v>447</v>
      </c>
      <c r="H80" s="8"/>
      <c r="I80" s="9" t="s">
        <v>448</v>
      </c>
      <c r="J80" s="10"/>
      <c r="K80" s="11">
        <v>50</v>
      </c>
      <c r="L80" s="10"/>
      <c r="M80" s="10" t="s">
        <v>47</v>
      </c>
      <c r="N80" s="10"/>
      <c r="O80" s="2">
        <v>1</v>
      </c>
      <c r="P80" s="17">
        <f>199*(1-S3/100)</f>
        <v>199</v>
      </c>
      <c r="Q80" s="18"/>
      <c r="R80" s="10">
        <f t="shared" si="5"/>
        <v>0</v>
      </c>
      <c r="S80" s="19">
        <f>0.117*Q80</f>
        <v>0</v>
      </c>
      <c r="T80" s="20">
        <f>0.00002*Q80</f>
        <v>0</v>
      </c>
      <c r="U80" s="21"/>
      <c r="V80" s="22" t="s">
        <v>449</v>
      </c>
      <c r="W80" s="22" t="s">
        <v>49</v>
      </c>
      <c r="X80" s="3"/>
      <c r="Y80" s="3"/>
      <c r="Z80" s="3" t="s">
        <v>450</v>
      </c>
      <c r="AA80" s="3" t="s">
        <v>451</v>
      </c>
      <c r="AB80" s="3"/>
      <c r="AC80" s="3" t="str">
        <f>HYPERLINK("https://knigipp.ru/api/getInfo/image/4c465974-73b2-11e8-844d-5cf3fc4a2490")</f>
        <v>https://knigipp.ru/api/getInfo/image/4c465974-73b2-11e8-844d-5cf3fc4a2490</v>
      </c>
      <c r="AD80" s="3"/>
      <c r="AE80" s="3"/>
      <c r="AF80" s="3" t="s">
        <v>452</v>
      </c>
      <c r="AG80" s="3"/>
      <c r="AH80" s="3" t="s">
        <v>56</v>
      </c>
      <c r="AI80" s="3"/>
      <c r="AJ80" s="3"/>
      <c r="AK80" s="3" t="str">
        <f>HYPERLINK("https://knigipp.ru/api/getInfo/item/4c465974-73b2-11e8-844d-5cf3fc4a2490")</f>
        <v>https://knigipp.ru/api/getInfo/item/4c465974-73b2-11e8-844d-5cf3fc4a2490</v>
      </c>
      <c r="AL80" s="3" t="s">
        <v>453</v>
      </c>
    </row>
    <row r="81" spans="1:38" ht="21" customHeight="1" outlineLevel="3" x14ac:dyDescent="0.2">
      <c r="A81" s="2">
        <v>59</v>
      </c>
      <c r="B81" s="3" t="s">
        <v>454</v>
      </c>
      <c r="C81" s="49" t="s">
        <v>455</v>
      </c>
      <c r="D81" s="49"/>
      <c r="E81" s="49"/>
      <c r="F81" s="49"/>
      <c r="G81" s="4" t="s">
        <v>456</v>
      </c>
      <c r="H81" s="8"/>
      <c r="I81" s="9" t="s">
        <v>457</v>
      </c>
      <c r="J81" s="10"/>
      <c r="K81" s="11">
        <v>50</v>
      </c>
      <c r="L81" s="10"/>
      <c r="M81" s="10" t="s">
        <v>78</v>
      </c>
      <c r="N81" s="10"/>
      <c r="O81" s="2">
        <v>1</v>
      </c>
      <c r="P81" s="17">
        <f>199*(1-S3/100)</f>
        <v>199</v>
      </c>
      <c r="Q81" s="18"/>
      <c r="R81" s="10">
        <f t="shared" si="5"/>
        <v>0</v>
      </c>
      <c r="S81" s="19">
        <f>0.121*Q81</f>
        <v>0</v>
      </c>
      <c r="T81" s="20">
        <f>0.00008*Q81</f>
        <v>0</v>
      </c>
      <c r="U81" s="21"/>
      <c r="V81" s="22" t="s">
        <v>458</v>
      </c>
      <c r="W81" s="22" t="s">
        <v>49</v>
      </c>
      <c r="X81" s="3"/>
      <c r="Y81" s="3" t="s">
        <v>459</v>
      </c>
      <c r="Z81" s="3" t="s">
        <v>460</v>
      </c>
      <c r="AA81" s="3"/>
      <c r="AB81" s="3"/>
      <c r="AC81" s="3" t="str">
        <f>HYPERLINK("https://knigipp.ru/api/getInfo/image/e13719e8-354c-11ef-a261-00155d82e908")</f>
        <v>https://knigipp.ru/api/getInfo/image/e13719e8-354c-11ef-a261-00155d82e908</v>
      </c>
      <c r="AD81" s="3"/>
      <c r="AE81" s="3"/>
      <c r="AF81" s="3" t="s">
        <v>452</v>
      </c>
      <c r="AG81" s="3"/>
      <c r="AH81" s="3" t="s">
        <v>56</v>
      </c>
      <c r="AI81" s="3"/>
      <c r="AJ81" s="3"/>
      <c r="AK81" s="3" t="str">
        <f>HYPERLINK("https://knigipp.ru/api/getInfo/item/e13719e8-354c-11ef-a261-00155d82e908")</f>
        <v>https://knigipp.ru/api/getInfo/item/e13719e8-354c-11ef-a261-00155d82e908</v>
      </c>
      <c r="AL81" s="3" t="s">
        <v>461</v>
      </c>
    </row>
    <row r="82" spans="1:38" ht="21" customHeight="1" outlineLevel="3" x14ac:dyDescent="0.2">
      <c r="A82" s="2">
        <v>60</v>
      </c>
      <c r="B82" s="3" t="s">
        <v>462</v>
      </c>
      <c r="C82" s="49" t="s">
        <v>463</v>
      </c>
      <c r="D82" s="49"/>
      <c r="E82" s="49"/>
      <c r="F82" s="49"/>
      <c r="G82" s="4" t="s">
        <v>464</v>
      </c>
      <c r="H82" s="8"/>
      <c r="I82" s="9" t="s">
        <v>465</v>
      </c>
      <c r="J82" s="10"/>
      <c r="K82" s="11">
        <v>5</v>
      </c>
      <c r="L82" s="10"/>
      <c r="M82" s="10" t="s">
        <v>304</v>
      </c>
      <c r="N82" s="10"/>
      <c r="O82" s="2">
        <v>1</v>
      </c>
      <c r="P82" s="17">
        <f>599*(1-S3/100)</f>
        <v>599</v>
      </c>
      <c r="Q82" s="18"/>
      <c r="R82" s="10">
        <f t="shared" si="5"/>
        <v>0</v>
      </c>
      <c r="S82" s="35">
        <f>0.3*Q82</f>
        <v>0</v>
      </c>
      <c r="T82" s="20">
        <f>0.00292*Q82</f>
        <v>0</v>
      </c>
      <c r="U82" s="21"/>
      <c r="V82" s="22" t="s">
        <v>466</v>
      </c>
      <c r="W82" s="22" t="s">
        <v>49</v>
      </c>
      <c r="X82" s="3"/>
      <c r="Y82" s="3"/>
      <c r="Z82" s="3" t="s">
        <v>52</v>
      </c>
      <c r="AA82" s="3"/>
      <c r="AB82" s="3"/>
      <c r="AC82" s="3" t="str">
        <f>HYPERLINK("https://knigipp.ru/api/getInfo/image/6a79b120-ad95-11eb-a201-ac1f6b442185")</f>
        <v>https://knigipp.ru/api/getInfo/image/6a79b120-ad95-11eb-a201-ac1f6b442185</v>
      </c>
      <c r="AD82" s="32">
        <v>10</v>
      </c>
      <c r="AE82" s="3"/>
      <c r="AF82" s="3" t="s">
        <v>209</v>
      </c>
      <c r="AG82" s="3"/>
      <c r="AH82" s="3" t="s">
        <v>56</v>
      </c>
      <c r="AI82" s="3"/>
      <c r="AJ82" s="3"/>
      <c r="AK82" s="3" t="str">
        <f>HYPERLINK("https://knigipp.ru/api/getInfo/item/6a79b120-ad95-11eb-a201-ac1f6b442185")</f>
        <v>https://knigipp.ru/api/getInfo/item/6a79b120-ad95-11eb-a201-ac1f6b442185</v>
      </c>
      <c r="AL82" s="3" t="s">
        <v>467</v>
      </c>
    </row>
    <row r="83" spans="1:38" ht="21" customHeight="1" outlineLevel="3" x14ac:dyDescent="0.2">
      <c r="A83" s="2">
        <v>61</v>
      </c>
      <c r="B83" s="3" t="s">
        <v>468</v>
      </c>
      <c r="C83" s="49" t="s">
        <v>469</v>
      </c>
      <c r="D83" s="49"/>
      <c r="E83" s="49"/>
      <c r="F83" s="49"/>
      <c r="G83" s="4" t="s">
        <v>470</v>
      </c>
      <c r="H83" s="8"/>
      <c r="I83" s="9" t="s">
        <v>471</v>
      </c>
      <c r="J83" s="10"/>
      <c r="K83" s="11">
        <v>6</v>
      </c>
      <c r="L83" s="10"/>
      <c r="M83" s="10" t="s">
        <v>47</v>
      </c>
      <c r="N83" s="10"/>
      <c r="O83" s="2">
        <v>1</v>
      </c>
      <c r="P83" s="17">
        <f>687*(1-S3/100)</f>
        <v>687</v>
      </c>
      <c r="Q83" s="18"/>
      <c r="R83" s="10">
        <f t="shared" si="5"/>
        <v>0</v>
      </c>
      <c r="S83" s="19">
        <f>0.394*Q83</f>
        <v>0</v>
      </c>
      <c r="T83" s="20">
        <f>0.00253*Q83</f>
        <v>0</v>
      </c>
      <c r="U83" s="21"/>
      <c r="V83" s="22" t="s">
        <v>472</v>
      </c>
      <c r="W83" s="22" t="s">
        <v>49</v>
      </c>
      <c r="X83" s="3" t="s">
        <v>473</v>
      </c>
      <c r="Y83" s="3" t="s">
        <v>474</v>
      </c>
      <c r="Z83" s="3" t="s">
        <v>52</v>
      </c>
      <c r="AA83" s="3"/>
      <c r="AB83" s="3"/>
      <c r="AC83" s="3" t="str">
        <f>HYPERLINK("https://knigipp.ru/api/getInfo/image/d187b817-1f49-11ef-a25f-00155d82e908")</f>
        <v>https://knigipp.ru/api/getInfo/image/d187b817-1f49-11ef-a25f-00155d82e908</v>
      </c>
      <c r="AD83" s="32">
        <v>32</v>
      </c>
      <c r="AE83" s="3" t="s">
        <v>54</v>
      </c>
      <c r="AF83" s="3" t="s">
        <v>127</v>
      </c>
      <c r="AG83" s="3"/>
      <c r="AH83" s="3" t="s">
        <v>56</v>
      </c>
      <c r="AI83" s="3"/>
      <c r="AJ83" s="3"/>
      <c r="AK83" s="3" t="str">
        <f>HYPERLINK("https://knigipp.ru/api/getInfo/item/d187b817-1f49-11ef-a25f-00155d82e908")</f>
        <v>https://knigipp.ru/api/getInfo/item/d187b817-1f49-11ef-a25f-00155d82e908</v>
      </c>
      <c r="AL83" s="3" t="s">
        <v>475</v>
      </c>
    </row>
    <row r="84" spans="1:38" ht="23.1" customHeight="1" outlineLevel="2" x14ac:dyDescent="0.2">
      <c r="A84" s="47" t="s">
        <v>476</v>
      </c>
      <c r="B84" s="47"/>
      <c r="C84" s="47"/>
      <c r="D84" s="47"/>
      <c r="E84" s="47"/>
      <c r="F84" s="47"/>
    </row>
    <row r="85" spans="1:38" ht="21" customHeight="1" outlineLevel="3" x14ac:dyDescent="0.2">
      <c r="A85" s="2">
        <v>62</v>
      </c>
      <c r="B85" s="3" t="s">
        <v>477</v>
      </c>
      <c r="C85" s="49" t="s">
        <v>478</v>
      </c>
      <c r="D85" s="49"/>
      <c r="E85" s="49"/>
      <c r="F85" s="49"/>
      <c r="G85" s="4" t="s">
        <v>479</v>
      </c>
      <c r="H85" s="8"/>
      <c r="I85" s="9"/>
      <c r="J85" s="10"/>
      <c r="K85" s="11">
        <v>10</v>
      </c>
      <c r="L85" s="10"/>
      <c r="M85" s="10" t="s">
        <v>47</v>
      </c>
      <c r="N85" s="10"/>
      <c r="O85" s="2">
        <v>3</v>
      </c>
      <c r="P85" s="17">
        <f>249*(1-S3/100)</f>
        <v>249</v>
      </c>
      <c r="Q85" s="18"/>
      <c r="R85" s="10">
        <f>P85*Q85</f>
        <v>0</v>
      </c>
      <c r="S85" s="19">
        <f>0.286*Q85</f>
        <v>0</v>
      </c>
      <c r="T85" s="20">
        <f>0.00076*Q85</f>
        <v>0</v>
      </c>
      <c r="U85" s="21"/>
      <c r="V85" s="22" t="s">
        <v>480</v>
      </c>
      <c r="W85" s="22" t="s">
        <v>191</v>
      </c>
      <c r="X85" s="3"/>
      <c r="Y85" s="3"/>
      <c r="Z85" s="3" t="s">
        <v>52</v>
      </c>
      <c r="AA85" s="3"/>
      <c r="AB85" s="3"/>
      <c r="AC85" s="3" t="str">
        <f>HYPERLINK("https://knigipp.ru/api/getInfo/image/f4e9a03d-fb22-11ee-a25d-00155d82e908")</f>
        <v>https://knigipp.ru/api/getInfo/image/f4e9a03d-fb22-11ee-a25d-00155d82e908</v>
      </c>
      <c r="AD85" s="32">
        <v>128</v>
      </c>
      <c r="AE85" s="3" t="s">
        <v>481</v>
      </c>
      <c r="AF85" s="3" t="s">
        <v>127</v>
      </c>
      <c r="AG85" s="3"/>
      <c r="AH85" s="3" t="s">
        <v>56</v>
      </c>
      <c r="AI85" s="3"/>
      <c r="AJ85" s="3"/>
      <c r="AK85" s="3" t="str">
        <f>HYPERLINK("https://knigipp.ru/api/getInfo/item/f4e9a03d-fb22-11ee-a25d-00155d82e908")</f>
        <v>https://knigipp.ru/api/getInfo/item/f4e9a03d-fb22-11ee-a25d-00155d82e908</v>
      </c>
      <c r="AL85" s="3" t="s">
        <v>482</v>
      </c>
    </row>
    <row r="86" spans="1:38" ht="21" customHeight="1" outlineLevel="3" x14ac:dyDescent="0.2">
      <c r="A86" s="2">
        <v>63</v>
      </c>
      <c r="B86" s="3" t="s">
        <v>483</v>
      </c>
      <c r="C86" s="49" t="s">
        <v>484</v>
      </c>
      <c r="D86" s="49"/>
      <c r="E86" s="49"/>
      <c r="F86" s="49"/>
      <c r="G86" s="4" t="s">
        <v>485</v>
      </c>
      <c r="H86" s="8"/>
      <c r="I86" s="9"/>
      <c r="J86" s="10"/>
      <c r="K86" s="11">
        <v>10</v>
      </c>
      <c r="L86" s="10"/>
      <c r="M86" s="10" t="s">
        <v>47</v>
      </c>
      <c r="N86" s="10"/>
      <c r="O86" s="2">
        <v>3</v>
      </c>
      <c r="P86" s="17">
        <f>249*(1-S3/100)</f>
        <v>249</v>
      </c>
      <c r="Q86" s="18"/>
      <c r="R86" s="10">
        <f>P86*Q86</f>
        <v>0</v>
      </c>
      <c r="S86" s="19">
        <f>0.286*Q86</f>
        <v>0</v>
      </c>
      <c r="T86" s="20">
        <f>0.00076*Q86</f>
        <v>0</v>
      </c>
      <c r="U86" s="21"/>
      <c r="V86" s="22" t="s">
        <v>486</v>
      </c>
      <c r="W86" s="22" t="s">
        <v>191</v>
      </c>
      <c r="X86" s="3"/>
      <c r="Y86" s="3"/>
      <c r="Z86" s="3" t="s">
        <v>52</v>
      </c>
      <c r="AA86" s="3"/>
      <c r="AB86" s="3"/>
      <c r="AC86" s="3" t="str">
        <f>HYPERLINK("https://knigipp.ru/api/getInfo/image/785faa9e-fb22-11ee-a25d-00155d82e908")</f>
        <v>https://knigipp.ru/api/getInfo/image/785faa9e-fb22-11ee-a25d-00155d82e908</v>
      </c>
      <c r="AD86" s="32">
        <v>128</v>
      </c>
      <c r="AE86" s="3" t="s">
        <v>481</v>
      </c>
      <c r="AF86" s="3" t="s">
        <v>127</v>
      </c>
      <c r="AG86" s="3"/>
      <c r="AH86" s="3" t="s">
        <v>56</v>
      </c>
      <c r="AI86" s="3"/>
      <c r="AJ86" s="3"/>
      <c r="AK86" s="3" t="str">
        <f>HYPERLINK("https://knigipp.ru/api/getInfo/item/785faa9e-fb22-11ee-a25d-00155d82e908")</f>
        <v>https://knigipp.ru/api/getInfo/item/785faa9e-fb22-11ee-a25d-00155d82e908</v>
      </c>
      <c r="AL86" s="3" t="s">
        <v>482</v>
      </c>
    </row>
    <row r="87" spans="1:38" ht="21" customHeight="1" outlineLevel="3" x14ac:dyDescent="0.2">
      <c r="A87" s="2">
        <v>64</v>
      </c>
      <c r="B87" s="3" t="s">
        <v>487</v>
      </c>
      <c r="C87" s="49" t="s">
        <v>488</v>
      </c>
      <c r="D87" s="49"/>
      <c r="E87" s="49"/>
      <c r="F87" s="49"/>
      <c r="G87" s="4" t="s">
        <v>489</v>
      </c>
      <c r="H87" s="8"/>
      <c r="I87" s="9"/>
      <c r="J87" s="10"/>
      <c r="K87" s="11">
        <v>10</v>
      </c>
      <c r="L87" s="10"/>
      <c r="M87" s="10" t="s">
        <v>47</v>
      </c>
      <c r="N87" s="10"/>
      <c r="O87" s="2">
        <v>3</v>
      </c>
      <c r="P87" s="17">
        <f>249*(1-S3/100)</f>
        <v>249</v>
      </c>
      <c r="Q87" s="18"/>
      <c r="R87" s="10">
        <f>P87*Q87</f>
        <v>0</v>
      </c>
      <c r="S87" s="19">
        <f>0.284*Q87</f>
        <v>0</v>
      </c>
      <c r="T87" s="20">
        <f>0.00048*Q87</f>
        <v>0</v>
      </c>
      <c r="U87" s="21"/>
      <c r="V87" s="22" t="s">
        <v>490</v>
      </c>
      <c r="W87" s="22" t="s">
        <v>191</v>
      </c>
      <c r="X87" s="3"/>
      <c r="Y87" s="3"/>
      <c r="Z87" s="3" t="s">
        <v>52</v>
      </c>
      <c r="AA87" s="3"/>
      <c r="AB87" s="3"/>
      <c r="AC87" s="3" t="str">
        <f>HYPERLINK("https://knigipp.ru/api/getInfo/image/ae55f1ec-fb22-11ee-a25d-00155d82e908")</f>
        <v>https://knigipp.ru/api/getInfo/image/ae55f1ec-fb22-11ee-a25d-00155d82e908</v>
      </c>
      <c r="AD87" s="32">
        <v>128</v>
      </c>
      <c r="AE87" s="3" t="s">
        <v>481</v>
      </c>
      <c r="AF87" s="3" t="s">
        <v>127</v>
      </c>
      <c r="AG87" s="3"/>
      <c r="AH87" s="3" t="s">
        <v>56</v>
      </c>
      <c r="AI87" s="3"/>
      <c r="AJ87" s="3"/>
      <c r="AK87" s="3" t="str">
        <f>HYPERLINK("https://knigipp.ru/api/getInfo/item/ae55f1ec-fb22-11ee-a25d-00155d82e908")</f>
        <v>https://knigipp.ru/api/getInfo/item/ae55f1ec-fb22-11ee-a25d-00155d82e908</v>
      </c>
      <c r="AL87" s="3" t="s">
        <v>482</v>
      </c>
    </row>
    <row r="88" spans="1:38" ht="21" customHeight="1" outlineLevel="3" x14ac:dyDescent="0.2">
      <c r="A88" s="2">
        <v>65</v>
      </c>
      <c r="B88" s="3" t="s">
        <v>491</v>
      </c>
      <c r="C88" s="49" t="s">
        <v>492</v>
      </c>
      <c r="D88" s="49"/>
      <c r="E88" s="49"/>
      <c r="F88" s="49"/>
      <c r="G88" s="4" t="s">
        <v>493</v>
      </c>
      <c r="H88" s="8"/>
      <c r="I88" s="9"/>
      <c r="J88" s="10"/>
      <c r="K88" s="11">
        <v>10</v>
      </c>
      <c r="L88" s="10"/>
      <c r="M88" s="10" t="s">
        <v>47</v>
      </c>
      <c r="N88" s="10"/>
      <c r="O88" s="2">
        <v>3</v>
      </c>
      <c r="P88" s="17">
        <f>249*(1-S3/100)</f>
        <v>249</v>
      </c>
      <c r="Q88" s="18"/>
      <c r="R88" s="10">
        <f>P88*Q88</f>
        <v>0</v>
      </c>
      <c r="S88" s="19">
        <f>0.286*Q88</f>
        <v>0</v>
      </c>
      <c r="T88" s="20">
        <f>0.00044*Q88</f>
        <v>0</v>
      </c>
      <c r="U88" s="21"/>
      <c r="V88" s="22" t="s">
        <v>494</v>
      </c>
      <c r="W88" s="22" t="s">
        <v>191</v>
      </c>
      <c r="X88" s="3"/>
      <c r="Y88" s="3"/>
      <c r="Z88" s="3" t="s">
        <v>52</v>
      </c>
      <c r="AA88" s="3"/>
      <c r="AB88" s="3"/>
      <c r="AC88" s="3" t="str">
        <f>HYPERLINK("https://knigipp.ru/api/getInfo/image/d43dc487-fb22-11ee-a25d-00155d82e908")</f>
        <v>https://knigipp.ru/api/getInfo/image/d43dc487-fb22-11ee-a25d-00155d82e908</v>
      </c>
      <c r="AD88" s="32">
        <v>128</v>
      </c>
      <c r="AE88" s="3" t="s">
        <v>481</v>
      </c>
      <c r="AF88" s="3" t="s">
        <v>127</v>
      </c>
      <c r="AG88" s="3"/>
      <c r="AH88" s="3" t="s">
        <v>56</v>
      </c>
      <c r="AI88" s="3"/>
      <c r="AJ88" s="3"/>
      <c r="AK88" s="3" t="str">
        <f>HYPERLINK("https://knigipp.ru/api/getInfo/item/d43dc487-fb22-11ee-a25d-00155d82e908")</f>
        <v>https://knigipp.ru/api/getInfo/item/d43dc487-fb22-11ee-a25d-00155d82e908</v>
      </c>
      <c r="AL88" s="3" t="s">
        <v>482</v>
      </c>
    </row>
    <row r="89" spans="1:38" ht="23.1" customHeight="1" outlineLevel="2" x14ac:dyDescent="0.2">
      <c r="A89" s="47" t="s">
        <v>495</v>
      </c>
      <c r="B89" s="47"/>
      <c r="C89" s="47"/>
      <c r="D89" s="47"/>
      <c r="E89" s="47"/>
      <c r="F89" s="47"/>
    </row>
    <row r="90" spans="1:38" ht="21" customHeight="1" outlineLevel="3" x14ac:dyDescent="0.2">
      <c r="A90" s="5">
        <v>66</v>
      </c>
      <c r="B90" s="6" t="s">
        <v>496</v>
      </c>
      <c r="C90" s="54" t="s">
        <v>497</v>
      </c>
      <c r="D90" s="54"/>
      <c r="E90" s="54"/>
      <c r="F90" s="54"/>
      <c r="G90" s="7" t="s">
        <v>498</v>
      </c>
      <c r="H90" s="12"/>
      <c r="I90" s="13"/>
      <c r="J90" s="14"/>
      <c r="K90" s="15">
        <v>20</v>
      </c>
      <c r="L90" s="14"/>
      <c r="M90" s="14" t="s">
        <v>47</v>
      </c>
      <c r="N90" s="14"/>
      <c r="O90" s="5">
        <v>4</v>
      </c>
      <c r="P90" s="23">
        <f>249*(1-S3/100)</f>
        <v>249</v>
      </c>
      <c r="Q90" s="18"/>
      <c r="R90" s="14">
        <f t="shared" ref="R90:R95" si="6">P90*Q90</f>
        <v>0</v>
      </c>
      <c r="S90" s="24">
        <f t="shared" ref="S90:S95" si="7">0.126*Q90</f>
        <v>0</v>
      </c>
      <c r="T90" s="31">
        <f>0.0004*Q90</f>
        <v>0</v>
      </c>
      <c r="U90" s="26" t="s">
        <v>62</v>
      </c>
      <c r="V90" s="27" t="s">
        <v>499</v>
      </c>
      <c r="W90" s="27" t="s">
        <v>49</v>
      </c>
      <c r="X90" s="6"/>
      <c r="Y90" s="6"/>
      <c r="Z90" s="6" t="s">
        <v>52</v>
      </c>
      <c r="AA90" s="6"/>
      <c r="AB90" s="6"/>
      <c r="AC90" s="6" t="str">
        <f>HYPERLINK("https://knigipp.ru/api/getInfo/image/cbfc98bc-748d-11f1-a29a-00155d82e908")</f>
        <v>https://knigipp.ru/api/getInfo/image/cbfc98bc-748d-11f1-a29a-00155d82e908</v>
      </c>
      <c r="AD90" s="33">
        <v>16</v>
      </c>
      <c r="AE90" s="6" t="s">
        <v>54</v>
      </c>
      <c r="AF90" s="6" t="s">
        <v>136</v>
      </c>
      <c r="AG90" s="6"/>
      <c r="AH90" s="6"/>
      <c r="AI90" s="6"/>
      <c r="AJ90" s="6"/>
      <c r="AK90" s="6" t="str">
        <f>HYPERLINK("https://knigipp.ru/api/getInfo/item/cbfc98bc-748d-11f1-a29a-00155d82e908")</f>
        <v>https://knigipp.ru/api/getInfo/item/cbfc98bc-748d-11f1-a29a-00155d82e908</v>
      </c>
      <c r="AL90" s="6" t="s">
        <v>500</v>
      </c>
    </row>
    <row r="91" spans="1:38" ht="21" customHeight="1" outlineLevel="3" x14ac:dyDescent="0.2">
      <c r="A91" s="5">
        <v>67</v>
      </c>
      <c r="B91" s="6" t="s">
        <v>501</v>
      </c>
      <c r="C91" s="54" t="s">
        <v>502</v>
      </c>
      <c r="D91" s="54"/>
      <c r="E91" s="54"/>
      <c r="F91" s="54"/>
      <c r="G91" s="7" t="s">
        <v>503</v>
      </c>
      <c r="H91" s="12"/>
      <c r="I91" s="13"/>
      <c r="J91" s="14"/>
      <c r="K91" s="15">
        <v>20</v>
      </c>
      <c r="L91" s="14"/>
      <c r="M91" s="14" t="s">
        <v>47</v>
      </c>
      <c r="N91" s="14"/>
      <c r="O91" s="5">
        <v>4</v>
      </c>
      <c r="P91" s="23">
        <f>249*(1-S3/100)</f>
        <v>249</v>
      </c>
      <c r="Q91" s="18"/>
      <c r="R91" s="14">
        <f t="shared" si="6"/>
        <v>0</v>
      </c>
      <c r="S91" s="24">
        <f t="shared" si="7"/>
        <v>0</v>
      </c>
      <c r="T91" s="31">
        <f>0.0004*Q91</f>
        <v>0</v>
      </c>
      <c r="U91" s="26" t="s">
        <v>62</v>
      </c>
      <c r="V91" s="27" t="s">
        <v>504</v>
      </c>
      <c r="W91" s="27" t="s">
        <v>49</v>
      </c>
      <c r="X91" s="6"/>
      <c r="Y91" s="6"/>
      <c r="Z91" s="6" t="s">
        <v>52</v>
      </c>
      <c r="AA91" s="6"/>
      <c r="AB91" s="6"/>
      <c r="AC91" s="6" t="str">
        <f>HYPERLINK("https://knigipp.ru/api/getInfo/image/f797d8b4-748d-11f1-a29a-00155d82e908")</f>
        <v>https://knigipp.ru/api/getInfo/image/f797d8b4-748d-11f1-a29a-00155d82e908</v>
      </c>
      <c r="AD91" s="33">
        <v>16</v>
      </c>
      <c r="AE91" s="6" t="s">
        <v>54</v>
      </c>
      <c r="AF91" s="6" t="s">
        <v>136</v>
      </c>
      <c r="AG91" s="6"/>
      <c r="AH91" s="6"/>
      <c r="AI91" s="6"/>
      <c r="AJ91" s="6"/>
      <c r="AK91" s="6" t="str">
        <f>HYPERLINK("https://knigipp.ru/api/getInfo/item/f797d8b4-748d-11f1-a29a-00155d82e908")</f>
        <v>https://knigipp.ru/api/getInfo/item/f797d8b4-748d-11f1-a29a-00155d82e908</v>
      </c>
      <c r="AL91" s="6" t="s">
        <v>500</v>
      </c>
    </row>
    <row r="92" spans="1:38" ht="21" customHeight="1" outlineLevel="3" x14ac:dyDescent="0.2">
      <c r="A92" s="5">
        <v>68</v>
      </c>
      <c r="B92" s="6" t="s">
        <v>505</v>
      </c>
      <c r="C92" s="54" t="s">
        <v>506</v>
      </c>
      <c r="D92" s="54"/>
      <c r="E92" s="54"/>
      <c r="F92" s="54"/>
      <c r="G92" s="7" t="s">
        <v>507</v>
      </c>
      <c r="H92" s="12"/>
      <c r="I92" s="13"/>
      <c r="J92" s="14"/>
      <c r="K92" s="15">
        <v>20</v>
      </c>
      <c r="L92" s="14"/>
      <c r="M92" s="14" t="s">
        <v>47</v>
      </c>
      <c r="N92" s="14"/>
      <c r="O92" s="5">
        <v>4</v>
      </c>
      <c r="P92" s="23">
        <f>249*(1-S3/100)</f>
        <v>249</v>
      </c>
      <c r="Q92" s="18"/>
      <c r="R92" s="14">
        <f t="shared" si="6"/>
        <v>0</v>
      </c>
      <c r="S92" s="24">
        <f t="shared" si="7"/>
        <v>0</v>
      </c>
      <c r="T92" s="31">
        <f>0.0004*Q92</f>
        <v>0</v>
      </c>
      <c r="U92" s="26" t="s">
        <v>62</v>
      </c>
      <c r="V92" s="27" t="s">
        <v>508</v>
      </c>
      <c r="W92" s="27" t="s">
        <v>49</v>
      </c>
      <c r="X92" s="6"/>
      <c r="Y92" s="6"/>
      <c r="Z92" s="6" t="s">
        <v>52</v>
      </c>
      <c r="AA92" s="6"/>
      <c r="AB92" s="6"/>
      <c r="AC92" s="6" t="str">
        <f>HYPERLINK("https://knigipp.ru/api/getInfo/image/23125457-748e-11f1-a29a-00155d82e908")</f>
        <v>https://knigipp.ru/api/getInfo/image/23125457-748e-11f1-a29a-00155d82e908</v>
      </c>
      <c r="AD92" s="33">
        <v>16</v>
      </c>
      <c r="AE92" s="6" t="s">
        <v>54</v>
      </c>
      <c r="AF92" s="6" t="s">
        <v>136</v>
      </c>
      <c r="AG92" s="6"/>
      <c r="AH92" s="6"/>
      <c r="AI92" s="6"/>
      <c r="AJ92" s="6"/>
      <c r="AK92" s="6" t="str">
        <f>HYPERLINK("https://knigipp.ru/api/getInfo/item/23125457-748e-11f1-a29a-00155d82e908")</f>
        <v>https://knigipp.ru/api/getInfo/item/23125457-748e-11f1-a29a-00155d82e908</v>
      </c>
      <c r="AL92" s="6" t="s">
        <v>500</v>
      </c>
    </row>
    <row r="93" spans="1:38" ht="21" customHeight="1" outlineLevel="3" x14ac:dyDescent="0.2">
      <c r="A93" s="5">
        <v>69</v>
      </c>
      <c r="B93" s="6" t="s">
        <v>509</v>
      </c>
      <c r="C93" s="54" t="s">
        <v>510</v>
      </c>
      <c r="D93" s="54"/>
      <c r="E93" s="54"/>
      <c r="F93" s="54"/>
      <c r="G93" s="7" t="s">
        <v>511</v>
      </c>
      <c r="H93" s="12"/>
      <c r="I93" s="13"/>
      <c r="J93" s="14"/>
      <c r="K93" s="15">
        <v>20</v>
      </c>
      <c r="L93" s="14"/>
      <c r="M93" s="14" t="s">
        <v>47</v>
      </c>
      <c r="N93" s="14"/>
      <c r="O93" s="5">
        <v>4</v>
      </c>
      <c r="P93" s="23">
        <f>249*(1-S3/100)</f>
        <v>249</v>
      </c>
      <c r="Q93" s="18"/>
      <c r="R93" s="14">
        <f t="shared" si="6"/>
        <v>0</v>
      </c>
      <c r="S93" s="24">
        <f t="shared" si="7"/>
        <v>0</v>
      </c>
      <c r="T93" s="31">
        <f>0.0004*Q93</f>
        <v>0</v>
      </c>
      <c r="U93" s="26" t="s">
        <v>62</v>
      </c>
      <c r="V93" s="27" t="s">
        <v>512</v>
      </c>
      <c r="W93" s="27" t="s">
        <v>49</v>
      </c>
      <c r="X93" s="6"/>
      <c r="Y93" s="6"/>
      <c r="Z93" s="6" t="s">
        <v>52</v>
      </c>
      <c r="AA93" s="6"/>
      <c r="AB93" s="6"/>
      <c r="AC93" s="6" t="str">
        <f>HYPERLINK("https://knigipp.ru/api/getInfo/image/45e45309-748e-11f1-a29a-00155d82e908")</f>
        <v>https://knigipp.ru/api/getInfo/image/45e45309-748e-11f1-a29a-00155d82e908</v>
      </c>
      <c r="AD93" s="33">
        <v>16</v>
      </c>
      <c r="AE93" s="6" t="s">
        <v>54</v>
      </c>
      <c r="AF93" s="6" t="s">
        <v>136</v>
      </c>
      <c r="AG93" s="6"/>
      <c r="AH93" s="6"/>
      <c r="AI93" s="6"/>
      <c r="AJ93" s="6"/>
      <c r="AK93" s="6" t="str">
        <f>HYPERLINK("https://knigipp.ru/api/getInfo/item/45e45309-748e-11f1-a29a-00155d82e908")</f>
        <v>https://knigipp.ru/api/getInfo/item/45e45309-748e-11f1-a29a-00155d82e908</v>
      </c>
      <c r="AL93" s="6" t="s">
        <v>500</v>
      </c>
    </row>
    <row r="94" spans="1:38" ht="21" customHeight="1" outlineLevel="3" x14ac:dyDescent="0.2">
      <c r="A94" s="5">
        <v>70</v>
      </c>
      <c r="B94" s="6" t="s">
        <v>513</v>
      </c>
      <c r="C94" s="54" t="s">
        <v>514</v>
      </c>
      <c r="D94" s="54"/>
      <c r="E94" s="54"/>
      <c r="F94" s="54"/>
      <c r="G94" s="7" t="s">
        <v>515</v>
      </c>
      <c r="H94" s="12"/>
      <c r="I94" s="13"/>
      <c r="J94" s="14"/>
      <c r="K94" s="15">
        <v>20</v>
      </c>
      <c r="L94" s="14"/>
      <c r="M94" s="14" t="s">
        <v>78</v>
      </c>
      <c r="N94" s="14"/>
      <c r="O94" s="5">
        <v>4</v>
      </c>
      <c r="P94" s="23">
        <f>249*(1-S3/100)</f>
        <v>249</v>
      </c>
      <c r="Q94" s="18"/>
      <c r="R94" s="14">
        <f t="shared" si="6"/>
        <v>0</v>
      </c>
      <c r="S94" s="24">
        <f t="shared" si="7"/>
        <v>0</v>
      </c>
      <c r="T94" s="31">
        <f>0.0004*Q94</f>
        <v>0</v>
      </c>
      <c r="U94" s="26" t="s">
        <v>62</v>
      </c>
      <c r="V94" s="27" t="s">
        <v>516</v>
      </c>
      <c r="W94" s="27" t="s">
        <v>49</v>
      </c>
      <c r="X94" s="6"/>
      <c r="Y94" s="6"/>
      <c r="Z94" s="6" t="s">
        <v>52</v>
      </c>
      <c r="AA94" s="6"/>
      <c r="AB94" s="6"/>
      <c r="AC94" s="6" t="str">
        <f>HYPERLINK("https://knigipp.ru/api/getInfo/image/89b68bc4-748d-11f1-a29a-00155d82e908")</f>
        <v>https://knigipp.ru/api/getInfo/image/89b68bc4-748d-11f1-a29a-00155d82e908</v>
      </c>
      <c r="AD94" s="33">
        <v>16</v>
      </c>
      <c r="AE94" s="6" t="s">
        <v>54</v>
      </c>
      <c r="AF94" s="6" t="s">
        <v>136</v>
      </c>
      <c r="AG94" s="6"/>
      <c r="AH94" s="6"/>
      <c r="AI94" s="6"/>
      <c r="AJ94" s="6"/>
      <c r="AK94" s="6" t="str">
        <f>HYPERLINK("https://knigipp.ru/api/getInfo/item/89b68bc4-748d-11f1-a29a-00155d82e908")</f>
        <v>https://knigipp.ru/api/getInfo/item/89b68bc4-748d-11f1-a29a-00155d82e908</v>
      </c>
      <c r="AL94" s="6" t="s">
        <v>500</v>
      </c>
    </row>
    <row r="95" spans="1:38" ht="21" customHeight="1" outlineLevel="3" x14ac:dyDescent="0.2">
      <c r="A95" s="5">
        <v>71</v>
      </c>
      <c r="B95" s="6" t="s">
        <v>517</v>
      </c>
      <c r="C95" s="54" t="s">
        <v>518</v>
      </c>
      <c r="D95" s="54"/>
      <c r="E95" s="54"/>
      <c r="F95" s="54"/>
      <c r="G95" s="7" t="s">
        <v>519</v>
      </c>
      <c r="H95" s="12"/>
      <c r="I95" s="13"/>
      <c r="J95" s="14"/>
      <c r="K95" s="15">
        <v>20</v>
      </c>
      <c r="L95" s="14"/>
      <c r="M95" s="14" t="s">
        <v>47</v>
      </c>
      <c r="N95" s="14"/>
      <c r="O95" s="5">
        <v>4</v>
      </c>
      <c r="P95" s="23">
        <f>249*(1-S3/100)</f>
        <v>249</v>
      </c>
      <c r="Q95" s="18"/>
      <c r="R95" s="14">
        <f t="shared" si="6"/>
        <v>0</v>
      </c>
      <c r="S95" s="24">
        <f t="shared" si="7"/>
        <v>0</v>
      </c>
      <c r="T95" s="25">
        <f>0.00042*Q95</f>
        <v>0</v>
      </c>
      <c r="U95" s="26" t="s">
        <v>62</v>
      </c>
      <c r="V95" s="27" t="s">
        <v>520</v>
      </c>
      <c r="W95" s="27" t="s">
        <v>49</v>
      </c>
      <c r="X95" s="6"/>
      <c r="Y95" s="6"/>
      <c r="Z95" s="6" t="s">
        <v>52</v>
      </c>
      <c r="AA95" s="6"/>
      <c r="AB95" s="6"/>
      <c r="AC95" s="6" t="str">
        <f>HYPERLINK("https://knigipp.ru/api/getInfo/image/6708f07f-748e-11f1-a29a-00155d82e908")</f>
        <v>https://knigipp.ru/api/getInfo/image/6708f07f-748e-11f1-a29a-00155d82e908</v>
      </c>
      <c r="AD95" s="33">
        <v>16</v>
      </c>
      <c r="AE95" s="6" t="s">
        <v>54</v>
      </c>
      <c r="AF95" s="6" t="s">
        <v>136</v>
      </c>
      <c r="AG95" s="6"/>
      <c r="AH95" s="6"/>
      <c r="AI95" s="6"/>
      <c r="AJ95" s="6"/>
      <c r="AK95" s="6" t="str">
        <f>HYPERLINK("https://knigipp.ru/api/getInfo/item/6708f07f-748e-11f1-a29a-00155d82e908")</f>
        <v>https://knigipp.ru/api/getInfo/item/6708f07f-748e-11f1-a29a-00155d82e908</v>
      </c>
      <c r="AL95" s="6" t="s">
        <v>500</v>
      </c>
    </row>
    <row r="96" spans="1:38" ht="23.1" customHeight="1" outlineLevel="2" x14ac:dyDescent="0.2">
      <c r="A96" s="47" t="s">
        <v>521</v>
      </c>
      <c r="B96" s="47"/>
      <c r="C96" s="47"/>
      <c r="D96" s="47"/>
      <c r="E96" s="47"/>
      <c r="F96" s="47"/>
    </row>
    <row r="97" spans="1:38" ht="21" customHeight="1" outlineLevel="3" x14ac:dyDescent="0.2">
      <c r="A97" s="2">
        <v>72</v>
      </c>
      <c r="B97" s="3" t="s">
        <v>522</v>
      </c>
      <c r="C97" s="49" t="s">
        <v>523</v>
      </c>
      <c r="D97" s="49"/>
      <c r="E97" s="49"/>
      <c r="F97" s="49"/>
      <c r="G97" s="4" t="s">
        <v>524</v>
      </c>
      <c r="H97" s="8"/>
      <c r="I97" s="9" t="s">
        <v>525</v>
      </c>
      <c r="J97" s="10"/>
      <c r="K97" s="11">
        <v>30</v>
      </c>
      <c r="L97" s="10"/>
      <c r="M97" s="10" t="s">
        <v>47</v>
      </c>
      <c r="N97" s="10"/>
      <c r="O97" s="2">
        <v>1</v>
      </c>
      <c r="P97" s="17">
        <f>149*(1-S3/100)</f>
        <v>149</v>
      </c>
      <c r="Q97" s="18"/>
      <c r="R97" s="10">
        <f>P97*Q97</f>
        <v>0</v>
      </c>
      <c r="S97" s="19">
        <f>0.075*Q97</f>
        <v>0</v>
      </c>
      <c r="T97" s="20">
        <f>0.00025*Q97</f>
        <v>0</v>
      </c>
      <c r="U97" s="21"/>
      <c r="V97" s="22" t="s">
        <v>526</v>
      </c>
      <c r="W97" s="22" t="s">
        <v>49</v>
      </c>
      <c r="X97" s="3"/>
      <c r="Y97" s="3" t="s">
        <v>527</v>
      </c>
      <c r="Z97" s="3" t="s">
        <v>52</v>
      </c>
      <c r="AA97" s="3"/>
      <c r="AB97" s="3"/>
      <c r="AC97" s="3" t="str">
        <f>HYPERLINK("https://knigipp.ru/api/getInfo/image/df079ad7-10dc-11ee-a23b-00155d82e902")</f>
        <v>https://knigipp.ru/api/getInfo/image/df079ad7-10dc-11ee-a23b-00155d82e902</v>
      </c>
      <c r="AD97" s="32">
        <v>16</v>
      </c>
      <c r="AE97" s="3" t="s">
        <v>54</v>
      </c>
      <c r="AF97" s="3" t="s">
        <v>136</v>
      </c>
      <c r="AG97" s="3"/>
      <c r="AH97" s="3" t="s">
        <v>56</v>
      </c>
      <c r="AI97" s="3"/>
      <c r="AJ97" s="3"/>
      <c r="AK97" s="3" t="str">
        <f>HYPERLINK("https://knigipp.ru/api/getInfo/item/df079ad7-10dc-11ee-a23b-00155d82e902")</f>
        <v>https://knigipp.ru/api/getInfo/item/df079ad7-10dc-11ee-a23b-00155d82e902</v>
      </c>
      <c r="AL97" s="3" t="s">
        <v>528</v>
      </c>
    </row>
    <row r="98" spans="1:38" ht="21" customHeight="1" outlineLevel="3" x14ac:dyDescent="0.2">
      <c r="A98" s="2">
        <v>73</v>
      </c>
      <c r="B98" s="3" t="s">
        <v>529</v>
      </c>
      <c r="C98" s="49" t="s">
        <v>530</v>
      </c>
      <c r="D98" s="49"/>
      <c r="E98" s="49"/>
      <c r="F98" s="49"/>
      <c r="G98" s="4" t="s">
        <v>531</v>
      </c>
      <c r="H98" s="8"/>
      <c r="I98" s="9" t="s">
        <v>532</v>
      </c>
      <c r="J98" s="10"/>
      <c r="K98" s="11">
        <v>25</v>
      </c>
      <c r="L98" s="10"/>
      <c r="M98" s="10" t="s">
        <v>47</v>
      </c>
      <c r="N98" s="10"/>
      <c r="O98" s="2">
        <v>1</v>
      </c>
      <c r="P98" s="17">
        <f>299*(1-S3/100)</f>
        <v>299</v>
      </c>
      <c r="Q98" s="18"/>
      <c r="R98" s="10">
        <f>P98*Q98</f>
        <v>0</v>
      </c>
      <c r="S98" s="28">
        <f>0.19*Q98</f>
        <v>0</v>
      </c>
      <c r="T98" s="20">
        <f>0.00074*Q98</f>
        <v>0</v>
      </c>
      <c r="U98" s="21"/>
      <c r="V98" s="22" t="s">
        <v>533</v>
      </c>
      <c r="W98" s="22" t="s">
        <v>49</v>
      </c>
      <c r="X98" s="3"/>
      <c r="Y98" s="3"/>
      <c r="Z98" s="3" t="s">
        <v>52</v>
      </c>
      <c r="AA98" s="3"/>
      <c r="AB98" s="3"/>
      <c r="AC98" s="3" t="str">
        <f>HYPERLINK("https://knigipp.ru/api/getInfo/image/67d84718-da6e-11eb-a209-ac1f6b442185")</f>
        <v>https://knigipp.ru/api/getInfo/image/67d84718-da6e-11eb-a209-ac1f6b442185</v>
      </c>
      <c r="AD98" s="32">
        <v>32</v>
      </c>
      <c r="AE98" s="3"/>
      <c r="AF98" s="3" t="s">
        <v>136</v>
      </c>
      <c r="AG98" s="3"/>
      <c r="AH98" s="3" t="s">
        <v>56</v>
      </c>
      <c r="AI98" s="3"/>
      <c r="AJ98" s="3"/>
      <c r="AK98" s="3" t="str">
        <f>HYPERLINK("https://knigipp.ru/api/getInfo/item/67d84718-da6e-11eb-a209-ac1f6b442185")</f>
        <v>https://knigipp.ru/api/getInfo/item/67d84718-da6e-11eb-a209-ac1f6b442185</v>
      </c>
      <c r="AL98" s="3" t="s">
        <v>534</v>
      </c>
    </row>
    <row r="99" spans="1:38" ht="21" customHeight="1" outlineLevel="3" x14ac:dyDescent="0.2">
      <c r="A99" s="2">
        <v>74</v>
      </c>
      <c r="B99" s="3" t="s">
        <v>535</v>
      </c>
      <c r="C99" s="49" t="s">
        <v>536</v>
      </c>
      <c r="D99" s="49"/>
      <c r="E99" s="49"/>
      <c r="F99" s="49"/>
      <c r="G99" s="4" t="s">
        <v>537</v>
      </c>
      <c r="H99" s="8"/>
      <c r="I99" s="9" t="s">
        <v>538</v>
      </c>
      <c r="J99" s="10"/>
      <c r="K99" s="11">
        <v>10</v>
      </c>
      <c r="L99" s="10"/>
      <c r="M99" s="10" t="s">
        <v>47</v>
      </c>
      <c r="N99" s="10"/>
      <c r="O99" s="2">
        <v>1</v>
      </c>
      <c r="P99" s="17">
        <f>335.54*(1-S3/100)</f>
        <v>335.54</v>
      </c>
      <c r="Q99" s="18"/>
      <c r="R99" s="10">
        <f>P99*Q99</f>
        <v>0</v>
      </c>
      <c r="S99" s="19">
        <f>0.128*Q99</f>
        <v>0</v>
      </c>
      <c r="T99" s="20">
        <f>0.00091*Q99</f>
        <v>0</v>
      </c>
      <c r="U99" s="21"/>
      <c r="V99" s="22" t="s">
        <v>539</v>
      </c>
      <c r="W99" s="22" t="s">
        <v>49</v>
      </c>
      <c r="X99" s="3"/>
      <c r="Y99" s="3"/>
      <c r="Z99" s="3" t="s">
        <v>52</v>
      </c>
      <c r="AA99" s="3"/>
      <c r="AB99" s="3"/>
      <c r="AC99" s="3" t="str">
        <f>HYPERLINK("https://knigipp.ru/api/getInfo/image/1b381711-821f-11e9-a226-ac1f6b442184")</f>
        <v>https://knigipp.ru/api/getInfo/image/1b381711-821f-11e9-a226-ac1f6b442184</v>
      </c>
      <c r="AD99" s="32">
        <v>12</v>
      </c>
      <c r="AE99" s="3"/>
      <c r="AF99" s="3" t="s">
        <v>136</v>
      </c>
      <c r="AG99" s="3"/>
      <c r="AH99" s="3" t="s">
        <v>56</v>
      </c>
      <c r="AI99" s="3"/>
      <c r="AJ99" s="3"/>
      <c r="AK99" s="3" t="str">
        <f>HYPERLINK("https://knigipp.ru/api/getInfo/item/1b381711-821f-11e9-a226-ac1f6b442184")</f>
        <v>https://knigipp.ru/api/getInfo/item/1b381711-821f-11e9-a226-ac1f6b442184</v>
      </c>
      <c r="AL99" s="3" t="s">
        <v>540</v>
      </c>
    </row>
    <row r="100" spans="1:38" ht="21" customHeight="1" outlineLevel="3" x14ac:dyDescent="0.2">
      <c r="A100" s="2">
        <v>75</v>
      </c>
      <c r="B100" s="3" t="s">
        <v>541</v>
      </c>
      <c r="C100" s="49" t="s">
        <v>542</v>
      </c>
      <c r="D100" s="49"/>
      <c r="E100" s="49"/>
      <c r="F100" s="49"/>
      <c r="G100" s="4" t="s">
        <v>543</v>
      </c>
      <c r="H100" s="8"/>
      <c r="I100" s="9" t="s">
        <v>544</v>
      </c>
      <c r="J100" s="10"/>
      <c r="K100" s="11">
        <v>100</v>
      </c>
      <c r="L100" s="10"/>
      <c r="M100" s="10" t="s">
        <v>47</v>
      </c>
      <c r="N100" s="10"/>
      <c r="O100" s="2">
        <v>1</v>
      </c>
      <c r="P100" s="17">
        <f>249*(1-S3/100)</f>
        <v>249</v>
      </c>
      <c r="Q100" s="18"/>
      <c r="R100" s="10">
        <f>P100*Q100</f>
        <v>0</v>
      </c>
      <c r="S100" s="19">
        <f>0.079*Q100</f>
        <v>0</v>
      </c>
      <c r="T100" s="20">
        <f>0.00011*Q100</f>
        <v>0</v>
      </c>
      <c r="U100" s="21"/>
      <c r="V100" s="22" t="s">
        <v>545</v>
      </c>
      <c r="W100" s="22" t="s">
        <v>49</v>
      </c>
      <c r="X100" s="3"/>
      <c r="Y100" s="3"/>
      <c r="Z100" s="3" t="s">
        <v>52</v>
      </c>
      <c r="AA100" s="3"/>
      <c r="AB100" s="3"/>
      <c r="AC100" s="3" t="str">
        <f>HYPERLINK("https://knigipp.ru/api/getInfo/image/22a256f4-028d-11ed-a213-ac1f6b442185")</f>
        <v>https://knigipp.ru/api/getInfo/image/22a256f4-028d-11ed-a213-ac1f6b442185</v>
      </c>
      <c r="AD100" s="32">
        <v>2</v>
      </c>
      <c r="AE100" s="3" t="s">
        <v>54</v>
      </c>
      <c r="AF100" s="3"/>
      <c r="AG100" s="3"/>
      <c r="AH100" s="3" t="s">
        <v>56</v>
      </c>
      <c r="AI100" s="3"/>
      <c r="AJ100" s="3"/>
      <c r="AK100" s="3" t="str">
        <f>HYPERLINK("https://knigipp.ru/api/getInfo/item/22a256f4-028d-11ed-a213-ac1f6b442185")</f>
        <v>https://knigipp.ru/api/getInfo/item/22a256f4-028d-11ed-a213-ac1f6b442185</v>
      </c>
      <c r="AL100" s="3" t="s">
        <v>546</v>
      </c>
    </row>
    <row r="101" spans="1:38" ht="23.1" customHeight="1" outlineLevel="2" x14ac:dyDescent="0.2">
      <c r="A101" s="47" t="s">
        <v>547</v>
      </c>
      <c r="B101" s="47"/>
      <c r="C101" s="47"/>
      <c r="D101" s="47"/>
      <c r="E101" s="47"/>
      <c r="F101" s="47"/>
    </row>
    <row r="102" spans="1:38" ht="21" customHeight="1" outlineLevel="3" x14ac:dyDescent="0.2">
      <c r="A102" s="2">
        <v>76</v>
      </c>
      <c r="B102" s="3" t="s">
        <v>548</v>
      </c>
      <c r="C102" s="49" t="s">
        <v>549</v>
      </c>
      <c r="D102" s="49"/>
      <c r="E102" s="49"/>
      <c r="F102" s="49"/>
      <c r="G102" s="4" t="s">
        <v>550</v>
      </c>
      <c r="H102" s="8"/>
      <c r="I102" s="9" t="s">
        <v>551</v>
      </c>
      <c r="J102" s="10"/>
      <c r="K102" s="11">
        <v>30</v>
      </c>
      <c r="L102" s="10"/>
      <c r="M102" s="10" t="s">
        <v>47</v>
      </c>
      <c r="N102" s="10"/>
      <c r="O102" s="2">
        <v>4</v>
      </c>
      <c r="P102" s="17">
        <f>179.4*(1-S3/100)</f>
        <v>179.4</v>
      </c>
      <c r="Q102" s="18"/>
      <c r="R102" s="10">
        <f>P102*Q102</f>
        <v>0</v>
      </c>
      <c r="S102" s="19">
        <f>0.086*Q102</f>
        <v>0</v>
      </c>
      <c r="T102" s="20">
        <f>0.00032*Q102</f>
        <v>0</v>
      </c>
      <c r="U102" s="21"/>
      <c r="V102" s="22" t="s">
        <v>552</v>
      </c>
      <c r="W102" s="22" t="s">
        <v>191</v>
      </c>
      <c r="X102" s="3"/>
      <c r="Y102" s="3"/>
      <c r="Z102" s="3" t="s">
        <v>52</v>
      </c>
      <c r="AA102" s="3"/>
      <c r="AB102" s="3"/>
      <c r="AC102" s="3" t="str">
        <f>HYPERLINK("https://knigipp.ru/api/getInfo/image/99b03844-9dcc-11eb-a201-ac1f6b442185")</f>
        <v>https://knigipp.ru/api/getInfo/image/99b03844-9dcc-11eb-a201-ac1f6b442185</v>
      </c>
      <c r="AD102" s="32">
        <v>8</v>
      </c>
      <c r="AE102" s="3"/>
      <c r="AF102" s="3" t="s">
        <v>136</v>
      </c>
      <c r="AG102" s="3"/>
      <c r="AH102" s="3" t="s">
        <v>56</v>
      </c>
      <c r="AI102" s="3"/>
      <c r="AJ102" s="3"/>
      <c r="AK102" s="3" t="str">
        <f>HYPERLINK("https://knigipp.ru/api/getInfo/item/99b03844-9dcc-11eb-a201-ac1f6b442185")</f>
        <v>https://knigipp.ru/api/getInfo/item/99b03844-9dcc-11eb-a201-ac1f6b442185</v>
      </c>
      <c r="AL102" s="3" t="s">
        <v>553</v>
      </c>
    </row>
    <row r="103" spans="1:38" ht="21" customHeight="1" outlineLevel="3" x14ac:dyDescent="0.2">
      <c r="A103" s="2">
        <v>77</v>
      </c>
      <c r="B103" s="3" t="s">
        <v>554</v>
      </c>
      <c r="C103" s="49" t="s">
        <v>555</v>
      </c>
      <c r="D103" s="49"/>
      <c r="E103" s="49"/>
      <c r="F103" s="49"/>
      <c r="G103" s="4" t="s">
        <v>556</v>
      </c>
      <c r="H103" s="8"/>
      <c r="I103" s="9" t="s">
        <v>551</v>
      </c>
      <c r="J103" s="10"/>
      <c r="K103" s="11">
        <v>30</v>
      </c>
      <c r="L103" s="10"/>
      <c r="M103" s="10" t="s">
        <v>47</v>
      </c>
      <c r="N103" s="10"/>
      <c r="O103" s="2">
        <v>4</v>
      </c>
      <c r="P103" s="17">
        <f>179.4*(1-S3/100)</f>
        <v>179.4</v>
      </c>
      <c r="Q103" s="18"/>
      <c r="R103" s="10">
        <f>P103*Q103</f>
        <v>0</v>
      </c>
      <c r="S103" s="19">
        <f>0.092*Q103</f>
        <v>0</v>
      </c>
      <c r="T103" s="20">
        <f>0.00051*Q103</f>
        <v>0</v>
      </c>
      <c r="U103" s="21"/>
      <c r="V103" s="22" t="s">
        <v>557</v>
      </c>
      <c r="W103" s="22" t="s">
        <v>191</v>
      </c>
      <c r="X103" s="3"/>
      <c r="Y103" s="3"/>
      <c r="Z103" s="3" t="s">
        <v>52</v>
      </c>
      <c r="AA103" s="3"/>
      <c r="AB103" s="3"/>
      <c r="AC103" s="3" t="str">
        <f>HYPERLINK("https://knigipp.ru/api/getInfo/image/dbbf51ec-9dcc-11eb-a201-ac1f6b442185")</f>
        <v>https://knigipp.ru/api/getInfo/image/dbbf51ec-9dcc-11eb-a201-ac1f6b442185</v>
      </c>
      <c r="AD103" s="32">
        <v>8</v>
      </c>
      <c r="AE103" s="3"/>
      <c r="AF103" s="3" t="s">
        <v>136</v>
      </c>
      <c r="AG103" s="3"/>
      <c r="AH103" s="3" t="s">
        <v>56</v>
      </c>
      <c r="AI103" s="3"/>
      <c r="AJ103" s="3"/>
      <c r="AK103" s="3" t="str">
        <f>HYPERLINK("https://knigipp.ru/api/getInfo/item/dbbf51ec-9dcc-11eb-a201-ac1f6b442185")</f>
        <v>https://knigipp.ru/api/getInfo/item/dbbf51ec-9dcc-11eb-a201-ac1f6b442185</v>
      </c>
      <c r="AL103" s="3" t="s">
        <v>553</v>
      </c>
    </row>
    <row r="104" spans="1:38" ht="23.1" customHeight="1" outlineLevel="2" x14ac:dyDescent="0.2">
      <c r="A104" s="47" t="s">
        <v>558</v>
      </c>
      <c r="B104" s="47"/>
      <c r="C104" s="47"/>
      <c r="D104" s="47"/>
      <c r="E104" s="47"/>
      <c r="F104" s="47"/>
    </row>
    <row r="105" spans="1:38" ht="21" customHeight="1" outlineLevel="3" x14ac:dyDescent="0.2">
      <c r="A105" s="5">
        <v>78</v>
      </c>
      <c r="B105" s="6" t="s">
        <v>559</v>
      </c>
      <c r="C105" s="54" t="s">
        <v>560</v>
      </c>
      <c r="D105" s="54"/>
      <c r="E105" s="54"/>
      <c r="F105" s="54"/>
      <c r="G105" s="7" t="s">
        <v>561</v>
      </c>
      <c r="H105" s="12"/>
      <c r="I105" s="13" t="s">
        <v>562</v>
      </c>
      <c r="J105" s="14"/>
      <c r="K105" s="15">
        <v>48</v>
      </c>
      <c r="L105" s="14"/>
      <c r="M105" s="14" t="s">
        <v>47</v>
      </c>
      <c r="N105" s="14"/>
      <c r="O105" s="5">
        <v>15</v>
      </c>
      <c r="P105" s="23">
        <f>107*(1-S3/100)</f>
        <v>107</v>
      </c>
      <c r="Q105" s="18"/>
      <c r="R105" s="14">
        <f>P105*Q105</f>
        <v>0</v>
      </c>
      <c r="S105" s="24">
        <f>0.059*Q105</f>
        <v>0</v>
      </c>
      <c r="T105" s="25">
        <f>0.00009*Q105</f>
        <v>0</v>
      </c>
      <c r="U105" s="26" t="s">
        <v>62</v>
      </c>
      <c r="V105" s="27" t="s">
        <v>563</v>
      </c>
      <c r="W105" s="27" t="s">
        <v>49</v>
      </c>
      <c r="X105" s="6" t="s">
        <v>281</v>
      </c>
      <c r="Y105" s="6"/>
      <c r="Z105" s="6" t="s">
        <v>52</v>
      </c>
      <c r="AA105" s="6"/>
      <c r="AB105" s="6"/>
      <c r="AC105" s="6" t="str">
        <f>HYPERLINK("https://knigipp.ru/api/getInfo/image/a62e8b4f-4490-11f1-a294-00155d82e908")</f>
        <v>https://knigipp.ru/api/getInfo/image/a62e8b4f-4490-11f1-a294-00155d82e908</v>
      </c>
      <c r="AD105" s="33">
        <v>10</v>
      </c>
      <c r="AE105" s="6" t="s">
        <v>54</v>
      </c>
      <c r="AF105" s="6" t="s">
        <v>209</v>
      </c>
      <c r="AG105" s="6"/>
      <c r="AH105" s="6" t="s">
        <v>56</v>
      </c>
      <c r="AI105" s="6"/>
      <c r="AJ105" s="6"/>
      <c r="AK105" s="6" t="str">
        <f>HYPERLINK("https://knigipp.ru/api/getInfo/item/a62e8b4f-4490-11f1-a294-00155d82e908")</f>
        <v>https://knigipp.ru/api/getInfo/item/a62e8b4f-4490-11f1-a294-00155d82e908</v>
      </c>
      <c r="AL105" s="6" t="s">
        <v>564</v>
      </c>
    </row>
    <row r="106" spans="1:38" ht="21" customHeight="1" outlineLevel="3" x14ac:dyDescent="0.2">
      <c r="A106" s="5">
        <v>79</v>
      </c>
      <c r="B106" s="6" t="s">
        <v>565</v>
      </c>
      <c r="C106" s="54" t="s">
        <v>566</v>
      </c>
      <c r="D106" s="54"/>
      <c r="E106" s="54"/>
      <c r="F106" s="54"/>
      <c r="G106" s="7" t="s">
        <v>567</v>
      </c>
      <c r="H106" s="12"/>
      <c r="I106" s="13" t="s">
        <v>562</v>
      </c>
      <c r="J106" s="14"/>
      <c r="K106" s="15">
        <v>48</v>
      </c>
      <c r="L106" s="14"/>
      <c r="M106" s="14" t="s">
        <v>47</v>
      </c>
      <c r="N106" s="14"/>
      <c r="O106" s="5">
        <v>15</v>
      </c>
      <c r="P106" s="23">
        <f>107*(1-S3/100)</f>
        <v>107</v>
      </c>
      <c r="Q106" s="18"/>
      <c r="R106" s="14">
        <f>P106*Q106</f>
        <v>0</v>
      </c>
      <c r="S106" s="24">
        <f>0.053*Q106</f>
        <v>0</v>
      </c>
      <c r="T106" s="25">
        <f>0.00006*Q106</f>
        <v>0</v>
      </c>
      <c r="U106" s="26" t="s">
        <v>62</v>
      </c>
      <c r="V106" s="27" t="s">
        <v>568</v>
      </c>
      <c r="W106" s="27" t="s">
        <v>49</v>
      </c>
      <c r="X106" s="6" t="s">
        <v>569</v>
      </c>
      <c r="Y106" s="6"/>
      <c r="Z106" s="6" t="s">
        <v>52</v>
      </c>
      <c r="AA106" s="6"/>
      <c r="AB106" s="6"/>
      <c r="AC106" s="6" t="str">
        <f>HYPERLINK("https://knigipp.ru/api/getInfo/image/12d07f89-4491-11f1-a294-00155d82e908")</f>
        <v>https://knigipp.ru/api/getInfo/image/12d07f89-4491-11f1-a294-00155d82e908</v>
      </c>
      <c r="AD106" s="33">
        <v>10</v>
      </c>
      <c r="AE106" s="6" t="s">
        <v>54</v>
      </c>
      <c r="AF106" s="6" t="s">
        <v>209</v>
      </c>
      <c r="AG106" s="6"/>
      <c r="AH106" s="6" t="s">
        <v>56</v>
      </c>
      <c r="AI106" s="6"/>
      <c r="AJ106" s="6"/>
      <c r="AK106" s="6" t="str">
        <f>HYPERLINK("https://knigipp.ru/api/getInfo/item/12d07f89-4491-11f1-a294-00155d82e908")</f>
        <v>https://knigipp.ru/api/getInfo/item/12d07f89-4491-11f1-a294-00155d82e908</v>
      </c>
      <c r="AL106" s="6" t="s">
        <v>564</v>
      </c>
    </row>
    <row r="107" spans="1:38" ht="21" customHeight="1" outlineLevel="3" x14ac:dyDescent="0.2">
      <c r="A107" s="5">
        <v>80</v>
      </c>
      <c r="B107" s="6" t="s">
        <v>570</v>
      </c>
      <c r="C107" s="54" t="s">
        <v>571</v>
      </c>
      <c r="D107" s="54"/>
      <c r="E107" s="54"/>
      <c r="F107" s="54"/>
      <c r="G107" s="7" t="s">
        <v>572</v>
      </c>
      <c r="H107" s="12"/>
      <c r="I107" s="13" t="s">
        <v>562</v>
      </c>
      <c r="J107" s="14"/>
      <c r="K107" s="15">
        <v>48</v>
      </c>
      <c r="L107" s="14"/>
      <c r="M107" s="14" t="s">
        <v>47</v>
      </c>
      <c r="N107" s="14"/>
      <c r="O107" s="5">
        <v>15</v>
      </c>
      <c r="P107" s="23">
        <f>107*(1-S3/100)</f>
        <v>107</v>
      </c>
      <c r="Q107" s="18"/>
      <c r="R107" s="14">
        <f>P107*Q107</f>
        <v>0</v>
      </c>
      <c r="S107" s="24">
        <f>0.058*Q107</f>
        <v>0</v>
      </c>
      <c r="T107" s="25">
        <f>0.00013*Q107</f>
        <v>0</v>
      </c>
      <c r="U107" s="26" t="s">
        <v>62</v>
      </c>
      <c r="V107" s="27" t="s">
        <v>573</v>
      </c>
      <c r="W107" s="27" t="s">
        <v>49</v>
      </c>
      <c r="X107" s="6" t="s">
        <v>269</v>
      </c>
      <c r="Y107" s="6"/>
      <c r="Z107" s="6" t="s">
        <v>52</v>
      </c>
      <c r="AA107" s="6"/>
      <c r="AB107" s="6"/>
      <c r="AC107" s="6" t="str">
        <f>HYPERLINK("https://knigipp.ru/api/getInfo/image/46c21787-4491-11f1-a294-00155d82e908")</f>
        <v>https://knigipp.ru/api/getInfo/image/46c21787-4491-11f1-a294-00155d82e908</v>
      </c>
      <c r="AD107" s="33">
        <v>10</v>
      </c>
      <c r="AE107" s="6" t="s">
        <v>54</v>
      </c>
      <c r="AF107" s="6" t="s">
        <v>209</v>
      </c>
      <c r="AG107" s="6"/>
      <c r="AH107" s="6" t="s">
        <v>56</v>
      </c>
      <c r="AI107" s="6"/>
      <c r="AJ107" s="6"/>
      <c r="AK107" s="6" t="str">
        <f>HYPERLINK("https://knigipp.ru/api/getInfo/item/46c21787-4491-11f1-a294-00155d82e908")</f>
        <v>https://knigipp.ru/api/getInfo/item/46c21787-4491-11f1-a294-00155d82e908</v>
      </c>
      <c r="AL107" s="6" t="s">
        <v>564</v>
      </c>
    </row>
    <row r="108" spans="1:38" ht="21" customHeight="1" outlineLevel="3" x14ac:dyDescent="0.2">
      <c r="A108" s="5">
        <v>81</v>
      </c>
      <c r="B108" s="6" t="s">
        <v>574</v>
      </c>
      <c r="C108" s="54" t="s">
        <v>575</v>
      </c>
      <c r="D108" s="54"/>
      <c r="E108" s="54"/>
      <c r="F108" s="54"/>
      <c r="G108" s="7" t="s">
        <v>576</v>
      </c>
      <c r="H108" s="12"/>
      <c r="I108" s="13" t="s">
        <v>562</v>
      </c>
      <c r="J108" s="14"/>
      <c r="K108" s="15">
        <v>48</v>
      </c>
      <c r="L108" s="14"/>
      <c r="M108" s="14" t="s">
        <v>47</v>
      </c>
      <c r="N108" s="14"/>
      <c r="O108" s="5">
        <v>15</v>
      </c>
      <c r="P108" s="23">
        <f>107*(1-S3/100)</f>
        <v>107</v>
      </c>
      <c r="Q108" s="18"/>
      <c r="R108" s="14">
        <f>P108*Q108</f>
        <v>0</v>
      </c>
      <c r="S108" s="24">
        <f>0.049*Q108</f>
        <v>0</v>
      </c>
      <c r="T108" s="25">
        <f>0.00011*Q108</f>
        <v>0</v>
      </c>
      <c r="U108" s="26" t="s">
        <v>62</v>
      </c>
      <c r="V108" s="27" t="s">
        <v>577</v>
      </c>
      <c r="W108" s="27" t="s">
        <v>49</v>
      </c>
      <c r="X108" s="6" t="s">
        <v>281</v>
      </c>
      <c r="Y108" s="6"/>
      <c r="Z108" s="6" t="s">
        <v>52</v>
      </c>
      <c r="AA108" s="6"/>
      <c r="AB108" s="6"/>
      <c r="AC108" s="6" t="str">
        <f>HYPERLINK("https://knigipp.ru/api/getInfo/image/dbd5000c-4490-11f1-a294-00155d82e908")</f>
        <v>https://knigipp.ru/api/getInfo/image/dbd5000c-4490-11f1-a294-00155d82e908</v>
      </c>
      <c r="AD108" s="33">
        <v>10</v>
      </c>
      <c r="AE108" s="6" t="s">
        <v>54</v>
      </c>
      <c r="AF108" s="6" t="s">
        <v>209</v>
      </c>
      <c r="AG108" s="6"/>
      <c r="AH108" s="6" t="s">
        <v>56</v>
      </c>
      <c r="AI108" s="6"/>
      <c r="AJ108" s="6"/>
      <c r="AK108" s="6" t="str">
        <f>HYPERLINK("https://knigipp.ru/api/getInfo/item/dbd5000c-4490-11f1-a294-00155d82e908")</f>
        <v>https://knigipp.ru/api/getInfo/item/dbd5000c-4490-11f1-a294-00155d82e908</v>
      </c>
      <c r="AL108" s="6" t="s">
        <v>564</v>
      </c>
    </row>
    <row r="109" spans="1:38" ht="23.1" customHeight="1" outlineLevel="2" x14ac:dyDescent="0.2">
      <c r="A109" s="47" t="s">
        <v>578</v>
      </c>
      <c r="B109" s="47"/>
      <c r="C109" s="47"/>
      <c r="D109" s="47"/>
      <c r="E109" s="47"/>
      <c r="F109" s="47"/>
    </row>
    <row r="110" spans="1:38" ht="21" customHeight="1" outlineLevel="3" x14ac:dyDescent="0.2">
      <c r="A110" s="2">
        <v>82</v>
      </c>
      <c r="B110" s="3" t="s">
        <v>579</v>
      </c>
      <c r="C110" s="49" t="s">
        <v>580</v>
      </c>
      <c r="D110" s="49"/>
      <c r="E110" s="49"/>
      <c r="F110" s="49"/>
      <c r="G110" s="4" t="s">
        <v>581</v>
      </c>
      <c r="H110" s="8"/>
      <c r="I110" s="9" t="s">
        <v>582</v>
      </c>
      <c r="J110" s="10"/>
      <c r="K110" s="11">
        <v>80</v>
      </c>
      <c r="L110" s="10"/>
      <c r="M110" s="10" t="s">
        <v>47</v>
      </c>
      <c r="N110" s="10"/>
      <c r="O110" s="2">
        <v>4</v>
      </c>
      <c r="P110" s="17">
        <f>155*(1-S3/100)</f>
        <v>155</v>
      </c>
      <c r="Q110" s="18"/>
      <c r="R110" s="10">
        <f>P110*Q110</f>
        <v>0</v>
      </c>
      <c r="S110" s="19">
        <f>0.038*Q110</f>
        <v>0</v>
      </c>
      <c r="T110" s="20">
        <f>0.00006*Q110</f>
        <v>0</v>
      </c>
      <c r="U110" s="21"/>
      <c r="V110" s="22" t="s">
        <v>583</v>
      </c>
      <c r="W110" s="22" t="s">
        <v>191</v>
      </c>
      <c r="X110" s="3"/>
      <c r="Y110" s="3"/>
      <c r="Z110" s="3" t="s">
        <v>52</v>
      </c>
      <c r="AA110" s="3"/>
      <c r="AB110" s="3"/>
      <c r="AC110" s="3" t="str">
        <f>HYPERLINK("https://knigipp.ru/api/getInfo/image/a4be715b-03a2-11ee-a23b-00155d82e902")</f>
        <v>https://knigipp.ru/api/getInfo/image/a4be715b-03a2-11ee-a23b-00155d82e902</v>
      </c>
      <c r="AD110" s="3"/>
      <c r="AE110" s="3"/>
      <c r="AF110" s="3" t="s">
        <v>584</v>
      </c>
      <c r="AG110" s="3"/>
      <c r="AH110" s="3" t="s">
        <v>56</v>
      </c>
      <c r="AI110" s="3"/>
      <c r="AJ110" s="3"/>
      <c r="AK110" s="3" t="str">
        <f>HYPERLINK("https://knigipp.ru/api/getInfo/item/a4be715b-03a2-11ee-a23b-00155d82e902")</f>
        <v>https://knigipp.ru/api/getInfo/item/a4be715b-03a2-11ee-a23b-00155d82e902</v>
      </c>
      <c r="AL110" s="3" t="s">
        <v>585</v>
      </c>
    </row>
    <row r="111" spans="1:38" ht="23.1" customHeight="1" outlineLevel="2" x14ac:dyDescent="0.2">
      <c r="A111" s="47" t="s">
        <v>586</v>
      </c>
      <c r="B111" s="47"/>
      <c r="C111" s="47"/>
      <c r="D111" s="47"/>
      <c r="E111" s="47"/>
      <c r="F111" s="47"/>
    </row>
    <row r="112" spans="1:38" ht="21" customHeight="1" outlineLevel="3" x14ac:dyDescent="0.2">
      <c r="A112" s="2">
        <v>83</v>
      </c>
      <c r="B112" s="3" t="s">
        <v>587</v>
      </c>
      <c r="C112" s="49" t="s">
        <v>588</v>
      </c>
      <c r="D112" s="49"/>
      <c r="E112" s="49"/>
      <c r="F112" s="49"/>
      <c r="G112" s="4" t="s">
        <v>589</v>
      </c>
      <c r="H112" s="8"/>
      <c r="I112" s="9" t="s">
        <v>590</v>
      </c>
      <c r="J112" s="10"/>
      <c r="K112" s="11">
        <v>15</v>
      </c>
      <c r="L112" s="10"/>
      <c r="M112" s="10" t="s">
        <v>304</v>
      </c>
      <c r="N112" s="10"/>
      <c r="O112" s="2">
        <v>4</v>
      </c>
      <c r="P112" s="17">
        <f>159*(1-S3/100)</f>
        <v>159</v>
      </c>
      <c r="Q112" s="18"/>
      <c r="R112" s="10">
        <f>P112*Q112</f>
        <v>0</v>
      </c>
      <c r="S112" s="35">
        <f>0.1*Q112</f>
        <v>0</v>
      </c>
      <c r="T112" s="20">
        <f>0.00115*Q112</f>
        <v>0</v>
      </c>
      <c r="U112" s="21"/>
      <c r="V112" s="22" t="s">
        <v>591</v>
      </c>
      <c r="W112" s="22" t="s">
        <v>49</v>
      </c>
      <c r="X112" s="3"/>
      <c r="Y112" s="3"/>
      <c r="Z112" s="3" t="s">
        <v>52</v>
      </c>
      <c r="AA112" s="3"/>
      <c r="AB112" s="3"/>
      <c r="AC112" s="3" t="str">
        <f>HYPERLINK("https://knigipp.ru/api/getInfo/image/f613f294-c2d3-11eb-a206-ac1f6b442185")</f>
        <v>https://knigipp.ru/api/getInfo/image/f613f294-c2d3-11eb-a206-ac1f6b442185</v>
      </c>
      <c r="AD112" s="3"/>
      <c r="AE112" s="3"/>
      <c r="AF112" s="3"/>
      <c r="AG112" s="3"/>
      <c r="AH112" s="3" t="s">
        <v>56</v>
      </c>
      <c r="AI112" s="3"/>
      <c r="AJ112" s="3" t="s">
        <v>592</v>
      </c>
      <c r="AK112" s="3" t="str">
        <f>HYPERLINK("https://knigipp.ru/api/getInfo/item/f613f294-c2d3-11eb-a206-ac1f6b442185")</f>
        <v>https://knigipp.ru/api/getInfo/item/f613f294-c2d3-11eb-a206-ac1f6b442185</v>
      </c>
      <c r="AL112" s="3" t="s">
        <v>593</v>
      </c>
    </row>
    <row r="113" spans="1:38" ht="23.1" customHeight="1" outlineLevel="2" x14ac:dyDescent="0.2">
      <c r="A113" s="47" t="s">
        <v>594</v>
      </c>
      <c r="B113" s="47"/>
      <c r="C113" s="47"/>
      <c r="D113" s="47"/>
      <c r="E113" s="47"/>
      <c r="F113" s="47"/>
    </row>
    <row r="114" spans="1:38" ht="21" customHeight="1" outlineLevel="3" x14ac:dyDescent="0.2">
      <c r="A114" s="5">
        <v>84</v>
      </c>
      <c r="B114" s="6" t="s">
        <v>595</v>
      </c>
      <c r="C114" s="54" t="s">
        <v>596</v>
      </c>
      <c r="D114" s="54"/>
      <c r="E114" s="54"/>
      <c r="F114" s="54"/>
      <c r="G114" s="7" t="s">
        <v>597</v>
      </c>
      <c r="H114" s="12"/>
      <c r="I114" s="13"/>
      <c r="J114" s="14"/>
      <c r="K114" s="15">
        <v>10</v>
      </c>
      <c r="L114" s="14"/>
      <c r="M114" s="14" t="s">
        <v>47</v>
      </c>
      <c r="N114" s="14"/>
      <c r="O114" s="5">
        <v>2</v>
      </c>
      <c r="P114" s="23">
        <f>337*(1-S3/100)</f>
        <v>337</v>
      </c>
      <c r="Q114" s="18"/>
      <c r="R114" s="14">
        <f>P114*Q114</f>
        <v>0</v>
      </c>
      <c r="S114" s="24">
        <f>0.199*Q114</f>
        <v>0</v>
      </c>
      <c r="T114" s="25">
        <f>0.00026*Q114</f>
        <v>0</v>
      </c>
      <c r="U114" s="26" t="s">
        <v>62</v>
      </c>
      <c r="V114" s="27" t="s">
        <v>598</v>
      </c>
      <c r="W114" s="27" t="s">
        <v>49</v>
      </c>
      <c r="X114" s="6"/>
      <c r="Y114" s="6" t="s">
        <v>599</v>
      </c>
      <c r="Z114" s="6" t="s">
        <v>384</v>
      </c>
      <c r="AA114" s="6"/>
      <c r="AB114" s="6"/>
      <c r="AC114" s="6" t="str">
        <f>HYPERLINK("https://knigipp.ru/api/getInfo/image/38d70605-420f-11f1-a294-00155d82e908")</f>
        <v>https://knigipp.ru/api/getInfo/image/38d70605-420f-11f1-a294-00155d82e908</v>
      </c>
      <c r="AD114" s="33">
        <v>64</v>
      </c>
      <c r="AE114" s="6" t="s">
        <v>65</v>
      </c>
      <c r="AF114" s="6" t="s">
        <v>55</v>
      </c>
      <c r="AG114" s="6"/>
      <c r="AH114" s="6"/>
      <c r="AI114" s="6"/>
      <c r="AJ114" s="6"/>
      <c r="AK114" s="6" t="str">
        <f>HYPERLINK("https://knigipp.ru/api/getInfo/item/38d70605-420f-11f1-a294-00155d82e908")</f>
        <v>https://knigipp.ru/api/getInfo/item/38d70605-420f-11f1-a294-00155d82e908</v>
      </c>
      <c r="AL114" s="6" t="s">
        <v>600</v>
      </c>
    </row>
    <row r="115" spans="1:38" ht="21" customHeight="1" outlineLevel="3" x14ac:dyDescent="0.2">
      <c r="A115" s="5">
        <v>85</v>
      </c>
      <c r="B115" s="6" t="s">
        <v>601</v>
      </c>
      <c r="C115" s="54" t="s">
        <v>602</v>
      </c>
      <c r="D115" s="54"/>
      <c r="E115" s="54"/>
      <c r="F115" s="54"/>
      <c r="G115" s="7" t="s">
        <v>603</v>
      </c>
      <c r="H115" s="12"/>
      <c r="I115" s="13"/>
      <c r="J115" s="14"/>
      <c r="K115" s="15">
        <v>10</v>
      </c>
      <c r="L115" s="14"/>
      <c r="M115" s="14" t="s">
        <v>47</v>
      </c>
      <c r="N115" s="14"/>
      <c r="O115" s="5">
        <v>2</v>
      </c>
      <c r="P115" s="23">
        <f>337*(1-S3/100)</f>
        <v>337</v>
      </c>
      <c r="Q115" s="18"/>
      <c r="R115" s="14">
        <f>P115*Q115</f>
        <v>0</v>
      </c>
      <c r="S115" s="24">
        <f>0.196*Q115</f>
        <v>0</v>
      </c>
      <c r="T115" s="25">
        <f>0.00021*Q115</f>
        <v>0</v>
      </c>
      <c r="U115" s="26" t="s">
        <v>62</v>
      </c>
      <c r="V115" s="27" t="s">
        <v>604</v>
      </c>
      <c r="W115" s="27" t="s">
        <v>49</v>
      </c>
      <c r="X115" s="6"/>
      <c r="Y115" s="6" t="s">
        <v>605</v>
      </c>
      <c r="Z115" s="6" t="s">
        <v>384</v>
      </c>
      <c r="AA115" s="6"/>
      <c r="AB115" s="6"/>
      <c r="AC115" s="6" t="str">
        <f>HYPERLINK("https://knigipp.ru/api/getInfo/image/802e1d51-420f-11f1-a294-00155d82e908")</f>
        <v>https://knigipp.ru/api/getInfo/image/802e1d51-420f-11f1-a294-00155d82e908</v>
      </c>
      <c r="AD115" s="33">
        <v>64</v>
      </c>
      <c r="AE115" s="6" t="s">
        <v>65</v>
      </c>
      <c r="AF115" s="6" t="s">
        <v>55</v>
      </c>
      <c r="AG115" s="6"/>
      <c r="AH115" s="6"/>
      <c r="AI115" s="6"/>
      <c r="AJ115" s="6"/>
      <c r="AK115" s="6" t="str">
        <f>HYPERLINK("https://knigipp.ru/api/getInfo/item/802e1d51-420f-11f1-a294-00155d82e908")</f>
        <v>https://knigipp.ru/api/getInfo/item/802e1d51-420f-11f1-a294-00155d82e908</v>
      </c>
      <c r="AL115" s="6" t="s">
        <v>600</v>
      </c>
    </row>
    <row r="116" spans="1:38" ht="23.1" customHeight="1" outlineLevel="2" x14ac:dyDescent="0.2">
      <c r="A116" s="47" t="s">
        <v>606</v>
      </c>
      <c r="B116" s="47"/>
      <c r="C116" s="47"/>
      <c r="D116" s="47"/>
      <c r="E116" s="47"/>
      <c r="F116" s="47"/>
    </row>
    <row r="117" spans="1:38" ht="21" customHeight="1" outlineLevel="3" x14ac:dyDescent="0.2">
      <c r="A117" s="2">
        <v>86</v>
      </c>
      <c r="B117" s="3" t="s">
        <v>607</v>
      </c>
      <c r="C117" s="49" t="s">
        <v>608</v>
      </c>
      <c r="D117" s="49"/>
      <c r="E117" s="49"/>
      <c r="F117" s="49"/>
      <c r="G117" s="4" t="s">
        <v>609</v>
      </c>
      <c r="H117" s="8" t="s">
        <v>610</v>
      </c>
      <c r="I117" s="9" t="s">
        <v>611</v>
      </c>
      <c r="J117" s="10"/>
      <c r="K117" s="11">
        <v>50</v>
      </c>
      <c r="L117" s="10"/>
      <c r="M117" s="10" t="s">
        <v>304</v>
      </c>
      <c r="N117" s="10"/>
      <c r="O117" s="2">
        <v>8</v>
      </c>
      <c r="P117" s="17">
        <f>79*(1-S3/100)</f>
        <v>79</v>
      </c>
      <c r="Q117" s="18"/>
      <c r="R117" s="10">
        <f>P117*Q117</f>
        <v>0</v>
      </c>
      <c r="S117" s="19">
        <f>0.059*Q117</f>
        <v>0</v>
      </c>
      <c r="T117" s="20">
        <f>0.00022*Q117</f>
        <v>0</v>
      </c>
      <c r="U117" s="21"/>
      <c r="V117" s="22" t="s">
        <v>612</v>
      </c>
      <c r="W117" s="22" t="s">
        <v>49</v>
      </c>
      <c r="X117" s="3"/>
      <c r="Y117" s="3"/>
      <c r="Z117" s="3" t="s">
        <v>52</v>
      </c>
      <c r="AA117" s="3"/>
      <c r="AB117" s="3"/>
      <c r="AC117" s="3" t="str">
        <f>HYPERLINK("https://knigipp.ru/api/getInfo/image/280abb69-028f-11ed-a213-ac1f6b442185")</f>
        <v>https://knigipp.ru/api/getInfo/image/280abb69-028f-11ed-a213-ac1f6b442185</v>
      </c>
      <c r="AD117" s="32">
        <v>16</v>
      </c>
      <c r="AE117" s="3"/>
      <c r="AF117" s="3" t="s">
        <v>136</v>
      </c>
      <c r="AG117" s="3"/>
      <c r="AH117" s="3" t="s">
        <v>613</v>
      </c>
      <c r="AI117" s="3"/>
      <c r="AJ117" s="3"/>
      <c r="AK117" s="3" t="str">
        <f>HYPERLINK("https://knigipp.ru/api/getInfo/item/280abb69-028f-11ed-a213-ac1f6b442185")</f>
        <v>https://knigipp.ru/api/getInfo/item/280abb69-028f-11ed-a213-ac1f6b442185</v>
      </c>
      <c r="AL117" s="3" t="s">
        <v>614</v>
      </c>
    </row>
    <row r="118" spans="1:38" ht="23.1" customHeight="1" outlineLevel="2" x14ac:dyDescent="0.2">
      <c r="A118" s="47" t="s">
        <v>615</v>
      </c>
      <c r="B118" s="47"/>
      <c r="C118" s="47"/>
      <c r="D118" s="47"/>
      <c r="E118" s="47"/>
      <c r="F118" s="47"/>
    </row>
    <row r="119" spans="1:38" ht="21" customHeight="1" outlineLevel="3" x14ac:dyDescent="0.2">
      <c r="A119" s="2">
        <v>87</v>
      </c>
      <c r="B119" s="3" t="s">
        <v>616</v>
      </c>
      <c r="C119" s="49" t="s">
        <v>617</v>
      </c>
      <c r="D119" s="49"/>
      <c r="E119" s="49"/>
      <c r="F119" s="49"/>
      <c r="G119" s="4" t="s">
        <v>618</v>
      </c>
      <c r="H119" s="8"/>
      <c r="I119" s="9" t="s">
        <v>619</v>
      </c>
      <c r="J119" s="10"/>
      <c r="K119" s="11">
        <v>30</v>
      </c>
      <c r="L119" s="10"/>
      <c r="M119" s="10" t="s">
        <v>47</v>
      </c>
      <c r="N119" s="10"/>
      <c r="O119" s="2">
        <v>8</v>
      </c>
      <c r="P119" s="17">
        <f>107*(1-S3/100)</f>
        <v>107</v>
      </c>
      <c r="Q119" s="18"/>
      <c r="R119" s="10">
        <f>P119*Q119</f>
        <v>0</v>
      </c>
      <c r="S119" s="19">
        <f>0.106*Q119</f>
        <v>0</v>
      </c>
      <c r="T119" s="20">
        <f>0.00023*Q119</f>
        <v>0</v>
      </c>
      <c r="U119" s="21"/>
      <c r="V119" s="22" t="s">
        <v>620</v>
      </c>
      <c r="W119" s="22" t="s">
        <v>49</v>
      </c>
      <c r="X119" s="3"/>
      <c r="Y119" s="3"/>
      <c r="Z119" s="3" t="s">
        <v>52</v>
      </c>
      <c r="AA119" s="3"/>
      <c r="AB119" s="3"/>
      <c r="AC119" s="3" t="str">
        <f>HYPERLINK("https://knigipp.ru/api/getInfo/image/98ed35f0-0e52-11ed-a215-ac1f6b442185")</f>
        <v>https://knigipp.ru/api/getInfo/image/98ed35f0-0e52-11ed-a215-ac1f6b442185</v>
      </c>
      <c r="AD119" s="32">
        <v>16</v>
      </c>
      <c r="AE119" s="3"/>
      <c r="AF119" s="3" t="s">
        <v>136</v>
      </c>
      <c r="AG119" s="3"/>
      <c r="AH119" s="3" t="s">
        <v>56</v>
      </c>
      <c r="AI119" s="3"/>
      <c r="AJ119" s="3"/>
      <c r="AK119" s="3" t="str">
        <f>HYPERLINK("https://knigipp.ru/api/getInfo/item/98ed35f0-0e52-11ed-a215-ac1f6b442185")</f>
        <v>https://knigipp.ru/api/getInfo/item/98ed35f0-0e52-11ed-a215-ac1f6b442185</v>
      </c>
      <c r="AL119" s="3" t="s">
        <v>621</v>
      </c>
    </row>
    <row r="120" spans="1:38" ht="23.1" customHeight="1" outlineLevel="2" x14ac:dyDescent="0.2">
      <c r="A120" s="47" t="s">
        <v>622</v>
      </c>
      <c r="B120" s="47"/>
      <c r="C120" s="47"/>
      <c r="D120" s="47"/>
      <c r="E120" s="47"/>
      <c r="F120" s="47"/>
    </row>
    <row r="121" spans="1:38" ht="21" customHeight="1" outlineLevel="3" x14ac:dyDescent="0.2">
      <c r="A121" s="2">
        <v>88</v>
      </c>
      <c r="B121" s="3" t="s">
        <v>623</v>
      </c>
      <c r="C121" s="49" t="s">
        <v>624</v>
      </c>
      <c r="D121" s="49"/>
      <c r="E121" s="49"/>
      <c r="F121" s="49"/>
      <c r="G121" s="4" t="s">
        <v>625</v>
      </c>
      <c r="H121" s="8"/>
      <c r="I121" s="9" t="s">
        <v>626</v>
      </c>
      <c r="J121" s="10"/>
      <c r="K121" s="11">
        <v>50</v>
      </c>
      <c r="L121" s="10"/>
      <c r="M121" s="10" t="s">
        <v>47</v>
      </c>
      <c r="N121" s="10"/>
      <c r="O121" s="2">
        <v>30</v>
      </c>
      <c r="P121" s="17">
        <f>29.7*(1-S3/100)</f>
        <v>29.7</v>
      </c>
      <c r="Q121" s="18"/>
      <c r="R121" s="10">
        <f>P121*Q121</f>
        <v>0</v>
      </c>
      <c r="S121" s="19">
        <f>0.029*Q121</f>
        <v>0</v>
      </c>
      <c r="T121" s="20">
        <f>0.00015*Q121</f>
        <v>0</v>
      </c>
      <c r="U121" s="21"/>
      <c r="V121" s="22" t="s">
        <v>627</v>
      </c>
      <c r="W121" s="22" t="s">
        <v>49</v>
      </c>
      <c r="X121" s="3"/>
      <c r="Y121" s="3"/>
      <c r="Z121" s="3" t="s">
        <v>52</v>
      </c>
      <c r="AA121" s="3"/>
      <c r="AB121" s="3"/>
      <c r="AC121" s="3" t="str">
        <f>HYPERLINK("https://knigipp.ru/api/getInfo/image/66e37319-522c-11e9-a222-ac1f6b442184")</f>
        <v>https://knigipp.ru/api/getInfo/image/66e37319-522c-11e9-a222-ac1f6b442184</v>
      </c>
      <c r="AD121" s="32">
        <v>16</v>
      </c>
      <c r="AE121" s="3"/>
      <c r="AF121" s="3" t="s">
        <v>136</v>
      </c>
      <c r="AG121" s="3"/>
      <c r="AH121" s="3" t="s">
        <v>56</v>
      </c>
      <c r="AI121" s="3"/>
      <c r="AJ121" s="3"/>
      <c r="AK121" s="3" t="str">
        <f>HYPERLINK("https://knigipp.ru/api/getInfo/item/66e37319-522c-11e9-a222-ac1f6b442184")</f>
        <v>https://knigipp.ru/api/getInfo/item/66e37319-522c-11e9-a222-ac1f6b442184</v>
      </c>
      <c r="AL121" s="3" t="s">
        <v>628</v>
      </c>
    </row>
    <row r="122" spans="1:38" ht="23.1" customHeight="1" outlineLevel="2" x14ac:dyDescent="0.2">
      <c r="A122" s="47" t="s">
        <v>629</v>
      </c>
      <c r="B122" s="47"/>
      <c r="C122" s="47"/>
      <c r="D122" s="47"/>
      <c r="E122" s="47"/>
      <c r="F122" s="47"/>
    </row>
    <row r="123" spans="1:38" ht="21" customHeight="1" outlineLevel="3" x14ac:dyDescent="0.2">
      <c r="A123" s="2">
        <v>89</v>
      </c>
      <c r="B123" s="3" t="s">
        <v>630</v>
      </c>
      <c r="C123" s="49" t="s">
        <v>631</v>
      </c>
      <c r="D123" s="49"/>
      <c r="E123" s="49"/>
      <c r="F123" s="49"/>
      <c r="G123" s="4" t="s">
        <v>632</v>
      </c>
      <c r="H123" s="8"/>
      <c r="I123" s="9" t="s">
        <v>633</v>
      </c>
      <c r="J123" s="10"/>
      <c r="K123" s="11">
        <v>30</v>
      </c>
      <c r="L123" s="10"/>
      <c r="M123" s="10" t="s">
        <v>78</v>
      </c>
      <c r="N123" s="10"/>
      <c r="O123" s="2">
        <v>3</v>
      </c>
      <c r="P123" s="17">
        <f>217*(1-S3/100)</f>
        <v>217</v>
      </c>
      <c r="Q123" s="18"/>
      <c r="R123" s="10">
        <f>P123*Q123</f>
        <v>0</v>
      </c>
      <c r="S123" s="19">
        <f>0.093*Q123</f>
        <v>0</v>
      </c>
      <c r="T123" s="20">
        <f>0.00015*Q123</f>
        <v>0</v>
      </c>
      <c r="U123" s="21"/>
      <c r="V123" s="22" t="s">
        <v>634</v>
      </c>
      <c r="W123" s="22" t="s">
        <v>49</v>
      </c>
      <c r="X123" s="3"/>
      <c r="Y123" s="3" t="s">
        <v>635</v>
      </c>
      <c r="Z123" s="3" t="s">
        <v>52</v>
      </c>
      <c r="AA123" s="3"/>
      <c r="AB123" s="3"/>
      <c r="AC123" s="3" t="str">
        <f>HYPERLINK("https://knigipp.ru/api/getInfo/image/08bd10cc-0944-11ef-a25d-00155d82e908")</f>
        <v>https://knigipp.ru/api/getInfo/image/08bd10cc-0944-11ef-a25d-00155d82e908</v>
      </c>
      <c r="AD123" s="32">
        <v>16</v>
      </c>
      <c r="AE123" s="3" t="s">
        <v>54</v>
      </c>
      <c r="AF123" s="3" t="s">
        <v>136</v>
      </c>
      <c r="AG123" s="3"/>
      <c r="AH123" s="3" t="s">
        <v>56</v>
      </c>
      <c r="AI123" s="3"/>
      <c r="AJ123" s="3"/>
      <c r="AK123" s="3" t="str">
        <f>HYPERLINK("https://knigipp.ru/api/getInfo/item/08bd10cc-0944-11ef-a25d-00155d82e908")</f>
        <v>https://knigipp.ru/api/getInfo/item/08bd10cc-0944-11ef-a25d-00155d82e908</v>
      </c>
      <c r="AL123" s="3" t="s">
        <v>636</v>
      </c>
    </row>
    <row r="124" spans="1:38" ht="21" customHeight="1" outlineLevel="3" x14ac:dyDescent="0.2">
      <c r="A124" s="2">
        <v>90</v>
      </c>
      <c r="B124" s="3" t="s">
        <v>637</v>
      </c>
      <c r="C124" s="49" t="s">
        <v>638</v>
      </c>
      <c r="D124" s="49"/>
      <c r="E124" s="49"/>
      <c r="F124" s="49"/>
      <c r="G124" s="4" t="s">
        <v>639</v>
      </c>
      <c r="H124" s="8"/>
      <c r="I124" s="9" t="s">
        <v>633</v>
      </c>
      <c r="J124" s="10"/>
      <c r="K124" s="11">
        <v>30</v>
      </c>
      <c r="L124" s="10"/>
      <c r="M124" s="10" t="s">
        <v>78</v>
      </c>
      <c r="N124" s="10"/>
      <c r="O124" s="2">
        <v>3</v>
      </c>
      <c r="P124" s="17">
        <f>217*(1-S3/100)</f>
        <v>217</v>
      </c>
      <c r="Q124" s="18"/>
      <c r="R124" s="10">
        <f>P124*Q124</f>
        <v>0</v>
      </c>
      <c r="S124" s="19">
        <f>0.104*Q124</f>
        <v>0</v>
      </c>
      <c r="T124" s="20">
        <f>0.00135*Q124</f>
        <v>0</v>
      </c>
      <c r="U124" s="21"/>
      <c r="V124" s="22" t="s">
        <v>640</v>
      </c>
      <c r="W124" s="22" t="s">
        <v>49</v>
      </c>
      <c r="X124" s="3"/>
      <c r="Y124" s="3" t="s">
        <v>641</v>
      </c>
      <c r="Z124" s="3" t="s">
        <v>52</v>
      </c>
      <c r="AA124" s="3"/>
      <c r="AB124" s="3"/>
      <c r="AC124" s="3" t="str">
        <f>HYPERLINK("https://knigipp.ru/api/getInfo/image/b9e2097b-0943-11ef-a25d-00155d82e908")</f>
        <v>https://knigipp.ru/api/getInfo/image/b9e2097b-0943-11ef-a25d-00155d82e908</v>
      </c>
      <c r="AD124" s="32">
        <v>16</v>
      </c>
      <c r="AE124" s="3" t="s">
        <v>54</v>
      </c>
      <c r="AF124" s="3" t="s">
        <v>136</v>
      </c>
      <c r="AG124" s="3"/>
      <c r="AH124" s="3" t="s">
        <v>56</v>
      </c>
      <c r="AI124" s="3"/>
      <c r="AJ124" s="3"/>
      <c r="AK124" s="3" t="str">
        <f>HYPERLINK("https://knigipp.ru/api/getInfo/item/b9e2097b-0943-11ef-a25d-00155d82e908")</f>
        <v>https://knigipp.ru/api/getInfo/item/b9e2097b-0943-11ef-a25d-00155d82e908</v>
      </c>
      <c r="AL124" s="3" t="s">
        <v>636</v>
      </c>
    </row>
    <row r="125" spans="1:38" ht="21" customHeight="1" outlineLevel="3" x14ac:dyDescent="0.2">
      <c r="A125" s="2">
        <v>91</v>
      </c>
      <c r="B125" s="3" t="s">
        <v>642</v>
      </c>
      <c r="C125" s="49" t="s">
        <v>643</v>
      </c>
      <c r="D125" s="49"/>
      <c r="E125" s="49"/>
      <c r="F125" s="49"/>
      <c r="G125" s="4" t="s">
        <v>644</v>
      </c>
      <c r="H125" s="8"/>
      <c r="I125" s="9" t="s">
        <v>633</v>
      </c>
      <c r="J125" s="10"/>
      <c r="K125" s="11">
        <v>30</v>
      </c>
      <c r="L125" s="10"/>
      <c r="M125" s="10" t="s">
        <v>47</v>
      </c>
      <c r="N125" s="10"/>
      <c r="O125" s="2">
        <v>3</v>
      </c>
      <c r="P125" s="17">
        <f>217*(1-S3/100)</f>
        <v>217</v>
      </c>
      <c r="Q125" s="18"/>
      <c r="R125" s="10">
        <f>P125*Q125</f>
        <v>0</v>
      </c>
      <c r="S125" s="19">
        <f>0.091*Q125</f>
        <v>0</v>
      </c>
      <c r="T125" s="20">
        <f>0.00103*Q125</f>
        <v>0</v>
      </c>
      <c r="U125" s="21"/>
      <c r="V125" s="22" t="s">
        <v>645</v>
      </c>
      <c r="W125" s="22" t="s">
        <v>49</v>
      </c>
      <c r="X125" s="3"/>
      <c r="Y125" s="3" t="s">
        <v>646</v>
      </c>
      <c r="Z125" s="3" t="s">
        <v>52</v>
      </c>
      <c r="AA125" s="3"/>
      <c r="AB125" s="3"/>
      <c r="AC125" s="3" t="str">
        <f>HYPERLINK("https://knigipp.ru/api/getInfo/image/e478fc88-0943-11ef-a25d-00155d82e908")</f>
        <v>https://knigipp.ru/api/getInfo/image/e478fc88-0943-11ef-a25d-00155d82e908</v>
      </c>
      <c r="AD125" s="32">
        <v>16</v>
      </c>
      <c r="AE125" s="3" t="s">
        <v>54</v>
      </c>
      <c r="AF125" s="3" t="s">
        <v>136</v>
      </c>
      <c r="AG125" s="3"/>
      <c r="AH125" s="3" t="s">
        <v>56</v>
      </c>
      <c r="AI125" s="3"/>
      <c r="AJ125" s="3"/>
      <c r="AK125" s="3" t="str">
        <f>HYPERLINK("https://knigipp.ru/api/getInfo/item/e478fc88-0943-11ef-a25d-00155d82e908")</f>
        <v>https://knigipp.ru/api/getInfo/item/e478fc88-0943-11ef-a25d-00155d82e908</v>
      </c>
      <c r="AL125" s="3" t="s">
        <v>636</v>
      </c>
    </row>
    <row r="126" spans="1:38" ht="21" customHeight="1" outlineLevel="3" x14ac:dyDescent="0.2">
      <c r="A126" s="2">
        <v>92</v>
      </c>
      <c r="B126" s="3" t="s">
        <v>647</v>
      </c>
      <c r="C126" s="49" t="s">
        <v>648</v>
      </c>
      <c r="D126" s="49"/>
      <c r="E126" s="49"/>
      <c r="F126" s="49"/>
      <c r="G126" s="4" t="s">
        <v>649</v>
      </c>
      <c r="H126" s="8"/>
      <c r="I126" s="9" t="s">
        <v>633</v>
      </c>
      <c r="J126" s="10"/>
      <c r="K126" s="11">
        <v>30</v>
      </c>
      <c r="L126" s="10"/>
      <c r="M126" s="10" t="s">
        <v>78</v>
      </c>
      <c r="N126" s="10"/>
      <c r="O126" s="2">
        <v>3</v>
      </c>
      <c r="P126" s="17">
        <f>217*(1-S3/100)</f>
        <v>217</v>
      </c>
      <c r="Q126" s="18"/>
      <c r="R126" s="10">
        <f>P126*Q126</f>
        <v>0</v>
      </c>
      <c r="S126" s="19">
        <f>0.103*Q126</f>
        <v>0</v>
      </c>
      <c r="T126" s="20">
        <f>0.00064*Q126</f>
        <v>0</v>
      </c>
      <c r="U126" s="21"/>
      <c r="V126" s="22" t="s">
        <v>650</v>
      </c>
      <c r="W126" s="22" t="s">
        <v>49</v>
      </c>
      <c r="X126" s="3"/>
      <c r="Y126" s="3" t="s">
        <v>651</v>
      </c>
      <c r="Z126" s="3" t="s">
        <v>52</v>
      </c>
      <c r="AA126" s="3"/>
      <c r="AB126" s="3"/>
      <c r="AC126" s="3" t="str">
        <f>HYPERLINK("https://knigipp.ru/api/getInfo/image/2c3b786c-0944-11ef-a25d-00155d82e908")</f>
        <v>https://knigipp.ru/api/getInfo/image/2c3b786c-0944-11ef-a25d-00155d82e908</v>
      </c>
      <c r="AD126" s="32">
        <v>16</v>
      </c>
      <c r="AE126" s="3" t="s">
        <v>54</v>
      </c>
      <c r="AF126" s="3" t="s">
        <v>136</v>
      </c>
      <c r="AG126" s="3"/>
      <c r="AH126" s="3" t="s">
        <v>56</v>
      </c>
      <c r="AI126" s="3"/>
      <c r="AJ126" s="3"/>
      <c r="AK126" s="3" t="str">
        <f>HYPERLINK("https://knigipp.ru/api/getInfo/item/2c3b786c-0944-11ef-a25d-00155d82e908")</f>
        <v>https://knigipp.ru/api/getInfo/item/2c3b786c-0944-11ef-a25d-00155d82e908</v>
      </c>
      <c r="AL126" s="3" t="s">
        <v>636</v>
      </c>
    </row>
    <row r="127" spans="1:38" ht="23.1" customHeight="1" outlineLevel="2" x14ac:dyDescent="0.2">
      <c r="A127" s="47" t="s">
        <v>652</v>
      </c>
      <c r="B127" s="47"/>
      <c r="C127" s="47"/>
      <c r="D127" s="47"/>
      <c r="E127" s="47"/>
      <c r="F127" s="47"/>
    </row>
    <row r="128" spans="1:38" ht="21" customHeight="1" outlineLevel="3" x14ac:dyDescent="0.2">
      <c r="A128" s="2">
        <v>93</v>
      </c>
      <c r="B128" s="3" t="s">
        <v>653</v>
      </c>
      <c r="C128" s="49" t="s">
        <v>654</v>
      </c>
      <c r="D128" s="49"/>
      <c r="E128" s="49"/>
      <c r="F128" s="49"/>
      <c r="G128" s="4" t="s">
        <v>655</v>
      </c>
      <c r="H128" s="8"/>
      <c r="I128" s="9" t="s">
        <v>656</v>
      </c>
      <c r="J128" s="10"/>
      <c r="K128" s="11">
        <v>25</v>
      </c>
      <c r="L128" s="10"/>
      <c r="M128" s="10" t="s">
        <v>47</v>
      </c>
      <c r="N128" s="10"/>
      <c r="O128" s="2">
        <v>5</v>
      </c>
      <c r="P128" s="17">
        <f>119*(1-S3/100)</f>
        <v>119</v>
      </c>
      <c r="Q128" s="18"/>
      <c r="R128" s="10">
        <f>P128*Q128</f>
        <v>0</v>
      </c>
      <c r="S128" s="19">
        <f>1.858*Q128</f>
        <v>0</v>
      </c>
      <c r="T128" s="30">
        <f>0.0025*Q128</f>
        <v>0</v>
      </c>
      <c r="U128" s="21"/>
      <c r="V128" s="22" t="s">
        <v>657</v>
      </c>
      <c r="W128" s="22" t="s">
        <v>49</v>
      </c>
      <c r="X128" s="3"/>
      <c r="Y128" s="3"/>
      <c r="Z128" s="3" t="s">
        <v>52</v>
      </c>
      <c r="AA128" s="3"/>
      <c r="AB128" s="3"/>
      <c r="AC128" s="3" t="str">
        <f>HYPERLINK("https://knigipp.ru/api/getInfo/image/1f4b2a42-9deb-11eb-a201-ac1f6b442185")</f>
        <v>https://knigipp.ru/api/getInfo/image/1f4b2a42-9deb-11eb-a201-ac1f6b442185</v>
      </c>
      <c r="AD128" s="32">
        <v>16</v>
      </c>
      <c r="AE128" s="3"/>
      <c r="AF128" s="3" t="s">
        <v>136</v>
      </c>
      <c r="AG128" s="3"/>
      <c r="AH128" s="3" t="s">
        <v>56</v>
      </c>
      <c r="AI128" s="3"/>
      <c r="AJ128" s="3"/>
      <c r="AK128" s="3" t="str">
        <f>HYPERLINK("https://knigipp.ru/api/getInfo/item/1f4b2a42-9deb-11eb-a201-ac1f6b442185")</f>
        <v>https://knigipp.ru/api/getInfo/item/1f4b2a42-9deb-11eb-a201-ac1f6b442185</v>
      </c>
      <c r="AL128" s="3" t="s">
        <v>658</v>
      </c>
    </row>
    <row r="129" spans="1:38" ht="23.1" customHeight="1" outlineLevel="2" x14ac:dyDescent="0.2">
      <c r="A129" s="47" t="s">
        <v>659</v>
      </c>
      <c r="B129" s="47"/>
      <c r="C129" s="47"/>
      <c r="D129" s="47"/>
      <c r="E129" s="47"/>
      <c r="F129" s="47"/>
    </row>
    <row r="130" spans="1:38" ht="21" customHeight="1" outlineLevel="3" x14ac:dyDescent="0.2">
      <c r="A130" s="2">
        <v>94</v>
      </c>
      <c r="B130" s="3" t="s">
        <v>660</v>
      </c>
      <c r="C130" s="49" t="s">
        <v>661</v>
      </c>
      <c r="D130" s="49"/>
      <c r="E130" s="49"/>
      <c r="F130" s="49"/>
      <c r="G130" s="4" t="s">
        <v>662</v>
      </c>
      <c r="H130" s="8"/>
      <c r="I130" s="9" t="s">
        <v>663</v>
      </c>
      <c r="J130" s="10"/>
      <c r="K130" s="11">
        <v>50</v>
      </c>
      <c r="L130" s="10"/>
      <c r="M130" s="10" t="s">
        <v>78</v>
      </c>
      <c r="N130" s="10"/>
      <c r="O130" s="2">
        <v>3</v>
      </c>
      <c r="P130" s="17">
        <f>199*(1-S3/100)</f>
        <v>199</v>
      </c>
      <c r="Q130" s="18"/>
      <c r="R130" s="10">
        <f>P130*Q130</f>
        <v>0</v>
      </c>
      <c r="S130" s="19">
        <f>0.044*Q130</f>
        <v>0</v>
      </c>
      <c r="T130" s="20">
        <f>0.00015*Q130</f>
        <v>0</v>
      </c>
      <c r="U130" s="21"/>
      <c r="V130" s="22" t="s">
        <v>664</v>
      </c>
      <c r="W130" s="22" t="s">
        <v>191</v>
      </c>
      <c r="X130" s="3"/>
      <c r="Y130" s="3"/>
      <c r="Z130" s="3" t="s">
        <v>52</v>
      </c>
      <c r="AA130" s="3"/>
      <c r="AB130" s="3"/>
      <c r="AC130" s="3" t="str">
        <f>HYPERLINK("https://knigipp.ru/api/getInfo/image/bc1f42ab-1d3f-11ec-a20f-ac1f6b442185")</f>
        <v>https://knigipp.ru/api/getInfo/image/bc1f42ab-1d3f-11ec-a20f-ac1f6b442185</v>
      </c>
      <c r="AD130" s="32">
        <v>16</v>
      </c>
      <c r="AE130" s="3"/>
      <c r="AF130" s="3" t="s">
        <v>136</v>
      </c>
      <c r="AG130" s="3"/>
      <c r="AH130" s="3" t="s">
        <v>56</v>
      </c>
      <c r="AI130" s="3"/>
      <c r="AJ130" s="3"/>
      <c r="AK130" s="3" t="str">
        <f>HYPERLINK("https://knigipp.ru/api/getInfo/item/bc1f42ab-1d3f-11ec-a20f-ac1f6b442185")</f>
        <v>https://knigipp.ru/api/getInfo/item/bc1f42ab-1d3f-11ec-a20f-ac1f6b442185</v>
      </c>
      <c r="AL130" s="3" t="s">
        <v>665</v>
      </c>
    </row>
    <row r="131" spans="1:38" ht="23.1" customHeight="1" outlineLevel="2" x14ac:dyDescent="0.2">
      <c r="A131" s="47" t="s">
        <v>666</v>
      </c>
      <c r="B131" s="47"/>
      <c r="C131" s="47"/>
      <c r="D131" s="47"/>
      <c r="E131" s="47"/>
      <c r="F131" s="47"/>
    </row>
    <row r="132" spans="1:38" ht="21" customHeight="1" outlineLevel="3" x14ac:dyDescent="0.2">
      <c r="A132" s="2">
        <v>95</v>
      </c>
      <c r="B132" s="3" t="s">
        <v>667</v>
      </c>
      <c r="C132" s="49" t="s">
        <v>668</v>
      </c>
      <c r="D132" s="49"/>
      <c r="E132" s="49"/>
      <c r="F132" s="49"/>
      <c r="G132" s="4" t="s">
        <v>669</v>
      </c>
      <c r="H132" s="8"/>
      <c r="I132" s="9" t="s">
        <v>670</v>
      </c>
      <c r="J132" s="10"/>
      <c r="K132" s="11">
        <v>40</v>
      </c>
      <c r="L132" s="10"/>
      <c r="M132" s="10" t="s">
        <v>47</v>
      </c>
      <c r="N132" s="10"/>
      <c r="O132" s="2">
        <v>5</v>
      </c>
      <c r="P132" s="17">
        <f>127*(1-S3/100)</f>
        <v>127</v>
      </c>
      <c r="Q132" s="18"/>
      <c r="R132" s="10">
        <f>P132*Q132</f>
        <v>0</v>
      </c>
      <c r="S132" s="19">
        <f>0.112*Q132</f>
        <v>0</v>
      </c>
      <c r="T132" s="20">
        <f>0.00062*Q132</f>
        <v>0</v>
      </c>
      <c r="U132" s="21"/>
      <c r="V132" s="22" t="s">
        <v>671</v>
      </c>
      <c r="W132" s="22" t="s">
        <v>49</v>
      </c>
      <c r="X132" s="3" t="s">
        <v>672</v>
      </c>
      <c r="Y132" s="3" t="s">
        <v>673</v>
      </c>
      <c r="Z132" s="3" t="s">
        <v>52</v>
      </c>
      <c r="AA132" s="3"/>
      <c r="AB132" s="3"/>
      <c r="AC132" s="3" t="str">
        <f>HYPERLINK("https://knigipp.ru/api/getInfo/image/4bf885ba-3a2c-11f0-a27c-00155d82e908")</f>
        <v>https://knigipp.ru/api/getInfo/image/4bf885ba-3a2c-11f0-a27c-00155d82e908</v>
      </c>
      <c r="AD132" s="32">
        <v>10</v>
      </c>
      <c r="AE132" s="3" t="s">
        <v>54</v>
      </c>
      <c r="AF132" s="3" t="s">
        <v>209</v>
      </c>
      <c r="AG132" s="3"/>
      <c r="AH132" s="3" t="s">
        <v>56</v>
      </c>
      <c r="AI132" s="3"/>
      <c r="AJ132" s="3"/>
      <c r="AK132" s="3" t="str">
        <f>HYPERLINK("https://knigipp.ru/api/getInfo/item/4bf885ba-3a2c-11f0-a27c-00155d82e908")</f>
        <v>https://knigipp.ru/api/getInfo/item/4bf885ba-3a2c-11f0-a27c-00155d82e908</v>
      </c>
      <c r="AL132" s="3" t="s">
        <v>674</v>
      </c>
    </row>
    <row r="133" spans="1:38" ht="21" customHeight="1" outlineLevel="3" x14ac:dyDescent="0.2">
      <c r="A133" s="2">
        <v>96</v>
      </c>
      <c r="B133" s="3" t="s">
        <v>675</v>
      </c>
      <c r="C133" s="49" t="s">
        <v>676</v>
      </c>
      <c r="D133" s="49"/>
      <c r="E133" s="49"/>
      <c r="F133" s="49"/>
      <c r="G133" s="4" t="s">
        <v>677</v>
      </c>
      <c r="H133" s="8"/>
      <c r="I133" s="9" t="s">
        <v>670</v>
      </c>
      <c r="J133" s="10"/>
      <c r="K133" s="11">
        <v>40</v>
      </c>
      <c r="L133" s="10"/>
      <c r="M133" s="10" t="s">
        <v>47</v>
      </c>
      <c r="N133" s="10"/>
      <c r="O133" s="2">
        <v>5</v>
      </c>
      <c r="P133" s="17">
        <f>127*(1-S3/100)</f>
        <v>127</v>
      </c>
      <c r="Q133" s="18"/>
      <c r="R133" s="10">
        <f>P133*Q133</f>
        <v>0</v>
      </c>
      <c r="S133" s="28">
        <f>0.11*Q133</f>
        <v>0</v>
      </c>
      <c r="T133" s="20">
        <f>0.00025*Q133</f>
        <v>0</v>
      </c>
      <c r="U133" s="21"/>
      <c r="V133" s="22" t="s">
        <v>678</v>
      </c>
      <c r="W133" s="22" t="s">
        <v>49</v>
      </c>
      <c r="X133" s="3" t="s">
        <v>281</v>
      </c>
      <c r="Y133" s="3" t="s">
        <v>679</v>
      </c>
      <c r="Z133" s="3" t="s">
        <v>52</v>
      </c>
      <c r="AA133" s="3"/>
      <c r="AB133" s="3"/>
      <c r="AC133" s="3" t="str">
        <f>HYPERLINK("https://knigipp.ru/api/getInfo/image/fe8a78b9-25bc-11f0-a279-00155d82e908")</f>
        <v>https://knigipp.ru/api/getInfo/image/fe8a78b9-25bc-11f0-a279-00155d82e908</v>
      </c>
      <c r="AD133" s="32">
        <v>10</v>
      </c>
      <c r="AE133" s="3" t="s">
        <v>54</v>
      </c>
      <c r="AF133" s="3" t="s">
        <v>209</v>
      </c>
      <c r="AG133" s="3"/>
      <c r="AH133" s="3" t="s">
        <v>56</v>
      </c>
      <c r="AI133" s="3"/>
      <c r="AJ133" s="3"/>
      <c r="AK133" s="3" t="str">
        <f>HYPERLINK("https://knigipp.ru/api/getInfo/item/fe8a78b9-25bc-11f0-a279-00155d82e908")</f>
        <v>https://knigipp.ru/api/getInfo/item/fe8a78b9-25bc-11f0-a279-00155d82e908</v>
      </c>
      <c r="AL133" s="3" t="s">
        <v>674</v>
      </c>
    </row>
    <row r="134" spans="1:38" ht="21" customHeight="1" outlineLevel="3" x14ac:dyDescent="0.2">
      <c r="A134" s="2">
        <v>97</v>
      </c>
      <c r="B134" s="3" t="s">
        <v>680</v>
      </c>
      <c r="C134" s="49" t="s">
        <v>681</v>
      </c>
      <c r="D134" s="49"/>
      <c r="E134" s="49"/>
      <c r="F134" s="49"/>
      <c r="G134" s="4" t="s">
        <v>682</v>
      </c>
      <c r="H134" s="8"/>
      <c r="I134" s="9" t="s">
        <v>670</v>
      </c>
      <c r="J134" s="10"/>
      <c r="K134" s="11">
        <v>40</v>
      </c>
      <c r="L134" s="10"/>
      <c r="M134" s="10" t="s">
        <v>78</v>
      </c>
      <c r="N134" s="10"/>
      <c r="O134" s="2">
        <v>5</v>
      </c>
      <c r="P134" s="17">
        <f>127*(1-S3/100)</f>
        <v>127</v>
      </c>
      <c r="Q134" s="18"/>
      <c r="R134" s="10">
        <f>P134*Q134</f>
        <v>0</v>
      </c>
      <c r="S134" s="19">
        <f>0.112*Q134</f>
        <v>0</v>
      </c>
      <c r="T134" s="30">
        <f>0.0003*Q134</f>
        <v>0</v>
      </c>
      <c r="U134" s="21"/>
      <c r="V134" s="22" t="s">
        <v>683</v>
      </c>
      <c r="W134" s="22" t="s">
        <v>49</v>
      </c>
      <c r="X134" s="3" t="s">
        <v>672</v>
      </c>
      <c r="Y134" s="3" t="s">
        <v>684</v>
      </c>
      <c r="Z134" s="3" t="s">
        <v>52</v>
      </c>
      <c r="AA134" s="3"/>
      <c r="AB134" s="3"/>
      <c r="AC134" s="3" t="str">
        <f>HYPERLINK("https://knigipp.ru/api/getInfo/image/7307f53f-3a2c-11f0-a27c-00155d82e908")</f>
        <v>https://knigipp.ru/api/getInfo/image/7307f53f-3a2c-11f0-a27c-00155d82e908</v>
      </c>
      <c r="AD134" s="32">
        <v>10</v>
      </c>
      <c r="AE134" s="3" t="s">
        <v>54</v>
      </c>
      <c r="AF134" s="3" t="s">
        <v>209</v>
      </c>
      <c r="AG134" s="3"/>
      <c r="AH134" s="3" t="s">
        <v>56</v>
      </c>
      <c r="AI134" s="3"/>
      <c r="AJ134" s="3"/>
      <c r="AK134" s="3" t="str">
        <f>HYPERLINK("https://knigipp.ru/api/getInfo/item/7307f53f-3a2c-11f0-a27c-00155d82e908")</f>
        <v>https://knigipp.ru/api/getInfo/item/7307f53f-3a2c-11f0-a27c-00155d82e908</v>
      </c>
      <c r="AL134" s="3" t="s">
        <v>674</v>
      </c>
    </row>
    <row r="135" spans="1:38" ht="23.1" customHeight="1" outlineLevel="2" x14ac:dyDescent="0.2">
      <c r="A135" s="47" t="s">
        <v>685</v>
      </c>
      <c r="B135" s="47"/>
      <c r="C135" s="47"/>
      <c r="D135" s="47"/>
      <c r="E135" s="47"/>
      <c r="F135" s="47"/>
    </row>
    <row r="136" spans="1:38" ht="21" customHeight="1" outlineLevel="3" x14ac:dyDescent="0.2">
      <c r="A136" s="5">
        <v>98</v>
      </c>
      <c r="B136" s="6" t="s">
        <v>686</v>
      </c>
      <c r="C136" s="54" t="s">
        <v>687</v>
      </c>
      <c r="D136" s="54"/>
      <c r="E136" s="54"/>
      <c r="F136" s="54"/>
      <c r="G136" s="7" t="s">
        <v>688</v>
      </c>
      <c r="H136" s="12"/>
      <c r="I136" s="13" t="s">
        <v>689</v>
      </c>
      <c r="J136" s="14"/>
      <c r="K136" s="15">
        <v>20</v>
      </c>
      <c r="L136" s="14"/>
      <c r="M136" s="14" t="s">
        <v>47</v>
      </c>
      <c r="N136" s="14"/>
      <c r="O136" s="5">
        <v>2</v>
      </c>
      <c r="P136" s="23">
        <f>299*(1-S3/100)</f>
        <v>299</v>
      </c>
      <c r="Q136" s="18"/>
      <c r="R136" s="14">
        <f>P136*Q136</f>
        <v>0</v>
      </c>
      <c r="S136" s="24">
        <f>0.164*Q136</f>
        <v>0</v>
      </c>
      <c r="T136" s="25">
        <f>0.00021*Q136</f>
        <v>0</v>
      </c>
      <c r="U136" s="26" t="s">
        <v>62</v>
      </c>
      <c r="V136" s="27" t="s">
        <v>690</v>
      </c>
      <c r="W136" s="27" t="s">
        <v>49</v>
      </c>
      <c r="X136" s="6" t="s">
        <v>207</v>
      </c>
      <c r="Y136" s="6" t="s">
        <v>691</v>
      </c>
      <c r="Z136" s="6" t="s">
        <v>52</v>
      </c>
      <c r="AA136" s="6"/>
      <c r="AB136" s="6"/>
      <c r="AC136" s="6" t="str">
        <f>HYPERLINK("https://knigipp.ru/api/getInfo/image/75ac6af8-748a-11f1-a29a-00155d82e908")</f>
        <v>https://knigipp.ru/api/getInfo/image/75ac6af8-748a-11f1-a29a-00155d82e908</v>
      </c>
      <c r="AD136" s="33">
        <v>10</v>
      </c>
      <c r="AE136" s="6" t="s">
        <v>692</v>
      </c>
      <c r="AF136" s="6" t="s">
        <v>209</v>
      </c>
      <c r="AG136" s="6"/>
      <c r="AH136" s="6" t="s">
        <v>56</v>
      </c>
      <c r="AI136" s="6"/>
      <c r="AJ136" s="6"/>
      <c r="AK136" s="6" t="str">
        <f>HYPERLINK("https://knigipp.ru/api/getInfo/item/75ac6af8-748a-11f1-a29a-00155d82e908")</f>
        <v>https://knigipp.ru/api/getInfo/item/75ac6af8-748a-11f1-a29a-00155d82e908</v>
      </c>
      <c r="AL136" s="6" t="s">
        <v>693</v>
      </c>
    </row>
    <row r="137" spans="1:38" ht="21" customHeight="1" outlineLevel="3" x14ac:dyDescent="0.2">
      <c r="A137" s="5">
        <v>99</v>
      </c>
      <c r="B137" s="6" t="s">
        <v>694</v>
      </c>
      <c r="C137" s="54" t="s">
        <v>695</v>
      </c>
      <c r="D137" s="54"/>
      <c r="E137" s="54"/>
      <c r="F137" s="54"/>
      <c r="G137" s="7" t="s">
        <v>696</v>
      </c>
      <c r="H137" s="12"/>
      <c r="I137" s="13" t="s">
        <v>689</v>
      </c>
      <c r="J137" s="14"/>
      <c r="K137" s="15">
        <v>20</v>
      </c>
      <c r="L137" s="14"/>
      <c r="M137" s="14" t="s">
        <v>47</v>
      </c>
      <c r="N137" s="14"/>
      <c r="O137" s="5">
        <v>2</v>
      </c>
      <c r="P137" s="23">
        <f>299*(1-S3/100)</f>
        <v>299</v>
      </c>
      <c r="Q137" s="18"/>
      <c r="R137" s="14">
        <f>P137*Q137</f>
        <v>0</v>
      </c>
      <c r="S137" s="24">
        <f>0.162*Q137</f>
        <v>0</v>
      </c>
      <c r="T137" s="25">
        <f>0.00029*Q137</f>
        <v>0</v>
      </c>
      <c r="U137" s="26" t="s">
        <v>62</v>
      </c>
      <c r="V137" s="27" t="s">
        <v>697</v>
      </c>
      <c r="W137" s="27" t="s">
        <v>49</v>
      </c>
      <c r="X137" s="6" t="s">
        <v>207</v>
      </c>
      <c r="Y137" s="6" t="s">
        <v>698</v>
      </c>
      <c r="Z137" s="6" t="s">
        <v>52</v>
      </c>
      <c r="AA137" s="6"/>
      <c r="AB137" s="6"/>
      <c r="AC137" s="6" t="str">
        <f>HYPERLINK("https://knigipp.ru/api/getInfo/image/f8fb8fe0-748a-11f1-a29a-00155d82e908")</f>
        <v>https://knigipp.ru/api/getInfo/image/f8fb8fe0-748a-11f1-a29a-00155d82e908</v>
      </c>
      <c r="AD137" s="33">
        <v>10</v>
      </c>
      <c r="AE137" s="6" t="s">
        <v>692</v>
      </c>
      <c r="AF137" s="6" t="s">
        <v>209</v>
      </c>
      <c r="AG137" s="6"/>
      <c r="AH137" s="6" t="s">
        <v>56</v>
      </c>
      <c r="AI137" s="6"/>
      <c r="AJ137" s="6"/>
      <c r="AK137" s="6" t="str">
        <f>HYPERLINK("https://knigipp.ru/api/getInfo/item/f8fb8fe0-748a-11f1-a29a-00155d82e908")</f>
        <v>https://knigipp.ru/api/getInfo/item/f8fb8fe0-748a-11f1-a29a-00155d82e908</v>
      </c>
      <c r="AL137" s="6" t="s">
        <v>693</v>
      </c>
    </row>
    <row r="138" spans="1:38" ht="21" customHeight="1" outlineLevel="3" x14ac:dyDescent="0.2">
      <c r="A138" s="5">
        <v>100</v>
      </c>
      <c r="B138" s="6" t="s">
        <v>699</v>
      </c>
      <c r="C138" s="54" t="s">
        <v>700</v>
      </c>
      <c r="D138" s="54"/>
      <c r="E138" s="54"/>
      <c r="F138" s="54"/>
      <c r="G138" s="7" t="s">
        <v>701</v>
      </c>
      <c r="H138" s="12"/>
      <c r="I138" s="13" t="s">
        <v>689</v>
      </c>
      <c r="J138" s="14"/>
      <c r="K138" s="15">
        <v>20</v>
      </c>
      <c r="L138" s="14"/>
      <c r="M138" s="14" t="s">
        <v>47</v>
      </c>
      <c r="N138" s="14"/>
      <c r="O138" s="5">
        <v>2</v>
      </c>
      <c r="P138" s="23">
        <f>299*(1-S3/100)</f>
        <v>299</v>
      </c>
      <c r="Q138" s="18"/>
      <c r="R138" s="14">
        <f>P138*Q138</f>
        <v>0</v>
      </c>
      <c r="S138" s="24">
        <f>0.171*Q138</f>
        <v>0</v>
      </c>
      <c r="T138" s="25">
        <f>0.00032*Q138</f>
        <v>0</v>
      </c>
      <c r="U138" s="26" t="s">
        <v>62</v>
      </c>
      <c r="V138" s="27" t="s">
        <v>702</v>
      </c>
      <c r="W138" s="27" t="s">
        <v>49</v>
      </c>
      <c r="X138" s="6" t="s">
        <v>207</v>
      </c>
      <c r="Y138" s="6" t="s">
        <v>703</v>
      </c>
      <c r="Z138" s="6" t="s">
        <v>52</v>
      </c>
      <c r="AA138" s="6"/>
      <c r="AB138" s="6"/>
      <c r="AC138" s="6" t="str">
        <f>HYPERLINK("https://knigipp.ru/api/getInfo/image/8693cf80-748b-11f1-a29a-00155d82e908")</f>
        <v>https://knigipp.ru/api/getInfo/image/8693cf80-748b-11f1-a29a-00155d82e908</v>
      </c>
      <c r="AD138" s="33">
        <v>10</v>
      </c>
      <c r="AE138" s="6" t="s">
        <v>692</v>
      </c>
      <c r="AF138" s="6" t="s">
        <v>209</v>
      </c>
      <c r="AG138" s="6"/>
      <c r="AH138" s="6" t="s">
        <v>56</v>
      </c>
      <c r="AI138" s="6"/>
      <c r="AJ138" s="6"/>
      <c r="AK138" s="6" t="str">
        <f>HYPERLINK("https://knigipp.ru/api/getInfo/item/8693cf80-748b-11f1-a29a-00155d82e908")</f>
        <v>https://knigipp.ru/api/getInfo/item/8693cf80-748b-11f1-a29a-00155d82e908</v>
      </c>
      <c r="AL138" s="6" t="s">
        <v>693</v>
      </c>
    </row>
    <row r="139" spans="1:38" ht="21" customHeight="1" outlineLevel="3" x14ac:dyDescent="0.2">
      <c r="A139" s="5">
        <v>101</v>
      </c>
      <c r="B139" s="6" t="s">
        <v>704</v>
      </c>
      <c r="C139" s="54" t="s">
        <v>705</v>
      </c>
      <c r="D139" s="54"/>
      <c r="E139" s="54"/>
      <c r="F139" s="54"/>
      <c r="G139" s="7" t="s">
        <v>706</v>
      </c>
      <c r="H139" s="12"/>
      <c r="I139" s="13" t="s">
        <v>689</v>
      </c>
      <c r="J139" s="14"/>
      <c r="K139" s="15">
        <v>20</v>
      </c>
      <c r="L139" s="14"/>
      <c r="M139" s="14" t="s">
        <v>47</v>
      </c>
      <c r="N139" s="14"/>
      <c r="O139" s="5">
        <v>2</v>
      </c>
      <c r="P139" s="23">
        <f>299*(1-S3/100)</f>
        <v>299</v>
      </c>
      <c r="Q139" s="18"/>
      <c r="R139" s="14">
        <f>P139*Q139</f>
        <v>0</v>
      </c>
      <c r="S139" s="36">
        <f>0.55*Q139</f>
        <v>0</v>
      </c>
      <c r="T139" s="25">
        <f>0.00098*Q139</f>
        <v>0</v>
      </c>
      <c r="U139" s="26" t="s">
        <v>62</v>
      </c>
      <c r="V139" s="27" t="s">
        <v>707</v>
      </c>
      <c r="W139" s="27" t="s">
        <v>49</v>
      </c>
      <c r="X139" s="6" t="s">
        <v>207</v>
      </c>
      <c r="Y139" s="6" t="s">
        <v>708</v>
      </c>
      <c r="Z139" s="6" t="s">
        <v>52</v>
      </c>
      <c r="AA139" s="6"/>
      <c r="AB139" s="6"/>
      <c r="AC139" s="6" t="str">
        <f>HYPERLINK("https://knigipp.ru/api/getInfo/image/42ad0a6a-748b-11f1-a29a-00155d82e908")</f>
        <v>https://knigipp.ru/api/getInfo/image/42ad0a6a-748b-11f1-a29a-00155d82e908</v>
      </c>
      <c r="AD139" s="33">
        <v>10</v>
      </c>
      <c r="AE139" s="6" t="s">
        <v>692</v>
      </c>
      <c r="AF139" s="6" t="s">
        <v>209</v>
      </c>
      <c r="AG139" s="6"/>
      <c r="AH139" s="6" t="s">
        <v>56</v>
      </c>
      <c r="AI139" s="6"/>
      <c r="AJ139" s="6"/>
      <c r="AK139" s="6" t="str">
        <f>HYPERLINK("https://knigipp.ru/api/getInfo/item/42ad0a6a-748b-11f1-a29a-00155d82e908")</f>
        <v>https://knigipp.ru/api/getInfo/item/42ad0a6a-748b-11f1-a29a-00155d82e908</v>
      </c>
      <c r="AL139" s="6" t="s">
        <v>693</v>
      </c>
    </row>
    <row r="140" spans="1:38" ht="23.1" customHeight="1" outlineLevel="2" x14ac:dyDescent="0.2">
      <c r="A140" s="47" t="s">
        <v>709</v>
      </c>
      <c r="B140" s="47"/>
      <c r="C140" s="47"/>
      <c r="D140" s="47"/>
      <c r="E140" s="47"/>
      <c r="F140" s="47"/>
    </row>
    <row r="141" spans="1:38" ht="21" customHeight="1" outlineLevel="3" x14ac:dyDescent="0.2">
      <c r="A141" s="5">
        <v>102</v>
      </c>
      <c r="B141" s="6" t="s">
        <v>710</v>
      </c>
      <c r="C141" s="54" t="s">
        <v>711</v>
      </c>
      <c r="D141" s="54"/>
      <c r="E141" s="54"/>
      <c r="F141" s="54"/>
      <c r="G141" s="7" t="s">
        <v>712</v>
      </c>
      <c r="H141" s="12"/>
      <c r="I141" s="13"/>
      <c r="J141" s="14"/>
      <c r="K141" s="15">
        <v>48</v>
      </c>
      <c r="L141" s="14"/>
      <c r="M141" s="14" t="s">
        <v>47</v>
      </c>
      <c r="N141" s="14"/>
      <c r="O141" s="5">
        <v>15</v>
      </c>
      <c r="P141" s="23">
        <f>97*(1-S3/100)</f>
        <v>97</v>
      </c>
      <c r="Q141" s="18"/>
      <c r="R141" s="14">
        <f>P141*Q141</f>
        <v>0</v>
      </c>
      <c r="S141" s="24">
        <f>0.052*Q141</f>
        <v>0</v>
      </c>
      <c r="T141" s="25">
        <f>0.00008*Q141</f>
        <v>0</v>
      </c>
      <c r="U141" s="26" t="s">
        <v>62</v>
      </c>
      <c r="V141" s="27" t="s">
        <v>713</v>
      </c>
      <c r="W141" s="27" t="s">
        <v>49</v>
      </c>
      <c r="X141" s="6" t="s">
        <v>714</v>
      </c>
      <c r="Y141" s="6" t="s">
        <v>715</v>
      </c>
      <c r="Z141" s="6" t="s">
        <v>52</v>
      </c>
      <c r="AA141" s="6"/>
      <c r="AB141" s="6"/>
      <c r="AC141" s="6" t="str">
        <f>HYPERLINK("https://knigipp.ru/api/getInfo/image/99d0d3d8-5b63-11f1-a295-00155d82e908")</f>
        <v>https://knigipp.ru/api/getInfo/image/99d0d3d8-5b63-11f1-a295-00155d82e908</v>
      </c>
      <c r="AD141" s="33">
        <v>10</v>
      </c>
      <c r="AE141" s="6" t="s">
        <v>54</v>
      </c>
      <c r="AF141" s="6" t="s">
        <v>209</v>
      </c>
      <c r="AG141" s="6"/>
      <c r="AH141" s="6" t="s">
        <v>56</v>
      </c>
      <c r="AI141" s="6"/>
      <c r="AJ141" s="6"/>
      <c r="AK141" s="6" t="str">
        <f>HYPERLINK("https://knigipp.ru/api/getInfo/item/99d0d3d8-5b63-11f1-a295-00155d82e908")</f>
        <v>https://knigipp.ru/api/getInfo/item/99d0d3d8-5b63-11f1-a295-00155d82e908</v>
      </c>
      <c r="AL141" s="6" t="s">
        <v>716</v>
      </c>
    </row>
    <row r="142" spans="1:38" ht="21" customHeight="1" outlineLevel="3" x14ac:dyDescent="0.2">
      <c r="A142" s="5">
        <v>103</v>
      </c>
      <c r="B142" s="6" t="s">
        <v>717</v>
      </c>
      <c r="C142" s="54" t="s">
        <v>718</v>
      </c>
      <c r="D142" s="54"/>
      <c r="E142" s="54"/>
      <c r="F142" s="54"/>
      <c r="G142" s="7" t="s">
        <v>719</v>
      </c>
      <c r="H142" s="12"/>
      <c r="I142" s="13"/>
      <c r="J142" s="14"/>
      <c r="K142" s="15">
        <v>48</v>
      </c>
      <c r="L142" s="14"/>
      <c r="M142" s="14" t="s">
        <v>47</v>
      </c>
      <c r="N142" s="14"/>
      <c r="O142" s="5">
        <v>15</v>
      </c>
      <c r="P142" s="23">
        <f>97*(1-S3/100)</f>
        <v>97</v>
      </c>
      <c r="Q142" s="18"/>
      <c r="R142" s="14">
        <f>P142*Q142</f>
        <v>0</v>
      </c>
      <c r="S142" s="24">
        <f>0.054*Q142</f>
        <v>0</v>
      </c>
      <c r="T142" s="25">
        <f>0.00007*Q142</f>
        <v>0</v>
      </c>
      <c r="U142" s="26" t="s">
        <v>62</v>
      </c>
      <c r="V142" s="27" t="s">
        <v>720</v>
      </c>
      <c r="W142" s="27" t="s">
        <v>49</v>
      </c>
      <c r="X142" s="6" t="s">
        <v>261</v>
      </c>
      <c r="Y142" s="6" t="s">
        <v>721</v>
      </c>
      <c r="Z142" s="6" t="s">
        <v>52</v>
      </c>
      <c r="AA142" s="6"/>
      <c r="AB142" s="6"/>
      <c r="AC142" s="6" t="str">
        <f>HYPERLINK("https://knigipp.ru/api/getInfo/image/aae8c5aa-4492-11f1-a294-00155d82e908")</f>
        <v>https://knigipp.ru/api/getInfo/image/aae8c5aa-4492-11f1-a294-00155d82e908</v>
      </c>
      <c r="AD142" s="33">
        <v>10</v>
      </c>
      <c r="AE142" s="6" t="s">
        <v>54</v>
      </c>
      <c r="AF142" s="6" t="s">
        <v>209</v>
      </c>
      <c r="AG142" s="6"/>
      <c r="AH142" s="6" t="s">
        <v>56</v>
      </c>
      <c r="AI142" s="6"/>
      <c r="AJ142" s="6"/>
      <c r="AK142" s="6" t="str">
        <f>HYPERLINK("https://knigipp.ru/api/getInfo/item/aae8c5aa-4492-11f1-a294-00155d82e908")</f>
        <v>https://knigipp.ru/api/getInfo/item/aae8c5aa-4492-11f1-a294-00155d82e908</v>
      </c>
      <c r="AL142" s="6" t="s">
        <v>722</v>
      </c>
    </row>
    <row r="143" spans="1:38" ht="21" customHeight="1" outlineLevel="3" x14ac:dyDescent="0.2">
      <c r="A143" s="5">
        <v>104</v>
      </c>
      <c r="B143" s="6" t="s">
        <v>723</v>
      </c>
      <c r="C143" s="54" t="s">
        <v>724</v>
      </c>
      <c r="D143" s="54"/>
      <c r="E143" s="54"/>
      <c r="F143" s="54"/>
      <c r="G143" s="7" t="s">
        <v>725</v>
      </c>
      <c r="H143" s="12"/>
      <c r="I143" s="13"/>
      <c r="J143" s="14"/>
      <c r="K143" s="15">
        <v>48</v>
      </c>
      <c r="L143" s="14"/>
      <c r="M143" s="14" t="s">
        <v>47</v>
      </c>
      <c r="N143" s="14"/>
      <c r="O143" s="5">
        <v>15</v>
      </c>
      <c r="P143" s="23">
        <f>97*(1-S3/100)</f>
        <v>97</v>
      </c>
      <c r="Q143" s="18"/>
      <c r="R143" s="14">
        <f>P143*Q143</f>
        <v>0</v>
      </c>
      <c r="S143" s="24">
        <f>0.056*Q143</f>
        <v>0</v>
      </c>
      <c r="T143" s="25">
        <f>0.00012*Q143</f>
        <v>0</v>
      </c>
      <c r="U143" s="26" t="s">
        <v>62</v>
      </c>
      <c r="V143" s="27" t="s">
        <v>726</v>
      </c>
      <c r="W143" s="27" t="s">
        <v>49</v>
      </c>
      <c r="X143" s="6" t="s">
        <v>672</v>
      </c>
      <c r="Y143" s="6" t="s">
        <v>727</v>
      </c>
      <c r="Z143" s="6" t="s">
        <v>52</v>
      </c>
      <c r="AA143" s="6"/>
      <c r="AB143" s="6"/>
      <c r="AC143" s="6" t="str">
        <f>HYPERLINK("https://knigipp.ru/api/getInfo/image/5bb0088a-4492-11f1-a294-00155d82e908")</f>
        <v>https://knigipp.ru/api/getInfo/image/5bb0088a-4492-11f1-a294-00155d82e908</v>
      </c>
      <c r="AD143" s="33">
        <v>10</v>
      </c>
      <c r="AE143" s="6" t="s">
        <v>54</v>
      </c>
      <c r="AF143" s="6" t="s">
        <v>209</v>
      </c>
      <c r="AG143" s="6"/>
      <c r="AH143" s="6" t="s">
        <v>56</v>
      </c>
      <c r="AI143" s="6"/>
      <c r="AJ143" s="6"/>
      <c r="AK143" s="6" t="str">
        <f>HYPERLINK("https://knigipp.ru/api/getInfo/item/5bb0088a-4492-11f1-a294-00155d82e908")</f>
        <v>https://knigipp.ru/api/getInfo/item/5bb0088a-4492-11f1-a294-00155d82e908</v>
      </c>
      <c r="AL143" s="6" t="s">
        <v>722</v>
      </c>
    </row>
    <row r="144" spans="1:38" ht="21" customHeight="1" outlineLevel="3" x14ac:dyDescent="0.2">
      <c r="A144" s="5">
        <v>105</v>
      </c>
      <c r="B144" s="6" t="s">
        <v>728</v>
      </c>
      <c r="C144" s="54" t="s">
        <v>729</v>
      </c>
      <c r="D144" s="54"/>
      <c r="E144" s="54"/>
      <c r="F144" s="54"/>
      <c r="G144" s="7" t="s">
        <v>730</v>
      </c>
      <c r="H144" s="12"/>
      <c r="I144" s="13"/>
      <c r="J144" s="14"/>
      <c r="K144" s="15">
        <v>48</v>
      </c>
      <c r="L144" s="14"/>
      <c r="M144" s="14" t="s">
        <v>47</v>
      </c>
      <c r="N144" s="14"/>
      <c r="O144" s="5">
        <v>15</v>
      </c>
      <c r="P144" s="23">
        <f>97*(1-S3/100)</f>
        <v>97</v>
      </c>
      <c r="Q144" s="18"/>
      <c r="R144" s="14">
        <f>P144*Q144</f>
        <v>0</v>
      </c>
      <c r="S144" s="36">
        <f>0.05*Q144</f>
        <v>0</v>
      </c>
      <c r="T144" s="25">
        <f>0.00005*Q144</f>
        <v>0</v>
      </c>
      <c r="U144" s="26" t="s">
        <v>62</v>
      </c>
      <c r="V144" s="27" t="s">
        <v>731</v>
      </c>
      <c r="W144" s="27" t="s">
        <v>49</v>
      </c>
      <c r="X144" s="6" t="s">
        <v>281</v>
      </c>
      <c r="Y144" s="6" t="s">
        <v>732</v>
      </c>
      <c r="Z144" s="6" t="s">
        <v>52</v>
      </c>
      <c r="AA144" s="6"/>
      <c r="AB144" s="6"/>
      <c r="AC144" s="6" t="str">
        <f>HYPERLINK("https://knigipp.ru/api/getInfo/image/55207d3e-5b63-11f1-a295-00155d82e908")</f>
        <v>https://knigipp.ru/api/getInfo/image/55207d3e-5b63-11f1-a295-00155d82e908</v>
      </c>
      <c r="AD144" s="33">
        <v>10</v>
      </c>
      <c r="AE144" s="6" t="s">
        <v>54</v>
      </c>
      <c r="AF144" s="6" t="s">
        <v>209</v>
      </c>
      <c r="AG144" s="6"/>
      <c r="AH144" s="6" t="s">
        <v>56</v>
      </c>
      <c r="AI144" s="6"/>
      <c r="AJ144" s="6"/>
      <c r="AK144" s="6" t="str">
        <f>HYPERLINK("https://knigipp.ru/api/getInfo/item/55207d3e-5b63-11f1-a295-00155d82e908")</f>
        <v>https://knigipp.ru/api/getInfo/item/55207d3e-5b63-11f1-a295-00155d82e908</v>
      </c>
      <c r="AL144" s="6" t="s">
        <v>716</v>
      </c>
    </row>
    <row r="145" spans="1:38" ht="23.1" customHeight="1" outlineLevel="2" x14ac:dyDescent="0.2">
      <c r="A145" s="47" t="s">
        <v>733</v>
      </c>
      <c r="B145" s="47"/>
      <c r="C145" s="47"/>
      <c r="D145" s="47"/>
      <c r="E145" s="47"/>
      <c r="F145" s="47"/>
    </row>
    <row r="146" spans="1:38" ht="21" customHeight="1" outlineLevel="3" x14ac:dyDescent="0.2">
      <c r="A146" s="2">
        <v>106</v>
      </c>
      <c r="B146" s="3" t="s">
        <v>734</v>
      </c>
      <c r="C146" s="49" t="s">
        <v>735</v>
      </c>
      <c r="D146" s="49"/>
      <c r="E146" s="49"/>
      <c r="F146" s="49"/>
      <c r="G146" s="4" t="s">
        <v>736</v>
      </c>
      <c r="H146" s="8"/>
      <c r="I146" s="9" t="s">
        <v>737</v>
      </c>
      <c r="J146" s="10"/>
      <c r="K146" s="11">
        <v>20</v>
      </c>
      <c r="L146" s="10"/>
      <c r="M146" s="10" t="s">
        <v>47</v>
      </c>
      <c r="N146" s="10"/>
      <c r="O146" s="2">
        <v>4</v>
      </c>
      <c r="P146" s="17">
        <f>167*(1-S3/100)</f>
        <v>167</v>
      </c>
      <c r="Q146" s="18"/>
      <c r="R146" s="10">
        <f>P146*Q146</f>
        <v>0</v>
      </c>
      <c r="S146" s="19">
        <f>0.089*Q146</f>
        <v>0</v>
      </c>
      <c r="T146" s="20">
        <f>0.00016*Q146</f>
        <v>0</v>
      </c>
      <c r="U146" s="21"/>
      <c r="V146" s="22" t="s">
        <v>738</v>
      </c>
      <c r="W146" s="22" t="s">
        <v>49</v>
      </c>
      <c r="X146" s="3"/>
      <c r="Y146" s="3" t="s">
        <v>739</v>
      </c>
      <c r="Z146" s="3" t="s">
        <v>384</v>
      </c>
      <c r="AA146" s="3"/>
      <c r="AB146" s="3"/>
      <c r="AC146" s="3" t="str">
        <f>HYPERLINK("https://knigipp.ru/api/getInfo/image/50078471-84ca-11f0-a284-00155d82e908")</f>
        <v>https://knigipp.ru/api/getInfo/image/50078471-84ca-11f0-a284-00155d82e908</v>
      </c>
      <c r="AD146" s="32">
        <v>48</v>
      </c>
      <c r="AE146" s="3" t="s">
        <v>740</v>
      </c>
      <c r="AF146" s="3" t="s">
        <v>741</v>
      </c>
      <c r="AG146" s="3"/>
      <c r="AH146" s="3" t="s">
        <v>56</v>
      </c>
      <c r="AI146" s="3"/>
      <c r="AJ146" s="3"/>
      <c r="AK146" s="3" t="str">
        <f>HYPERLINK("https://knigipp.ru/api/getInfo/item/50078471-84ca-11f0-a284-00155d82e908")</f>
        <v>https://knigipp.ru/api/getInfo/item/50078471-84ca-11f0-a284-00155d82e908</v>
      </c>
      <c r="AL146" s="3" t="s">
        <v>742</v>
      </c>
    </row>
    <row r="147" spans="1:38" ht="21" customHeight="1" outlineLevel="3" x14ac:dyDescent="0.2">
      <c r="A147" s="2">
        <v>107</v>
      </c>
      <c r="B147" s="3" t="s">
        <v>743</v>
      </c>
      <c r="C147" s="49" t="s">
        <v>744</v>
      </c>
      <c r="D147" s="49"/>
      <c r="E147" s="49"/>
      <c r="F147" s="49"/>
      <c r="G147" s="4" t="s">
        <v>745</v>
      </c>
      <c r="H147" s="8"/>
      <c r="I147" s="9" t="s">
        <v>746</v>
      </c>
      <c r="J147" s="10"/>
      <c r="K147" s="11">
        <v>20</v>
      </c>
      <c r="L147" s="10"/>
      <c r="M147" s="10" t="s">
        <v>47</v>
      </c>
      <c r="N147" s="10"/>
      <c r="O147" s="2">
        <v>4</v>
      </c>
      <c r="P147" s="17">
        <f>167*(1-S3/100)</f>
        <v>167</v>
      </c>
      <c r="Q147" s="18"/>
      <c r="R147" s="10">
        <f>P147*Q147</f>
        <v>0</v>
      </c>
      <c r="S147" s="19">
        <f>0.129*Q147</f>
        <v>0</v>
      </c>
      <c r="T147" s="20">
        <f>0.00068*Q147</f>
        <v>0</v>
      </c>
      <c r="U147" s="21"/>
      <c r="V147" s="22" t="s">
        <v>747</v>
      </c>
      <c r="W147" s="22" t="s">
        <v>49</v>
      </c>
      <c r="X147" s="3"/>
      <c r="Y147" s="3" t="s">
        <v>748</v>
      </c>
      <c r="Z147" s="3" t="s">
        <v>384</v>
      </c>
      <c r="AA147" s="3"/>
      <c r="AB147" s="3"/>
      <c r="AC147" s="3" t="str">
        <f>HYPERLINK("https://knigipp.ru/api/getInfo/image/e1da85a4-563c-11f0-a27f-00155d82e908")</f>
        <v>https://knigipp.ru/api/getInfo/image/e1da85a4-563c-11f0-a27f-00155d82e908</v>
      </c>
      <c r="AD147" s="32">
        <v>48</v>
      </c>
      <c r="AE147" s="3" t="s">
        <v>740</v>
      </c>
      <c r="AF147" s="3" t="s">
        <v>741</v>
      </c>
      <c r="AG147" s="3"/>
      <c r="AH147" s="3" t="s">
        <v>56</v>
      </c>
      <c r="AI147" s="3"/>
      <c r="AJ147" s="3"/>
      <c r="AK147" s="3" t="str">
        <f>HYPERLINK("https://knigipp.ru/api/getInfo/item/e1da85a4-563c-11f0-a27f-00155d82e908")</f>
        <v>https://knigipp.ru/api/getInfo/item/e1da85a4-563c-11f0-a27f-00155d82e908</v>
      </c>
      <c r="AL147" s="3" t="s">
        <v>749</v>
      </c>
    </row>
    <row r="148" spans="1:38" ht="23.1" customHeight="1" outlineLevel="2" x14ac:dyDescent="0.2">
      <c r="A148" s="47" t="s">
        <v>750</v>
      </c>
      <c r="B148" s="47"/>
      <c r="C148" s="47"/>
      <c r="D148" s="47"/>
      <c r="E148" s="47"/>
      <c r="F148" s="47"/>
    </row>
    <row r="149" spans="1:38" ht="21" customHeight="1" outlineLevel="3" x14ac:dyDescent="0.2">
      <c r="A149" s="5">
        <v>108</v>
      </c>
      <c r="B149" s="6" t="s">
        <v>751</v>
      </c>
      <c r="C149" s="54" t="s">
        <v>752</v>
      </c>
      <c r="D149" s="54"/>
      <c r="E149" s="54"/>
      <c r="F149" s="54"/>
      <c r="G149" s="7" t="s">
        <v>753</v>
      </c>
      <c r="H149" s="12"/>
      <c r="I149" s="13" t="s">
        <v>754</v>
      </c>
      <c r="J149" s="14"/>
      <c r="K149" s="15">
        <v>10</v>
      </c>
      <c r="L149" s="14"/>
      <c r="M149" s="14" t="s">
        <v>47</v>
      </c>
      <c r="N149" s="14"/>
      <c r="O149" s="5">
        <v>1</v>
      </c>
      <c r="P149" s="23">
        <f>397*(1-S3/100)</f>
        <v>397</v>
      </c>
      <c r="Q149" s="18"/>
      <c r="R149" s="14">
        <f>P149*Q149</f>
        <v>0</v>
      </c>
      <c r="S149" s="24">
        <f>0.201*Q149</f>
        <v>0</v>
      </c>
      <c r="T149" s="25">
        <f>0.00051*Q149</f>
        <v>0</v>
      </c>
      <c r="U149" s="26" t="s">
        <v>62</v>
      </c>
      <c r="V149" s="27" t="s">
        <v>755</v>
      </c>
      <c r="W149" s="27" t="s">
        <v>191</v>
      </c>
      <c r="X149" s="6" t="s">
        <v>756</v>
      </c>
      <c r="Y149" s="6"/>
      <c r="Z149" s="6" t="s">
        <v>757</v>
      </c>
      <c r="AA149" s="6"/>
      <c r="AB149" s="6"/>
      <c r="AC149" s="6" t="str">
        <f>HYPERLINK("https://knigipp.ru/api/getInfo/image/833f7246-7487-11f1-a29a-00155d82e908")</f>
        <v>https://knigipp.ru/api/getInfo/image/833f7246-7487-11f1-a29a-00155d82e908</v>
      </c>
      <c r="AD149" s="33">
        <v>240</v>
      </c>
      <c r="AE149" s="6" t="s">
        <v>65</v>
      </c>
      <c r="AF149" s="6" t="s">
        <v>55</v>
      </c>
      <c r="AG149" s="6"/>
      <c r="AH149" s="6" t="s">
        <v>56</v>
      </c>
      <c r="AI149" s="6"/>
      <c r="AJ149" s="6"/>
      <c r="AK149" s="6" t="str">
        <f>HYPERLINK("https://knigipp.ru/api/getInfo/item/833f7246-7487-11f1-a29a-00155d82e908")</f>
        <v>https://knigipp.ru/api/getInfo/item/833f7246-7487-11f1-a29a-00155d82e908</v>
      </c>
      <c r="AL149" s="6" t="s">
        <v>758</v>
      </c>
    </row>
    <row r="150" spans="1:38" ht="21" customHeight="1" outlineLevel="3" x14ac:dyDescent="0.2">
      <c r="A150" s="5">
        <v>109</v>
      </c>
      <c r="B150" s="6" t="s">
        <v>759</v>
      </c>
      <c r="C150" s="54" t="s">
        <v>760</v>
      </c>
      <c r="D150" s="54"/>
      <c r="E150" s="54"/>
      <c r="F150" s="54"/>
      <c r="G150" s="7" t="s">
        <v>761</v>
      </c>
      <c r="H150" s="12"/>
      <c r="I150" s="13" t="s">
        <v>762</v>
      </c>
      <c r="J150" s="14"/>
      <c r="K150" s="15">
        <v>10</v>
      </c>
      <c r="L150" s="14"/>
      <c r="M150" s="14" t="s">
        <v>47</v>
      </c>
      <c r="N150" s="14"/>
      <c r="O150" s="5">
        <v>1</v>
      </c>
      <c r="P150" s="23">
        <f>397*(1-S3/100)</f>
        <v>397</v>
      </c>
      <c r="Q150" s="18"/>
      <c r="R150" s="14">
        <f>P150*Q150</f>
        <v>0</v>
      </c>
      <c r="S150" s="24">
        <f>0.205*Q150</f>
        <v>0</v>
      </c>
      <c r="T150" s="25">
        <f>0.00051*Q150</f>
        <v>0</v>
      </c>
      <c r="U150" s="26" t="s">
        <v>62</v>
      </c>
      <c r="V150" s="27" t="s">
        <v>763</v>
      </c>
      <c r="W150" s="27" t="s">
        <v>191</v>
      </c>
      <c r="X150" s="6" t="s">
        <v>764</v>
      </c>
      <c r="Y150" s="6"/>
      <c r="Z150" s="6" t="s">
        <v>757</v>
      </c>
      <c r="AA150" s="6"/>
      <c r="AB150" s="6"/>
      <c r="AC150" s="6" t="str">
        <f>HYPERLINK("https://knigipp.ru/api/getInfo/image/7ab22783-7488-11f1-a29a-00155d82e908")</f>
        <v>https://knigipp.ru/api/getInfo/image/7ab22783-7488-11f1-a29a-00155d82e908</v>
      </c>
      <c r="AD150" s="33">
        <v>240</v>
      </c>
      <c r="AE150" s="6" t="s">
        <v>65</v>
      </c>
      <c r="AF150" s="6" t="s">
        <v>55</v>
      </c>
      <c r="AG150" s="6"/>
      <c r="AH150" s="6" t="s">
        <v>56</v>
      </c>
      <c r="AI150" s="6"/>
      <c r="AJ150" s="6"/>
      <c r="AK150" s="6" t="str">
        <f>HYPERLINK("https://knigipp.ru/api/getInfo/item/7ab22783-7488-11f1-a29a-00155d82e908")</f>
        <v>https://knigipp.ru/api/getInfo/item/7ab22783-7488-11f1-a29a-00155d82e908</v>
      </c>
      <c r="AL150" s="6" t="s">
        <v>758</v>
      </c>
    </row>
    <row r="151" spans="1:38" ht="21" customHeight="1" outlineLevel="3" x14ac:dyDescent="0.2">
      <c r="A151" s="5">
        <v>110</v>
      </c>
      <c r="B151" s="6" t="s">
        <v>765</v>
      </c>
      <c r="C151" s="54" t="s">
        <v>766</v>
      </c>
      <c r="D151" s="54"/>
      <c r="E151" s="54"/>
      <c r="F151" s="54"/>
      <c r="G151" s="7" t="s">
        <v>767</v>
      </c>
      <c r="H151" s="12"/>
      <c r="I151" s="13" t="s">
        <v>768</v>
      </c>
      <c r="J151" s="14"/>
      <c r="K151" s="15">
        <v>10</v>
      </c>
      <c r="L151" s="14"/>
      <c r="M151" s="14" t="s">
        <v>47</v>
      </c>
      <c r="N151" s="14"/>
      <c r="O151" s="5">
        <v>1</v>
      </c>
      <c r="P151" s="23">
        <f>397*(1-S3/100)</f>
        <v>397</v>
      </c>
      <c r="Q151" s="18"/>
      <c r="R151" s="14">
        <f>P151*Q151</f>
        <v>0</v>
      </c>
      <c r="S151" s="24">
        <f>0.183*Q151</f>
        <v>0</v>
      </c>
      <c r="T151" s="25">
        <f>0.00048*Q151</f>
        <v>0</v>
      </c>
      <c r="U151" s="26" t="s">
        <v>62</v>
      </c>
      <c r="V151" s="27" t="s">
        <v>769</v>
      </c>
      <c r="W151" s="27" t="s">
        <v>191</v>
      </c>
      <c r="X151" s="6" t="s">
        <v>770</v>
      </c>
      <c r="Y151" s="6"/>
      <c r="Z151" s="6" t="s">
        <v>757</v>
      </c>
      <c r="AA151" s="6"/>
      <c r="AB151" s="6"/>
      <c r="AC151" s="6" t="str">
        <f>HYPERLINK("https://knigipp.ru/api/getInfo/image/f27470a9-7487-11f1-a29a-00155d82e908")</f>
        <v>https://knigipp.ru/api/getInfo/image/f27470a9-7487-11f1-a29a-00155d82e908</v>
      </c>
      <c r="AD151" s="33">
        <v>208</v>
      </c>
      <c r="AE151" s="6" t="s">
        <v>65</v>
      </c>
      <c r="AF151" s="6" t="s">
        <v>55</v>
      </c>
      <c r="AG151" s="6"/>
      <c r="AH151" s="6" t="s">
        <v>56</v>
      </c>
      <c r="AI151" s="6"/>
      <c r="AJ151" s="6"/>
      <c r="AK151" s="6" t="str">
        <f>HYPERLINK("https://knigipp.ru/api/getInfo/item/f27470a9-7487-11f1-a29a-00155d82e908")</f>
        <v>https://knigipp.ru/api/getInfo/item/f27470a9-7487-11f1-a29a-00155d82e908</v>
      </c>
      <c r="AL151" s="6" t="s">
        <v>771</v>
      </c>
    </row>
    <row r="152" spans="1:38" ht="21" customHeight="1" outlineLevel="3" x14ac:dyDescent="0.2">
      <c r="A152" s="5">
        <v>111</v>
      </c>
      <c r="B152" s="6" t="s">
        <v>772</v>
      </c>
      <c r="C152" s="54" t="s">
        <v>773</v>
      </c>
      <c r="D152" s="54"/>
      <c r="E152" s="54"/>
      <c r="F152" s="54"/>
      <c r="G152" s="7" t="s">
        <v>774</v>
      </c>
      <c r="H152" s="12"/>
      <c r="I152" s="13" t="s">
        <v>775</v>
      </c>
      <c r="J152" s="14"/>
      <c r="K152" s="15">
        <v>10</v>
      </c>
      <c r="L152" s="14"/>
      <c r="M152" s="14" t="s">
        <v>47</v>
      </c>
      <c r="N152" s="14"/>
      <c r="O152" s="5">
        <v>1</v>
      </c>
      <c r="P152" s="23">
        <f>397*(1-S3/100)</f>
        <v>397</v>
      </c>
      <c r="Q152" s="18"/>
      <c r="R152" s="14">
        <f>P152*Q152</f>
        <v>0</v>
      </c>
      <c r="S152" s="24">
        <f>0.178*Q152</f>
        <v>0</v>
      </c>
      <c r="T152" s="25">
        <f>0.00055*Q152</f>
        <v>0</v>
      </c>
      <c r="U152" s="26" t="s">
        <v>62</v>
      </c>
      <c r="V152" s="27" t="s">
        <v>776</v>
      </c>
      <c r="W152" s="27" t="s">
        <v>191</v>
      </c>
      <c r="X152" s="6" t="s">
        <v>777</v>
      </c>
      <c r="Y152" s="6"/>
      <c r="Z152" s="6" t="s">
        <v>757</v>
      </c>
      <c r="AA152" s="6"/>
      <c r="AB152" s="6"/>
      <c r="AC152" s="6" t="str">
        <f>HYPERLINK("https://knigipp.ru/api/getInfo/image/3020fb4c-7488-11f1-a29a-00155d82e908")</f>
        <v>https://knigipp.ru/api/getInfo/image/3020fb4c-7488-11f1-a29a-00155d82e908</v>
      </c>
      <c r="AD152" s="33">
        <v>208</v>
      </c>
      <c r="AE152" s="6" t="s">
        <v>65</v>
      </c>
      <c r="AF152" s="6" t="s">
        <v>55</v>
      </c>
      <c r="AG152" s="6"/>
      <c r="AH152" s="6" t="s">
        <v>56</v>
      </c>
      <c r="AI152" s="6"/>
      <c r="AJ152" s="6"/>
      <c r="AK152" s="6" t="str">
        <f>HYPERLINK("https://knigipp.ru/api/getInfo/item/3020fb4c-7488-11f1-a29a-00155d82e908")</f>
        <v>https://knigipp.ru/api/getInfo/item/3020fb4c-7488-11f1-a29a-00155d82e908</v>
      </c>
      <c r="AL152" s="6" t="s">
        <v>771</v>
      </c>
    </row>
    <row r="153" spans="1:38" ht="23.1" customHeight="1" outlineLevel="2" x14ac:dyDescent="0.2">
      <c r="A153" s="47" t="s">
        <v>778</v>
      </c>
      <c r="B153" s="47"/>
      <c r="C153" s="47"/>
      <c r="D153" s="47"/>
      <c r="E153" s="47"/>
      <c r="F153" s="47"/>
    </row>
    <row r="154" spans="1:38" ht="21" customHeight="1" outlineLevel="3" x14ac:dyDescent="0.2">
      <c r="A154" s="2">
        <v>112</v>
      </c>
      <c r="B154" s="3" t="s">
        <v>779</v>
      </c>
      <c r="C154" s="49" t="s">
        <v>780</v>
      </c>
      <c r="D154" s="49"/>
      <c r="E154" s="49"/>
      <c r="F154" s="49"/>
      <c r="G154" s="4" t="s">
        <v>781</v>
      </c>
      <c r="H154" s="8"/>
      <c r="I154" s="9" t="s">
        <v>782</v>
      </c>
      <c r="J154" s="10"/>
      <c r="K154" s="11">
        <v>20</v>
      </c>
      <c r="L154" s="10"/>
      <c r="M154" s="10" t="s">
        <v>47</v>
      </c>
      <c r="N154" s="10"/>
      <c r="O154" s="2">
        <v>3</v>
      </c>
      <c r="P154" s="17">
        <f>199*(1-S3/100)</f>
        <v>199</v>
      </c>
      <c r="Q154" s="18"/>
      <c r="R154" s="10">
        <f>P154*Q154</f>
        <v>0</v>
      </c>
      <c r="S154" s="19">
        <f>0.215*Q154</f>
        <v>0</v>
      </c>
      <c r="T154" s="30">
        <f>0.0003*Q154</f>
        <v>0</v>
      </c>
      <c r="U154" s="21"/>
      <c r="V154" s="22" t="s">
        <v>783</v>
      </c>
      <c r="W154" s="22" t="s">
        <v>191</v>
      </c>
      <c r="X154" s="3"/>
      <c r="Y154" s="3"/>
      <c r="Z154" s="3" t="s">
        <v>52</v>
      </c>
      <c r="AA154" s="3"/>
      <c r="AB154" s="3"/>
      <c r="AC154" s="3" t="str">
        <f>HYPERLINK("https://knigipp.ru/api/getInfo/image/199ef54f-4ef3-11ed-a219-ac1f6b442185")</f>
        <v>https://knigipp.ru/api/getInfo/image/199ef54f-4ef3-11ed-a219-ac1f6b442185</v>
      </c>
      <c r="AD154" s="32">
        <v>128</v>
      </c>
      <c r="AE154" s="3"/>
      <c r="AF154" s="3"/>
      <c r="AG154" s="3"/>
      <c r="AH154" s="3" t="s">
        <v>56</v>
      </c>
      <c r="AI154" s="3"/>
      <c r="AJ154" s="3"/>
      <c r="AK154" s="3" t="str">
        <f>HYPERLINK("https://knigipp.ru/api/getInfo/item/199ef54f-4ef3-11ed-a219-ac1f6b442185")</f>
        <v>https://knigipp.ru/api/getInfo/item/199ef54f-4ef3-11ed-a219-ac1f6b442185</v>
      </c>
      <c r="AL154" s="3" t="s">
        <v>784</v>
      </c>
    </row>
    <row r="155" spans="1:38" ht="21" customHeight="1" outlineLevel="3" x14ac:dyDescent="0.2">
      <c r="A155" s="2">
        <v>113</v>
      </c>
      <c r="B155" s="3" t="s">
        <v>785</v>
      </c>
      <c r="C155" s="49" t="s">
        <v>786</v>
      </c>
      <c r="D155" s="49"/>
      <c r="E155" s="49"/>
      <c r="F155" s="49"/>
      <c r="G155" s="4" t="s">
        <v>787</v>
      </c>
      <c r="H155" s="8"/>
      <c r="I155" s="9" t="s">
        <v>782</v>
      </c>
      <c r="J155" s="10"/>
      <c r="K155" s="11">
        <v>20</v>
      </c>
      <c r="L155" s="10"/>
      <c r="M155" s="10" t="s">
        <v>78</v>
      </c>
      <c r="N155" s="10"/>
      <c r="O155" s="2">
        <v>3</v>
      </c>
      <c r="P155" s="17">
        <f>199*(1-S3/100)</f>
        <v>199</v>
      </c>
      <c r="Q155" s="18"/>
      <c r="R155" s="10">
        <f>P155*Q155</f>
        <v>0</v>
      </c>
      <c r="S155" s="19">
        <f>0.191*Q155</f>
        <v>0</v>
      </c>
      <c r="T155" s="20">
        <f>0.00036*Q155</f>
        <v>0</v>
      </c>
      <c r="U155" s="21"/>
      <c r="V155" s="22" t="s">
        <v>788</v>
      </c>
      <c r="W155" s="22" t="s">
        <v>191</v>
      </c>
      <c r="X155" s="3"/>
      <c r="Y155" s="3"/>
      <c r="Z155" s="3" t="s">
        <v>52</v>
      </c>
      <c r="AA155" s="3"/>
      <c r="AB155" s="3"/>
      <c r="AC155" s="3" t="str">
        <f>HYPERLINK("https://knigipp.ru/api/getInfo/image/989bc8ac-4ef3-11ed-a219-ac1f6b442185")</f>
        <v>https://knigipp.ru/api/getInfo/image/989bc8ac-4ef3-11ed-a219-ac1f6b442185</v>
      </c>
      <c r="AD155" s="32">
        <v>128</v>
      </c>
      <c r="AE155" s="3"/>
      <c r="AF155" s="3"/>
      <c r="AG155" s="3"/>
      <c r="AH155" s="3" t="s">
        <v>56</v>
      </c>
      <c r="AI155" s="3"/>
      <c r="AJ155" s="3"/>
      <c r="AK155" s="3" t="str">
        <f>HYPERLINK("https://knigipp.ru/api/getInfo/item/989bc8ac-4ef3-11ed-a219-ac1f6b442185")</f>
        <v>https://knigipp.ru/api/getInfo/item/989bc8ac-4ef3-11ed-a219-ac1f6b442185</v>
      </c>
      <c r="AL155" s="3" t="s">
        <v>784</v>
      </c>
    </row>
    <row r="156" spans="1:38" ht="21" customHeight="1" outlineLevel="3" x14ac:dyDescent="0.2">
      <c r="A156" s="2">
        <v>114</v>
      </c>
      <c r="B156" s="3" t="s">
        <v>789</v>
      </c>
      <c r="C156" s="49" t="s">
        <v>790</v>
      </c>
      <c r="D156" s="49"/>
      <c r="E156" s="49"/>
      <c r="F156" s="49"/>
      <c r="G156" s="4" t="s">
        <v>791</v>
      </c>
      <c r="H156" s="8"/>
      <c r="I156" s="9" t="s">
        <v>782</v>
      </c>
      <c r="J156" s="10"/>
      <c r="K156" s="11">
        <v>20</v>
      </c>
      <c r="L156" s="10"/>
      <c r="M156" s="10" t="s">
        <v>78</v>
      </c>
      <c r="N156" s="10"/>
      <c r="O156" s="2">
        <v>3</v>
      </c>
      <c r="P156" s="17">
        <f>199*(1-S3/100)</f>
        <v>199</v>
      </c>
      <c r="Q156" s="18"/>
      <c r="R156" s="10">
        <f>P156*Q156</f>
        <v>0</v>
      </c>
      <c r="S156" s="19">
        <f>0.193*Q156</f>
        <v>0</v>
      </c>
      <c r="T156" s="20">
        <f>0.00036*Q156</f>
        <v>0</v>
      </c>
      <c r="U156" s="21"/>
      <c r="V156" s="22" t="s">
        <v>792</v>
      </c>
      <c r="W156" s="22" t="s">
        <v>191</v>
      </c>
      <c r="X156" s="3"/>
      <c r="Y156" s="3"/>
      <c r="Z156" s="3" t="s">
        <v>52</v>
      </c>
      <c r="AA156" s="3"/>
      <c r="AB156" s="3"/>
      <c r="AC156" s="3" t="str">
        <f>HYPERLINK("https://knigipp.ru/api/getInfo/image/47a1002c-4ef3-11ed-a219-ac1f6b442185")</f>
        <v>https://knigipp.ru/api/getInfo/image/47a1002c-4ef3-11ed-a219-ac1f6b442185</v>
      </c>
      <c r="AD156" s="32">
        <v>128</v>
      </c>
      <c r="AE156" s="3"/>
      <c r="AF156" s="3"/>
      <c r="AG156" s="3"/>
      <c r="AH156" s="3" t="s">
        <v>56</v>
      </c>
      <c r="AI156" s="3"/>
      <c r="AJ156" s="3"/>
      <c r="AK156" s="3" t="str">
        <f>HYPERLINK("https://knigipp.ru/api/getInfo/item/47a1002c-4ef3-11ed-a219-ac1f6b442185")</f>
        <v>https://knigipp.ru/api/getInfo/item/47a1002c-4ef3-11ed-a219-ac1f6b442185</v>
      </c>
      <c r="AL156" s="3" t="s">
        <v>784</v>
      </c>
    </row>
    <row r="157" spans="1:38" ht="23.1" customHeight="1" outlineLevel="2" x14ac:dyDescent="0.2">
      <c r="A157" s="47" t="s">
        <v>793</v>
      </c>
      <c r="B157" s="47"/>
      <c r="C157" s="47"/>
      <c r="D157" s="47"/>
      <c r="E157" s="47"/>
      <c r="F157" s="47"/>
    </row>
    <row r="158" spans="1:38" ht="21" customHeight="1" outlineLevel="3" x14ac:dyDescent="0.2">
      <c r="A158" s="2">
        <v>115</v>
      </c>
      <c r="B158" s="3" t="s">
        <v>794</v>
      </c>
      <c r="C158" s="49" t="s">
        <v>795</v>
      </c>
      <c r="D158" s="49"/>
      <c r="E158" s="49"/>
      <c r="F158" s="49"/>
      <c r="G158" s="4" t="s">
        <v>796</v>
      </c>
      <c r="H158" s="8"/>
      <c r="I158" s="9" t="s">
        <v>797</v>
      </c>
      <c r="J158" s="10"/>
      <c r="K158" s="11">
        <v>30</v>
      </c>
      <c r="L158" s="10"/>
      <c r="M158" s="10" t="s">
        <v>47</v>
      </c>
      <c r="N158" s="10"/>
      <c r="O158" s="2">
        <v>4</v>
      </c>
      <c r="P158" s="17">
        <f>149*(1-S3/100)</f>
        <v>149</v>
      </c>
      <c r="Q158" s="18"/>
      <c r="R158" s="10">
        <f>P158*Q158</f>
        <v>0</v>
      </c>
      <c r="S158" s="19">
        <f>0.107*Q158</f>
        <v>0</v>
      </c>
      <c r="T158" s="20">
        <f>0.00042*Q158</f>
        <v>0</v>
      </c>
      <c r="U158" s="21"/>
      <c r="V158" s="22" t="s">
        <v>798</v>
      </c>
      <c r="W158" s="22" t="s">
        <v>49</v>
      </c>
      <c r="X158" s="3"/>
      <c r="Y158" s="3"/>
      <c r="Z158" s="3" t="s">
        <v>52</v>
      </c>
      <c r="AA158" s="3"/>
      <c r="AB158" s="3"/>
      <c r="AC158" s="3" t="str">
        <f>HYPERLINK("https://knigipp.ru/api/getInfo/image/5d585a49-da6f-11eb-a209-ac1f6b442185")</f>
        <v>https://knigipp.ru/api/getInfo/image/5d585a49-da6f-11eb-a209-ac1f6b442185</v>
      </c>
      <c r="AD158" s="32">
        <v>24</v>
      </c>
      <c r="AE158" s="3"/>
      <c r="AF158" s="3" t="s">
        <v>136</v>
      </c>
      <c r="AG158" s="3"/>
      <c r="AH158" s="3" t="s">
        <v>613</v>
      </c>
      <c r="AI158" s="3"/>
      <c r="AJ158" s="3"/>
      <c r="AK158" s="3" t="str">
        <f>HYPERLINK("https://knigipp.ru/api/getInfo/item/5d585a49-da6f-11eb-a209-ac1f6b442185")</f>
        <v>https://knigipp.ru/api/getInfo/item/5d585a49-da6f-11eb-a209-ac1f6b442185</v>
      </c>
      <c r="AL158" s="3" t="s">
        <v>799</v>
      </c>
    </row>
    <row r="159" spans="1:38" ht="21" customHeight="1" outlineLevel="3" x14ac:dyDescent="0.2">
      <c r="A159" s="2">
        <v>116</v>
      </c>
      <c r="B159" s="3" t="s">
        <v>800</v>
      </c>
      <c r="C159" s="49" t="s">
        <v>801</v>
      </c>
      <c r="D159" s="49"/>
      <c r="E159" s="49"/>
      <c r="F159" s="49"/>
      <c r="G159" s="4" t="s">
        <v>802</v>
      </c>
      <c r="H159" s="8" t="s">
        <v>610</v>
      </c>
      <c r="I159" s="9" t="s">
        <v>803</v>
      </c>
      <c r="J159" s="10"/>
      <c r="K159" s="11">
        <v>30</v>
      </c>
      <c r="L159" s="10"/>
      <c r="M159" s="10" t="s">
        <v>47</v>
      </c>
      <c r="N159" s="10"/>
      <c r="O159" s="2">
        <v>4</v>
      </c>
      <c r="P159" s="17">
        <f>149*(1-S3/100)</f>
        <v>149</v>
      </c>
      <c r="Q159" s="18"/>
      <c r="R159" s="10">
        <f>P159*Q159</f>
        <v>0</v>
      </c>
      <c r="S159" s="19">
        <f>0.108*Q159</f>
        <v>0</v>
      </c>
      <c r="T159" s="20">
        <f>0.00055*Q159</f>
        <v>0</v>
      </c>
      <c r="U159" s="21"/>
      <c r="V159" s="22" t="s">
        <v>804</v>
      </c>
      <c r="W159" s="22" t="s">
        <v>49</v>
      </c>
      <c r="X159" s="3"/>
      <c r="Y159" s="3"/>
      <c r="Z159" s="3" t="s">
        <v>52</v>
      </c>
      <c r="AA159" s="3"/>
      <c r="AB159" s="3"/>
      <c r="AC159" s="3" t="str">
        <f>HYPERLINK("https://knigipp.ru/api/getInfo/image/1a79bd41-da6f-11eb-a209-ac1f6b442185")</f>
        <v>https://knigipp.ru/api/getInfo/image/1a79bd41-da6f-11eb-a209-ac1f6b442185</v>
      </c>
      <c r="AD159" s="32">
        <v>24</v>
      </c>
      <c r="AE159" s="3"/>
      <c r="AF159" s="3" t="s">
        <v>136</v>
      </c>
      <c r="AG159" s="3"/>
      <c r="AH159" s="3" t="s">
        <v>613</v>
      </c>
      <c r="AI159" s="3"/>
      <c r="AJ159" s="3"/>
      <c r="AK159" s="3" t="str">
        <f>HYPERLINK("https://knigipp.ru/api/getInfo/item/1a79bd41-da6f-11eb-a209-ac1f6b442185")</f>
        <v>https://knigipp.ru/api/getInfo/item/1a79bd41-da6f-11eb-a209-ac1f6b442185</v>
      </c>
      <c r="AL159" s="3" t="s">
        <v>799</v>
      </c>
    </row>
    <row r="160" spans="1:38" ht="23.1" customHeight="1" outlineLevel="2" x14ac:dyDescent="0.2">
      <c r="A160" s="47" t="s">
        <v>805</v>
      </c>
      <c r="B160" s="47"/>
      <c r="C160" s="47"/>
      <c r="D160" s="47"/>
      <c r="E160" s="47"/>
      <c r="F160" s="47"/>
    </row>
    <row r="161" spans="1:38" ht="21" customHeight="1" outlineLevel="3" x14ac:dyDescent="0.2">
      <c r="A161" s="2">
        <v>117</v>
      </c>
      <c r="B161" s="3" t="s">
        <v>806</v>
      </c>
      <c r="C161" s="49" t="s">
        <v>807</v>
      </c>
      <c r="D161" s="49"/>
      <c r="E161" s="49"/>
      <c r="F161" s="49"/>
      <c r="G161" s="4" t="s">
        <v>808</v>
      </c>
      <c r="H161" s="8"/>
      <c r="I161" s="9" t="s">
        <v>809</v>
      </c>
      <c r="J161" s="10"/>
      <c r="K161" s="11">
        <v>10</v>
      </c>
      <c r="L161" s="10"/>
      <c r="M161" s="10" t="s">
        <v>78</v>
      </c>
      <c r="N161" s="10"/>
      <c r="O161" s="2">
        <v>3</v>
      </c>
      <c r="P161" s="17">
        <f>249*(1-S3/100)</f>
        <v>249</v>
      </c>
      <c r="Q161" s="18"/>
      <c r="R161" s="10">
        <f>P161*Q161</f>
        <v>0</v>
      </c>
      <c r="S161" s="28">
        <f>0.28*Q161</f>
        <v>0</v>
      </c>
      <c r="T161" s="20">
        <f>0.00044*Q161</f>
        <v>0</v>
      </c>
      <c r="U161" s="21"/>
      <c r="V161" s="22" t="s">
        <v>810</v>
      </c>
      <c r="W161" s="22" t="s">
        <v>191</v>
      </c>
      <c r="X161" s="3"/>
      <c r="Y161" s="3"/>
      <c r="Z161" s="3" t="s">
        <v>52</v>
      </c>
      <c r="AA161" s="3"/>
      <c r="AB161" s="3"/>
      <c r="AC161" s="3" t="str">
        <f>HYPERLINK("https://knigipp.ru/api/getInfo/image/6f5f741a-eb94-11eb-a20d-ac1f6b442185")</f>
        <v>https://knigipp.ru/api/getInfo/image/6f5f741a-eb94-11eb-a20d-ac1f6b442185</v>
      </c>
      <c r="AD161" s="32">
        <v>144</v>
      </c>
      <c r="AE161" s="3"/>
      <c r="AF161" s="3" t="s">
        <v>127</v>
      </c>
      <c r="AG161" s="32">
        <v>100</v>
      </c>
      <c r="AH161" s="3" t="s">
        <v>56</v>
      </c>
      <c r="AI161" s="3"/>
      <c r="AJ161" s="3"/>
      <c r="AK161" s="3" t="str">
        <f>HYPERLINK("https://knigipp.ru/api/getInfo/item/6f5f741a-eb94-11eb-a20d-ac1f6b442185")</f>
        <v>https://knigipp.ru/api/getInfo/item/6f5f741a-eb94-11eb-a20d-ac1f6b442185</v>
      </c>
      <c r="AL161" s="3" t="s">
        <v>356</v>
      </c>
    </row>
    <row r="162" spans="1:38" ht="21" customHeight="1" outlineLevel="3" x14ac:dyDescent="0.2">
      <c r="A162" s="2">
        <v>118</v>
      </c>
      <c r="B162" s="3" t="s">
        <v>811</v>
      </c>
      <c r="C162" s="49" t="s">
        <v>812</v>
      </c>
      <c r="D162" s="49"/>
      <c r="E162" s="49"/>
      <c r="F162" s="49"/>
      <c r="G162" s="4" t="s">
        <v>813</v>
      </c>
      <c r="H162" s="8"/>
      <c r="I162" s="9" t="s">
        <v>809</v>
      </c>
      <c r="J162" s="10"/>
      <c r="K162" s="11">
        <v>10</v>
      </c>
      <c r="L162" s="10"/>
      <c r="M162" s="10" t="s">
        <v>304</v>
      </c>
      <c r="N162" s="10"/>
      <c r="O162" s="2">
        <v>3</v>
      </c>
      <c r="P162" s="17">
        <f>249*(1-S3/100)</f>
        <v>249</v>
      </c>
      <c r="Q162" s="18"/>
      <c r="R162" s="10">
        <f>P162*Q162</f>
        <v>0</v>
      </c>
      <c r="S162" s="28">
        <f>0.28*Q162</f>
        <v>0</v>
      </c>
      <c r="T162" s="20">
        <f>0.00044*Q162</f>
        <v>0</v>
      </c>
      <c r="U162" s="21"/>
      <c r="V162" s="22" t="s">
        <v>814</v>
      </c>
      <c r="W162" s="22" t="s">
        <v>191</v>
      </c>
      <c r="X162" s="3"/>
      <c r="Y162" s="3"/>
      <c r="Z162" s="3" t="s">
        <v>52</v>
      </c>
      <c r="AA162" s="3"/>
      <c r="AB162" s="3"/>
      <c r="AC162" s="3" t="str">
        <f>HYPERLINK("https://knigipp.ru/api/getInfo/image/47e885f4-eb94-11eb-a20d-ac1f6b442185")</f>
        <v>https://knigipp.ru/api/getInfo/image/47e885f4-eb94-11eb-a20d-ac1f6b442185</v>
      </c>
      <c r="AD162" s="32">
        <v>144</v>
      </c>
      <c r="AE162" s="3"/>
      <c r="AF162" s="3" t="s">
        <v>127</v>
      </c>
      <c r="AG162" s="32">
        <v>100</v>
      </c>
      <c r="AH162" s="3" t="s">
        <v>56</v>
      </c>
      <c r="AI162" s="3"/>
      <c r="AJ162" s="3"/>
      <c r="AK162" s="3" t="str">
        <f>HYPERLINK("https://knigipp.ru/api/getInfo/item/47e885f4-eb94-11eb-a20d-ac1f6b442185")</f>
        <v>https://knigipp.ru/api/getInfo/item/47e885f4-eb94-11eb-a20d-ac1f6b442185</v>
      </c>
      <c r="AL162" s="3" t="s">
        <v>356</v>
      </c>
    </row>
    <row r="163" spans="1:38" ht="23.1" customHeight="1" outlineLevel="2" x14ac:dyDescent="0.2">
      <c r="A163" s="47" t="s">
        <v>815</v>
      </c>
      <c r="B163" s="47"/>
      <c r="C163" s="47"/>
      <c r="D163" s="47"/>
      <c r="E163" s="47"/>
      <c r="F163" s="47"/>
    </row>
    <row r="164" spans="1:38" ht="21" customHeight="1" outlineLevel="3" x14ac:dyDescent="0.2">
      <c r="A164" s="2">
        <v>119</v>
      </c>
      <c r="B164" s="3" t="s">
        <v>816</v>
      </c>
      <c r="C164" s="49" t="s">
        <v>817</v>
      </c>
      <c r="D164" s="49"/>
      <c r="E164" s="49"/>
      <c r="F164" s="49"/>
      <c r="G164" s="4" t="s">
        <v>818</v>
      </c>
      <c r="H164" s="8"/>
      <c r="I164" s="9" t="s">
        <v>819</v>
      </c>
      <c r="J164" s="10"/>
      <c r="K164" s="11">
        <v>50</v>
      </c>
      <c r="L164" s="10"/>
      <c r="M164" s="10" t="s">
        <v>304</v>
      </c>
      <c r="N164" s="10"/>
      <c r="O164" s="2">
        <v>8</v>
      </c>
      <c r="P164" s="17">
        <f>83.7*(1-S3/100)</f>
        <v>83.7</v>
      </c>
      <c r="Q164" s="18"/>
      <c r="R164" s="10">
        <f>P164*Q164</f>
        <v>0</v>
      </c>
      <c r="S164" s="19">
        <f>0.072*Q164</f>
        <v>0</v>
      </c>
      <c r="T164" s="20">
        <f>0.00012*Q164</f>
        <v>0</v>
      </c>
      <c r="U164" s="21"/>
      <c r="V164" s="22" t="s">
        <v>820</v>
      </c>
      <c r="W164" s="22" t="s">
        <v>191</v>
      </c>
      <c r="X164" s="3"/>
      <c r="Y164" s="3"/>
      <c r="Z164" s="3"/>
      <c r="AA164" s="3" t="s">
        <v>821</v>
      </c>
      <c r="AB164" s="3"/>
      <c r="AC164" s="3" t="str">
        <f>HYPERLINK("https://knigipp.ru/api/getInfo/image/3b0b0d6e-45d8-11e7-977d-5cf3fc4a2490")</f>
        <v>https://knigipp.ru/api/getInfo/image/3b0b0d6e-45d8-11e7-977d-5cf3fc4a2490</v>
      </c>
      <c r="AD164" s="32">
        <v>8</v>
      </c>
      <c r="AE164" s="3"/>
      <c r="AF164" s="3" t="s">
        <v>136</v>
      </c>
      <c r="AG164" s="3"/>
      <c r="AH164" s="3" t="s">
        <v>56</v>
      </c>
      <c r="AI164" s="3"/>
      <c r="AJ164" s="3" t="s">
        <v>822</v>
      </c>
      <c r="AK164" s="3" t="str">
        <f>HYPERLINK("https://knigipp.ru/api/getInfo/item/3b0b0d6e-45d8-11e7-977d-5cf3fc4a2490")</f>
        <v>https://knigipp.ru/api/getInfo/item/3b0b0d6e-45d8-11e7-977d-5cf3fc4a2490</v>
      </c>
      <c r="AL164" s="3" t="s">
        <v>823</v>
      </c>
    </row>
    <row r="165" spans="1:38" ht="23.1" customHeight="1" outlineLevel="1" x14ac:dyDescent="0.2">
      <c r="A165" s="46" t="s">
        <v>824</v>
      </c>
      <c r="B165" s="46"/>
      <c r="C165" s="46"/>
      <c r="D165" s="46"/>
      <c r="E165" s="46"/>
      <c r="F165" s="46"/>
    </row>
    <row r="166" spans="1:38" ht="23.1" customHeight="1" outlineLevel="2" x14ac:dyDescent="0.2">
      <c r="A166" s="47" t="s">
        <v>825</v>
      </c>
      <c r="B166" s="47"/>
      <c r="C166" s="47"/>
      <c r="D166" s="47"/>
      <c r="E166" s="47"/>
      <c r="F166" s="47"/>
    </row>
    <row r="167" spans="1:38" ht="21" customHeight="1" outlineLevel="3" x14ac:dyDescent="0.2">
      <c r="A167" s="2">
        <v>120</v>
      </c>
      <c r="B167" s="3" t="s">
        <v>826</v>
      </c>
      <c r="C167" s="49" t="s">
        <v>827</v>
      </c>
      <c r="D167" s="49"/>
      <c r="E167" s="49"/>
      <c r="F167" s="49"/>
      <c r="G167" s="4" t="s">
        <v>828</v>
      </c>
      <c r="H167" s="8"/>
      <c r="I167" s="9" t="s">
        <v>829</v>
      </c>
      <c r="J167" s="10"/>
      <c r="K167" s="11">
        <v>20</v>
      </c>
      <c r="L167" s="10"/>
      <c r="M167" s="10" t="s">
        <v>47</v>
      </c>
      <c r="N167" s="10"/>
      <c r="O167" s="2">
        <v>2</v>
      </c>
      <c r="P167" s="17">
        <f>307*(1-S3/100)</f>
        <v>307</v>
      </c>
      <c r="Q167" s="18"/>
      <c r="R167" s="10">
        <f t="shared" ref="R167:R172" si="8">P167*Q167</f>
        <v>0</v>
      </c>
      <c r="S167" s="19">
        <f>0.164*Q167</f>
        <v>0</v>
      </c>
      <c r="T167" s="20">
        <f>0.00043*Q167</f>
        <v>0</v>
      </c>
      <c r="U167" s="21"/>
      <c r="V167" s="22" t="s">
        <v>830</v>
      </c>
      <c r="W167" s="22" t="s">
        <v>49</v>
      </c>
      <c r="X167" s="3" t="s">
        <v>117</v>
      </c>
      <c r="Y167" s="3" t="s">
        <v>831</v>
      </c>
      <c r="Z167" s="3" t="s">
        <v>52</v>
      </c>
      <c r="AA167" s="3"/>
      <c r="AB167" s="3"/>
      <c r="AC167" s="3" t="str">
        <f>HYPERLINK("https://knigipp.ru/api/getInfo/image/070cfd99-fdd3-11f0-a28e-00155d82e908")</f>
        <v>https://knigipp.ru/api/getInfo/image/070cfd99-fdd3-11f0-a28e-00155d82e908</v>
      </c>
      <c r="AD167" s="32">
        <v>10</v>
      </c>
      <c r="AE167" s="3" t="s">
        <v>54</v>
      </c>
      <c r="AF167" s="3" t="s">
        <v>209</v>
      </c>
      <c r="AG167" s="3"/>
      <c r="AH167" s="3" t="s">
        <v>56</v>
      </c>
      <c r="AI167" s="3"/>
      <c r="AJ167" s="3"/>
      <c r="AK167" s="3" t="str">
        <f>HYPERLINK("https://knigipp.ru/api/getInfo/item/070cfd99-fdd3-11f0-a28e-00155d82e908")</f>
        <v>https://knigipp.ru/api/getInfo/item/070cfd99-fdd3-11f0-a28e-00155d82e908</v>
      </c>
      <c r="AL167" s="3" t="s">
        <v>832</v>
      </c>
    </row>
    <row r="168" spans="1:38" ht="21" customHeight="1" outlineLevel="3" x14ac:dyDescent="0.2">
      <c r="A168" s="2">
        <v>121</v>
      </c>
      <c r="B168" s="3" t="s">
        <v>833</v>
      </c>
      <c r="C168" s="49" t="s">
        <v>834</v>
      </c>
      <c r="D168" s="49"/>
      <c r="E168" s="49"/>
      <c r="F168" s="49"/>
      <c r="G168" s="4" t="s">
        <v>835</v>
      </c>
      <c r="H168" s="8"/>
      <c r="I168" s="9" t="s">
        <v>829</v>
      </c>
      <c r="J168" s="10"/>
      <c r="K168" s="11">
        <v>20</v>
      </c>
      <c r="L168" s="10"/>
      <c r="M168" s="10" t="s">
        <v>47</v>
      </c>
      <c r="N168" s="10"/>
      <c r="O168" s="2">
        <v>2</v>
      </c>
      <c r="P168" s="17">
        <f>307*(1-S3/100)</f>
        <v>307</v>
      </c>
      <c r="Q168" s="18"/>
      <c r="R168" s="10">
        <f t="shared" si="8"/>
        <v>0</v>
      </c>
      <c r="S168" s="19">
        <f>0.166*Q168</f>
        <v>0</v>
      </c>
      <c r="T168" s="20">
        <f>0.00037*Q168</f>
        <v>0</v>
      </c>
      <c r="U168" s="21"/>
      <c r="V168" s="22" t="s">
        <v>836</v>
      </c>
      <c r="W168" s="22" t="s">
        <v>49</v>
      </c>
      <c r="X168" s="3" t="s">
        <v>837</v>
      </c>
      <c r="Y168" s="3" t="s">
        <v>838</v>
      </c>
      <c r="Z168" s="3" t="s">
        <v>52</v>
      </c>
      <c r="AA168" s="3"/>
      <c r="AB168" s="3"/>
      <c r="AC168" s="3" t="str">
        <f>HYPERLINK("https://knigipp.ru/api/getInfo/image/9a54531e-fdd2-11f0-a28e-00155d82e908")</f>
        <v>https://knigipp.ru/api/getInfo/image/9a54531e-fdd2-11f0-a28e-00155d82e908</v>
      </c>
      <c r="AD168" s="32">
        <v>10</v>
      </c>
      <c r="AE168" s="3" t="s">
        <v>54</v>
      </c>
      <c r="AF168" s="3" t="s">
        <v>209</v>
      </c>
      <c r="AG168" s="3"/>
      <c r="AH168" s="3" t="s">
        <v>56</v>
      </c>
      <c r="AI168" s="3"/>
      <c r="AJ168" s="3"/>
      <c r="AK168" s="3" t="str">
        <f>HYPERLINK("https://knigipp.ru/api/getInfo/item/9a54531e-fdd2-11f0-a28e-00155d82e908")</f>
        <v>https://knigipp.ru/api/getInfo/item/9a54531e-fdd2-11f0-a28e-00155d82e908</v>
      </c>
      <c r="AL168" s="3" t="s">
        <v>832</v>
      </c>
    </row>
    <row r="169" spans="1:38" ht="21" customHeight="1" outlineLevel="3" x14ac:dyDescent="0.2">
      <c r="A169" s="2">
        <v>122</v>
      </c>
      <c r="B169" s="3" t="s">
        <v>839</v>
      </c>
      <c r="C169" s="49" t="s">
        <v>840</v>
      </c>
      <c r="D169" s="49"/>
      <c r="E169" s="49"/>
      <c r="F169" s="49"/>
      <c r="G169" s="4" t="s">
        <v>841</v>
      </c>
      <c r="H169" s="8"/>
      <c r="I169" s="9" t="s">
        <v>829</v>
      </c>
      <c r="J169" s="10"/>
      <c r="K169" s="11">
        <v>20</v>
      </c>
      <c r="L169" s="10"/>
      <c r="M169" s="10" t="s">
        <v>47</v>
      </c>
      <c r="N169" s="10"/>
      <c r="O169" s="2">
        <v>2</v>
      </c>
      <c r="P169" s="17">
        <f>307*(1-S3/100)</f>
        <v>307</v>
      </c>
      <c r="Q169" s="18"/>
      <c r="R169" s="10">
        <f t="shared" si="8"/>
        <v>0</v>
      </c>
      <c r="S169" s="19">
        <f>0.166*Q169</f>
        <v>0</v>
      </c>
      <c r="T169" s="20">
        <f>0.00032*Q169</f>
        <v>0</v>
      </c>
      <c r="U169" s="21"/>
      <c r="V169" s="22" t="s">
        <v>842</v>
      </c>
      <c r="W169" s="22" t="s">
        <v>49</v>
      </c>
      <c r="X169" s="3" t="s">
        <v>837</v>
      </c>
      <c r="Y169" s="3" t="s">
        <v>843</v>
      </c>
      <c r="Z169" s="3" t="s">
        <v>52</v>
      </c>
      <c r="AA169" s="3"/>
      <c r="AB169" s="3"/>
      <c r="AC169" s="3" t="str">
        <f>HYPERLINK("https://knigipp.ru/api/getInfo/image/2fcb0c7a-fdd3-11f0-a28e-00155d82e908")</f>
        <v>https://knigipp.ru/api/getInfo/image/2fcb0c7a-fdd3-11f0-a28e-00155d82e908</v>
      </c>
      <c r="AD169" s="32">
        <v>10</v>
      </c>
      <c r="AE169" s="3" t="s">
        <v>54</v>
      </c>
      <c r="AF169" s="3" t="s">
        <v>209</v>
      </c>
      <c r="AG169" s="3"/>
      <c r="AH169" s="3" t="s">
        <v>56</v>
      </c>
      <c r="AI169" s="3"/>
      <c r="AJ169" s="3"/>
      <c r="AK169" s="3" t="str">
        <f>HYPERLINK("https://knigipp.ru/api/getInfo/item/2fcb0c7a-fdd3-11f0-a28e-00155d82e908")</f>
        <v>https://knigipp.ru/api/getInfo/item/2fcb0c7a-fdd3-11f0-a28e-00155d82e908</v>
      </c>
      <c r="AL169" s="3" t="s">
        <v>832</v>
      </c>
    </row>
    <row r="170" spans="1:38" ht="21" customHeight="1" outlineLevel="3" x14ac:dyDescent="0.2">
      <c r="A170" s="2">
        <v>123</v>
      </c>
      <c r="B170" s="3" t="s">
        <v>844</v>
      </c>
      <c r="C170" s="49" t="s">
        <v>845</v>
      </c>
      <c r="D170" s="49"/>
      <c r="E170" s="49"/>
      <c r="F170" s="49"/>
      <c r="G170" s="4" t="s">
        <v>846</v>
      </c>
      <c r="H170" s="8"/>
      <c r="I170" s="9" t="s">
        <v>829</v>
      </c>
      <c r="J170" s="10"/>
      <c r="K170" s="11">
        <v>20</v>
      </c>
      <c r="L170" s="10"/>
      <c r="M170" s="10" t="s">
        <v>78</v>
      </c>
      <c r="N170" s="10"/>
      <c r="O170" s="2">
        <v>2</v>
      </c>
      <c r="P170" s="17">
        <f>307*(1-S3/100)</f>
        <v>307</v>
      </c>
      <c r="Q170" s="18"/>
      <c r="R170" s="10">
        <f t="shared" si="8"/>
        <v>0</v>
      </c>
      <c r="S170" s="19">
        <f>0.182*Q170</f>
        <v>0</v>
      </c>
      <c r="T170" s="30">
        <f>0.0008*Q170</f>
        <v>0</v>
      </c>
      <c r="U170" s="21"/>
      <c r="V170" s="22" t="s">
        <v>847</v>
      </c>
      <c r="W170" s="22" t="s">
        <v>49</v>
      </c>
      <c r="X170" s="3" t="s">
        <v>319</v>
      </c>
      <c r="Y170" s="3" t="s">
        <v>848</v>
      </c>
      <c r="Z170" s="3" t="s">
        <v>52</v>
      </c>
      <c r="AA170" s="3"/>
      <c r="AB170" s="3"/>
      <c r="AC170" s="3" t="str">
        <f>HYPERLINK("https://knigipp.ru/api/getInfo/image/5c7e4c77-fdd3-11f0-a28e-00155d82e908")</f>
        <v>https://knigipp.ru/api/getInfo/image/5c7e4c77-fdd3-11f0-a28e-00155d82e908</v>
      </c>
      <c r="AD170" s="32">
        <v>10</v>
      </c>
      <c r="AE170" s="3" t="s">
        <v>54</v>
      </c>
      <c r="AF170" s="3" t="s">
        <v>209</v>
      </c>
      <c r="AG170" s="3"/>
      <c r="AH170" s="3" t="s">
        <v>56</v>
      </c>
      <c r="AI170" s="3"/>
      <c r="AJ170" s="3"/>
      <c r="AK170" s="3" t="str">
        <f>HYPERLINK("https://knigipp.ru/api/getInfo/item/5c7e4c77-fdd3-11f0-a28e-00155d82e908")</f>
        <v>https://knigipp.ru/api/getInfo/item/5c7e4c77-fdd3-11f0-a28e-00155d82e908</v>
      </c>
      <c r="AL170" s="3" t="s">
        <v>832</v>
      </c>
    </row>
    <row r="171" spans="1:38" ht="21" customHeight="1" outlineLevel="3" x14ac:dyDescent="0.2">
      <c r="A171" s="2">
        <v>124</v>
      </c>
      <c r="B171" s="3" t="s">
        <v>849</v>
      </c>
      <c r="C171" s="49" t="s">
        <v>850</v>
      </c>
      <c r="D171" s="49"/>
      <c r="E171" s="49"/>
      <c r="F171" s="49"/>
      <c r="G171" s="4" t="s">
        <v>851</v>
      </c>
      <c r="H171" s="8"/>
      <c r="I171" s="9" t="s">
        <v>829</v>
      </c>
      <c r="J171" s="10"/>
      <c r="K171" s="11">
        <v>20</v>
      </c>
      <c r="L171" s="10"/>
      <c r="M171" s="10" t="s">
        <v>47</v>
      </c>
      <c r="N171" s="10"/>
      <c r="O171" s="2">
        <v>2</v>
      </c>
      <c r="P171" s="17">
        <f>307*(1-S3/100)</f>
        <v>307</v>
      </c>
      <c r="Q171" s="18"/>
      <c r="R171" s="10">
        <f t="shared" si="8"/>
        <v>0</v>
      </c>
      <c r="S171" s="19">
        <f>0.164*Q171</f>
        <v>0</v>
      </c>
      <c r="T171" s="20">
        <f>0.00569*Q171</f>
        <v>0</v>
      </c>
      <c r="U171" s="21"/>
      <c r="V171" s="22" t="s">
        <v>852</v>
      </c>
      <c r="W171" s="22" t="s">
        <v>49</v>
      </c>
      <c r="X171" s="3" t="s">
        <v>837</v>
      </c>
      <c r="Y171" s="3" t="s">
        <v>853</v>
      </c>
      <c r="Z171" s="3" t="s">
        <v>52</v>
      </c>
      <c r="AA171" s="3"/>
      <c r="AB171" s="3"/>
      <c r="AC171" s="3" t="str">
        <f>HYPERLINK("https://knigipp.ru/api/getInfo/image/e677b827-fdd2-11f0-a28e-00155d82e908")</f>
        <v>https://knigipp.ru/api/getInfo/image/e677b827-fdd2-11f0-a28e-00155d82e908</v>
      </c>
      <c r="AD171" s="32">
        <v>10</v>
      </c>
      <c r="AE171" s="3" t="s">
        <v>54</v>
      </c>
      <c r="AF171" s="3" t="s">
        <v>209</v>
      </c>
      <c r="AG171" s="3"/>
      <c r="AH171" s="3" t="s">
        <v>56</v>
      </c>
      <c r="AI171" s="3"/>
      <c r="AJ171" s="3"/>
      <c r="AK171" s="3" t="str">
        <f>HYPERLINK("https://knigipp.ru/api/getInfo/item/e677b827-fdd2-11f0-a28e-00155d82e908")</f>
        <v>https://knigipp.ru/api/getInfo/item/e677b827-fdd2-11f0-a28e-00155d82e908</v>
      </c>
      <c r="AL171" s="3" t="s">
        <v>832</v>
      </c>
    </row>
    <row r="172" spans="1:38" ht="21" customHeight="1" outlineLevel="3" x14ac:dyDescent="0.2">
      <c r="A172" s="2">
        <v>125</v>
      </c>
      <c r="B172" s="3" t="s">
        <v>854</v>
      </c>
      <c r="C172" s="49" t="s">
        <v>855</v>
      </c>
      <c r="D172" s="49"/>
      <c r="E172" s="49"/>
      <c r="F172" s="49"/>
      <c r="G172" s="4" t="s">
        <v>856</v>
      </c>
      <c r="H172" s="8"/>
      <c r="I172" s="9" t="s">
        <v>829</v>
      </c>
      <c r="J172" s="10"/>
      <c r="K172" s="11">
        <v>20</v>
      </c>
      <c r="L172" s="10"/>
      <c r="M172" s="10" t="s">
        <v>47</v>
      </c>
      <c r="N172" s="10"/>
      <c r="O172" s="2">
        <v>2</v>
      </c>
      <c r="P172" s="17">
        <f>307*(1-S3/100)</f>
        <v>307</v>
      </c>
      <c r="Q172" s="18"/>
      <c r="R172" s="10">
        <f t="shared" si="8"/>
        <v>0</v>
      </c>
      <c r="S172" s="19">
        <f>0.162*Q172</f>
        <v>0</v>
      </c>
      <c r="T172" s="20">
        <f>0.00032*Q172</f>
        <v>0</v>
      </c>
      <c r="U172" s="21"/>
      <c r="V172" s="22" t="s">
        <v>857</v>
      </c>
      <c r="W172" s="22" t="s">
        <v>49</v>
      </c>
      <c r="X172" s="3"/>
      <c r="Y172" s="3" t="s">
        <v>858</v>
      </c>
      <c r="Z172" s="3" t="s">
        <v>52</v>
      </c>
      <c r="AA172" s="3"/>
      <c r="AB172" s="3"/>
      <c r="AC172" s="3" t="str">
        <f>HYPERLINK("https://knigipp.ru/api/getInfo/image/84bf6331-fdd3-11f0-a28e-00155d82e908")</f>
        <v>https://knigipp.ru/api/getInfo/image/84bf6331-fdd3-11f0-a28e-00155d82e908</v>
      </c>
      <c r="AD172" s="32">
        <v>10</v>
      </c>
      <c r="AE172" s="3" t="s">
        <v>54</v>
      </c>
      <c r="AF172" s="3" t="s">
        <v>209</v>
      </c>
      <c r="AG172" s="3"/>
      <c r="AH172" s="3" t="s">
        <v>56</v>
      </c>
      <c r="AI172" s="3"/>
      <c r="AJ172" s="3"/>
      <c r="AK172" s="3" t="str">
        <f>HYPERLINK("https://knigipp.ru/api/getInfo/item/84bf6331-fdd3-11f0-a28e-00155d82e908")</f>
        <v>https://knigipp.ru/api/getInfo/item/84bf6331-fdd3-11f0-a28e-00155d82e908</v>
      </c>
      <c r="AL172" s="3" t="s">
        <v>832</v>
      </c>
    </row>
    <row r="173" spans="1:38" ht="23.1" customHeight="1" outlineLevel="2" x14ac:dyDescent="0.2">
      <c r="A173" s="47" t="s">
        <v>859</v>
      </c>
      <c r="B173" s="47"/>
      <c r="C173" s="47"/>
      <c r="D173" s="47"/>
      <c r="E173" s="47"/>
      <c r="F173" s="47"/>
    </row>
    <row r="174" spans="1:38" ht="21" customHeight="1" outlineLevel="3" x14ac:dyDescent="0.2">
      <c r="A174" s="2">
        <v>126</v>
      </c>
      <c r="B174" s="3" t="s">
        <v>860</v>
      </c>
      <c r="C174" s="49" t="s">
        <v>861</v>
      </c>
      <c r="D174" s="49"/>
      <c r="E174" s="49"/>
      <c r="F174" s="49"/>
      <c r="G174" s="4" t="s">
        <v>862</v>
      </c>
      <c r="H174" s="8"/>
      <c r="I174" s="9" t="s">
        <v>863</v>
      </c>
      <c r="J174" s="10"/>
      <c r="K174" s="11">
        <v>40</v>
      </c>
      <c r="L174" s="10"/>
      <c r="M174" s="10" t="s">
        <v>47</v>
      </c>
      <c r="N174" s="10"/>
      <c r="O174" s="2">
        <v>4</v>
      </c>
      <c r="P174" s="17">
        <f>169*(1-S3/100)</f>
        <v>169</v>
      </c>
      <c r="Q174" s="18"/>
      <c r="R174" s="10">
        <f>P174*Q174</f>
        <v>0</v>
      </c>
      <c r="S174" s="19">
        <f>0.065*Q174</f>
        <v>0</v>
      </c>
      <c r="T174" s="20">
        <f>0.00018*Q174</f>
        <v>0</v>
      </c>
      <c r="U174" s="21"/>
      <c r="V174" s="22" t="s">
        <v>864</v>
      </c>
      <c r="W174" s="22" t="s">
        <v>49</v>
      </c>
      <c r="X174" s="3" t="s">
        <v>117</v>
      </c>
      <c r="Y174" s="3" t="s">
        <v>865</v>
      </c>
      <c r="Z174" s="3" t="s">
        <v>52</v>
      </c>
      <c r="AA174" s="3"/>
      <c r="AB174" s="3"/>
      <c r="AC174" s="3" t="str">
        <f>HYPERLINK("https://knigipp.ru/api/getInfo/image/ae7ad03d-13df-11f1-a28f-00155d82e908")</f>
        <v>https://knigipp.ru/api/getInfo/image/ae7ad03d-13df-11f1-a28f-00155d82e908</v>
      </c>
      <c r="AD174" s="32">
        <v>10</v>
      </c>
      <c r="AE174" s="3" t="s">
        <v>54</v>
      </c>
      <c r="AF174" s="3" t="s">
        <v>209</v>
      </c>
      <c r="AG174" s="3"/>
      <c r="AH174" s="3" t="s">
        <v>56</v>
      </c>
      <c r="AI174" s="3"/>
      <c r="AJ174" s="3"/>
      <c r="AK174" s="3" t="str">
        <f>HYPERLINK("https://knigipp.ru/api/getInfo/item/ae7ad03d-13df-11f1-a28f-00155d82e908")</f>
        <v>https://knigipp.ru/api/getInfo/item/ae7ad03d-13df-11f1-a28f-00155d82e908</v>
      </c>
      <c r="AL174" s="3" t="s">
        <v>866</v>
      </c>
    </row>
    <row r="175" spans="1:38" ht="21" customHeight="1" outlineLevel="3" x14ac:dyDescent="0.2">
      <c r="A175" s="2">
        <v>127</v>
      </c>
      <c r="B175" s="3" t="s">
        <v>867</v>
      </c>
      <c r="C175" s="49" t="s">
        <v>868</v>
      </c>
      <c r="D175" s="49"/>
      <c r="E175" s="49"/>
      <c r="F175" s="49"/>
      <c r="G175" s="4" t="s">
        <v>869</v>
      </c>
      <c r="H175" s="8"/>
      <c r="I175" s="9" t="s">
        <v>863</v>
      </c>
      <c r="J175" s="10"/>
      <c r="K175" s="11">
        <v>40</v>
      </c>
      <c r="L175" s="10"/>
      <c r="M175" s="10" t="s">
        <v>47</v>
      </c>
      <c r="N175" s="10"/>
      <c r="O175" s="2">
        <v>4</v>
      </c>
      <c r="P175" s="17">
        <f>169*(1-S3/100)</f>
        <v>169</v>
      </c>
      <c r="Q175" s="18"/>
      <c r="R175" s="10">
        <f>P175*Q175</f>
        <v>0</v>
      </c>
      <c r="S175" s="19">
        <f>0.067*Q175</f>
        <v>0</v>
      </c>
      <c r="T175" s="20">
        <f>0.00011*Q175</f>
        <v>0</v>
      </c>
      <c r="U175" s="21"/>
      <c r="V175" s="22" t="s">
        <v>870</v>
      </c>
      <c r="W175" s="22" t="s">
        <v>49</v>
      </c>
      <c r="X175" s="3" t="s">
        <v>117</v>
      </c>
      <c r="Y175" s="3" t="s">
        <v>871</v>
      </c>
      <c r="Z175" s="3" t="s">
        <v>52</v>
      </c>
      <c r="AA175" s="3"/>
      <c r="AB175" s="3"/>
      <c r="AC175" s="3" t="str">
        <f>HYPERLINK("https://knigipp.ru/api/getInfo/image/d4fcba43-13df-11f1-a28f-00155d82e908")</f>
        <v>https://knigipp.ru/api/getInfo/image/d4fcba43-13df-11f1-a28f-00155d82e908</v>
      </c>
      <c r="AD175" s="32">
        <v>10</v>
      </c>
      <c r="AE175" s="3" t="s">
        <v>54</v>
      </c>
      <c r="AF175" s="3" t="s">
        <v>209</v>
      </c>
      <c r="AG175" s="3"/>
      <c r="AH175" s="3" t="s">
        <v>56</v>
      </c>
      <c r="AI175" s="3"/>
      <c r="AJ175" s="3"/>
      <c r="AK175" s="3" t="str">
        <f>HYPERLINK("https://knigipp.ru/api/getInfo/item/d4fcba43-13df-11f1-a28f-00155d82e908")</f>
        <v>https://knigipp.ru/api/getInfo/item/d4fcba43-13df-11f1-a28f-00155d82e908</v>
      </c>
      <c r="AL175" s="3" t="s">
        <v>866</v>
      </c>
    </row>
    <row r="176" spans="1:38" ht="21" customHeight="1" outlineLevel="3" x14ac:dyDescent="0.2">
      <c r="A176" s="2">
        <v>128</v>
      </c>
      <c r="B176" s="3" t="s">
        <v>872</v>
      </c>
      <c r="C176" s="49" t="s">
        <v>873</v>
      </c>
      <c r="D176" s="49"/>
      <c r="E176" s="49"/>
      <c r="F176" s="49"/>
      <c r="G176" s="4" t="s">
        <v>874</v>
      </c>
      <c r="H176" s="8"/>
      <c r="I176" s="9" t="s">
        <v>863</v>
      </c>
      <c r="J176" s="10"/>
      <c r="K176" s="11">
        <v>40</v>
      </c>
      <c r="L176" s="10"/>
      <c r="M176" s="10" t="s">
        <v>47</v>
      </c>
      <c r="N176" s="10"/>
      <c r="O176" s="2">
        <v>4</v>
      </c>
      <c r="P176" s="17">
        <f>169*(1-S3/100)</f>
        <v>169</v>
      </c>
      <c r="Q176" s="18"/>
      <c r="R176" s="10">
        <f>P176*Q176</f>
        <v>0</v>
      </c>
      <c r="S176" s="19">
        <f>0.067*Q176</f>
        <v>0</v>
      </c>
      <c r="T176" s="20">
        <f>0.00011*Q176</f>
        <v>0</v>
      </c>
      <c r="U176" s="21"/>
      <c r="V176" s="22" t="s">
        <v>875</v>
      </c>
      <c r="W176" s="22" t="s">
        <v>49</v>
      </c>
      <c r="X176" s="3" t="s">
        <v>117</v>
      </c>
      <c r="Y176" s="3" t="s">
        <v>876</v>
      </c>
      <c r="Z176" s="3" t="s">
        <v>52</v>
      </c>
      <c r="AA176" s="3"/>
      <c r="AB176" s="3"/>
      <c r="AC176" s="3" t="str">
        <f>HYPERLINK("https://knigipp.ru/api/getInfo/image/374de081-13df-11f1-a28f-00155d82e908")</f>
        <v>https://knigipp.ru/api/getInfo/image/374de081-13df-11f1-a28f-00155d82e908</v>
      </c>
      <c r="AD176" s="32">
        <v>10</v>
      </c>
      <c r="AE176" s="3" t="s">
        <v>54</v>
      </c>
      <c r="AF176" s="3" t="s">
        <v>209</v>
      </c>
      <c r="AG176" s="3"/>
      <c r="AH176" s="3" t="s">
        <v>56</v>
      </c>
      <c r="AI176" s="3"/>
      <c r="AJ176" s="3"/>
      <c r="AK176" s="3" t="str">
        <f>HYPERLINK("https://knigipp.ru/api/getInfo/item/374de081-13df-11f1-a28f-00155d82e908")</f>
        <v>https://knigipp.ru/api/getInfo/item/374de081-13df-11f1-a28f-00155d82e908</v>
      </c>
      <c r="AL176" s="3" t="s">
        <v>866</v>
      </c>
    </row>
    <row r="177" spans="1:38" ht="21" customHeight="1" outlineLevel="3" x14ac:dyDescent="0.2">
      <c r="A177" s="2">
        <v>129</v>
      </c>
      <c r="B177" s="3" t="s">
        <v>877</v>
      </c>
      <c r="C177" s="49" t="s">
        <v>878</v>
      </c>
      <c r="D177" s="49"/>
      <c r="E177" s="49"/>
      <c r="F177" s="49"/>
      <c r="G177" s="4" t="s">
        <v>879</v>
      </c>
      <c r="H177" s="8"/>
      <c r="I177" s="9" t="s">
        <v>863</v>
      </c>
      <c r="J177" s="10"/>
      <c r="K177" s="11">
        <v>40</v>
      </c>
      <c r="L177" s="10"/>
      <c r="M177" s="10" t="s">
        <v>47</v>
      </c>
      <c r="N177" s="10"/>
      <c r="O177" s="2">
        <v>4</v>
      </c>
      <c r="P177" s="17">
        <f>169*(1-S3/100)</f>
        <v>169</v>
      </c>
      <c r="Q177" s="18"/>
      <c r="R177" s="10">
        <f>P177*Q177</f>
        <v>0</v>
      </c>
      <c r="S177" s="19">
        <f>0.067*Q177</f>
        <v>0</v>
      </c>
      <c r="T177" s="20">
        <f>0.00011*Q177</f>
        <v>0</v>
      </c>
      <c r="U177" s="21"/>
      <c r="V177" s="22" t="s">
        <v>880</v>
      </c>
      <c r="W177" s="22" t="s">
        <v>49</v>
      </c>
      <c r="X177" s="3" t="s">
        <v>117</v>
      </c>
      <c r="Y177" s="3" t="s">
        <v>881</v>
      </c>
      <c r="Z177" s="3" t="s">
        <v>52</v>
      </c>
      <c r="AA177" s="3"/>
      <c r="AB177" s="3"/>
      <c r="AC177" s="3" t="str">
        <f>HYPERLINK("https://knigipp.ru/api/getInfo/image/82904ca3-13df-11f1-a28f-00155d82e908")</f>
        <v>https://knigipp.ru/api/getInfo/image/82904ca3-13df-11f1-a28f-00155d82e908</v>
      </c>
      <c r="AD177" s="32">
        <v>10</v>
      </c>
      <c r="AE177" s="3" t="s">
        <v>54</v>
      </c>
      <c r="AF177" s="3" t="s">
        <v>209</v>
      </c>
      <c r="AG177" s="3"/>
      <c r="AH177" s="3" t="s">
        <v>56</v>
      </c>
      <c r="AI177" s="3"/>
      <c r="AJ177" s="3"/>
      <c r="AK177" s="3" t="str">
        <f>HYPERLINK("https://knigipp.ru/api/getInfo/item/82904ca3-13df-11f1-a28f-00155d82e908")</f>
        <v>https://knigipp.ru/api/getInfo/item/82904ca3-13df-11f1-a28f-00155d82e908</v>
      </c>
      <c r="AL177" s="3" t="s">
        <v>866</v>
      </c>
    </row>
    <row r="178" spans="1:38" ht="23.1" customHeight="1" outlineLevel="2" x14ac:dyDescent="0.2">
      <c r="A178" s="47" t="s">
        <v>882</v>
      </c>
      <c r="B178" s="47"/>
      <c r="C178" s="47"/>
      <c r="D178" s="47"/>
      <c r="E178" s="47"/>
      <c r="F178" s="47"/>
    </row>
    <row r="179" spans="1:38" ht="21" customHeight="1" outlineLevel="3" x14ac:dyDescent="0.2">
      <c r="A179" s="2">
        <v>130</v>
      </c>
      <c r="B179" s="3" t="s">
        <v>883</v>
      </c>
      <c r="C179" s="49" t="s">
        <v>884</v>
      </c>
      <c r="D179" s="49"/>
      <c r="E179" s="49"/>
      <c r="F179" s="49"/>
      <c r="G179" s="4" t="s">
        <v>885</v>
      </c>
      <c r="H179" s="8"/>
      <c r="I179" s="9" t="s">
        <v>886</v>
      </c>
      <c r="J179" s="10"/>
      <c r="K179" s="11">
        <v>40</v>
      </c>
      <c r="L179" s="10"/>
      <c r="M179" s="10" t="s">
        <v>47</v>
      </c>
      <c r="N179" s="10"/>
      <c r="O179" s="2">
        <v>4</v>
      </c>
      <c r="P179" s="17">
        <f>169*(1-S3/100)</f>
        <v>169</v>
      </c>
      <c r="Q179" s="18"/>
      <c r="R179" s="10">
        <f t="shared" ref="R179:R184" si="9">P179*Q179</f>
        <v>0</v>
      </c>
      <c r="S179" s="28">
        <f>0.11*Q179</f>
        <v>0</v>
      </c>
      <c r="T179" s="20">
        <f>0.00022*Q179</f>
        <v>0</v>
      </c>
      <c r="U179" s="21"/>
      <c r="V179" s="22" t="s">
        <v>887</v>
      </c>
      <c r="W179" s="22" t="s">
        <v>49</v>
      </c>
      <c r="X179" s="3"/>
      <c r="Y179" s="3" t="s">
        <v>888</v>
      </c>
      <c r="Z179" s="3" t="s">
        <v>52</v>
      </c>
      <c r="AA179" s="3"/>
      <c r="AB179" s="3"/>
      <c r="AC179" s="3" t="str">
        <f>HYPERLINK("https://knigipp.ru/api/getInfo/image/593810d2-8413-11f0-a284-00155d82e908")</f>
        <v>https://knigipp.ru/api/getInfo/image/593810d2-8413-11f0-a284-00155d82e908</v>
      </c>
      <c r="AD179" s="32">
        <v>10</v>
      </c>
      <c r="AE179" s="3" t="s">
        <v>54</v>
      </c>
      <c r="AF179" s="3" t="s">
        <v>209</v>
      </c>
      <c r="AG179" s="3"/>
      <c r="AH179" s="3" t="s">
        <v>56</v>
      </c>
      <c r="AI179" s="3"/>
      <c r="AJ179" s="3"/>
      <c r="AK179" s="3" t="str">
        <f>HYPERLINK("https://knigipp.ru/api/getInfo/item/593810d2-8413-11f0-a284-00155d82e908")</f>
        <v>https://knigipp.ru/api/getInfo/item/593810d2-8413-11f0-a284-00155d82e908</v>
      </c>
      <c r="AL179" s="3" t="s">
        <v>889</v>
      </c>
    </row>
    <row r="180" spans="1:38" ht="21" customHeight="1" outlineLevel="3" x14ac:dyDescent="0.2">
      <c r="A180" s="2">
        <v>131</v>
      </c>
      <c r="B180" s="3" t="s">
        <v>890</v>
      </c>
      <c r="C180" s="49" t="s">
        <v>891</v>
      </c>
      <c r="D180" s="49"/>
      <c r="E180" s="49"/>
      <c r="F180" s="49"/>
      <c r="G180" s="4" t="s">
        <v>892</v>
      </c>
      <c r="H180" s="8"/>
      <c r="I180" s="9" t="s">
        <v>886</v>
      </c>
      <c r="J180" s="10"/>
      <c r="K180" s="11">
        <v>40</v>
      </c>
      <c r="L180" s="10"/>
      <c r="M180" s="10" t="s">
        <v>47</v>
      </c>
      <c r="N180" s="10"/>
      <c r="O180" s="2">
        <v>4</v>
      </c>
      <c r="P180" s="17">
        <f>169*(1-S3/100)</f>
        <v>169</v>
      </c>
      <c r="Q180" s="18"/>
      <c r="R180" s="10">
        <f t="shared" si="9"/>
        <v>0</v>
      </c>
      <c r="S180" s="19">
        <f>0.117*Q180</f>
        <v>0</v>
      </c>
      <c r="T180" s="20">
        <f>0.00015*Q180</f>
        <v>0</v>
      </c>
      <c r="U180" s="21"/>
      <c r="V180" s="22" t="s">
        <v>893</v>
      </c>
      <c r="W180" s="22" t="s">
        <v>49</v>
      </c>
      <c r="X180" s="3"/>
      <c r="Y180" s="3" t="s">
        <v>894</v>
      </c>
      <c r="Z180" s="3" t="s">
        <v>52</v>
      </c>
      <c r="AA180" s="3"/>
      <c r="AB180" s="3"/>
      <c r="AC180" s="3" t="str">
        <f>HYPERLINK("https://knigipp.ru/api/getInfo/image/105b873e-8414-11f0-a284-00155d82e908")</f>
        <v>https://knigipp.ru/api/getInfo/image/105b873e-8414-11f0-a284-00155d82e908</v>
      </c>
      <c r="AD180" s="32">
        <v>10</v>
      </c>
      <c r="AE180" s="3" t="s">
        <v>54</v>
      </c>
      <c r="AF180" s="3" t="s">
        <v>209</v>
      </c>
      <c r="AG180" s="3"/>
      <c r="AH180" s="3" t="s">
        <v>56</v>
      </c>
      <c r="AI180" s="3"/>
      <c r="AJ180" s="3"/>
      <c r="AK180" s="3" t="str">
        <f>HYPERLINK("https://knigipp.ru/api/getInfo/item/105b873e-8414-11f0-a284-00155d82e908")</f>
        <v>https://knigipp.ru/api/getInfo/item/105b873e-8414-11f0-a284-00155d82e908</v>
      </c>
      <c r="AL180" s="3" t="s">
        <v>889</v>
      </c>
    </row>
    <row r="181" spans="1:38" ht="21" customHeight="1" outlineLevel="3" x14ac:dyDescent="0.2">
      <c r="A181" s="2">
        <v>132</v>
      </c>
      <c r="B181" s="3" t="s">
        <v>895</v>
      </c>
      <c r="C181" s="49" t="s">
        <v>896</v>
      </c>
      <c r="D181" s="49"/>
      <c r="E181" s="49"/>
      <c r="F181" s="49"/>
      <c r="G181" s="4" t="s">
        <v>897</v>
      </c>
      <c r="H181" s="8"/>
      <c r="I181" s="9" t="s">
        <v>886</v>
      </c>
      <c r="J181" s="10"/>
      <c r="K181" s="11">
        <v>40</v>
      </c>
      <c r="L181" s="10"/>
      <c r="M181" s="10" t="s">
        <v>78</v>
      </c>
      <c r="N181" s="10"/>
      <c r="O181" s="2">
        <v>4</v>
      </c>
      <c r="P181" s="17">
        <f>169*(1-S3/100)</f>
        <v>169</v>
      </c>
      <c r="Q181" s="18"/>
      <c r="R181" s="10">
        <f t="shared" si="9"/>
        <v>0</v>
      </c>
      <c r="S181" s="19">
        <f>0.101*Q181</f>
        <v>0</v>
      </c>
      <c r="T181" s="20">
        <f>0.00036*Q181</f>
        <v>0</v>
      </c>
      <c r="U181" s="21"/>
      <c r="V181" s="22" t="s">
        <v>898</v>
      </c>
      <c r="W181" s="22" t="s">
        <v>49</v>
      </c>
      <c r="X181" s="3"/>
      <c r="Y181" s="3" t="s">
        <v>899</v>
      </c>
      <c r="Z181" s="3" t="s">
        <v>52</v>
      </c>
      <c r="AA181" s="3"/>
      <c r="AB181" s="3"/>
      <c r="AC181" s="3" t="str">
        <f>HYPERLINK("https://knigipp.ru/api/getInfo/image/796c5004-8414-11f0-a284-00155d82e908")</f>
        <v>https://knigipp.ru/api/getInfo/image/796c5004-8414-11f0-a284-00155d82e908</v>
      </c>
      <c r="AD181" s="32">
        <v>10</v>
      </c>
      <c r="AE181" s="3" t="s">
        <v>54</v>
      </c>
      <c r="AF181" s="3" t="s">
        <v>209</v>
      </c>
      <c r="AG181" s="3"/>
      <c r="AH181" s="3" t="s">
        <v>56</v>
      </c>
      <c r="AI181" s="3"/>
      <c r="AJ181" s="3"/>
      <c r="AK181" s="3" t="str">
        <f>HYPERLINK("https://knigipp.ru/api/getInfo/item/796c5004-8414-11f0-a284-00155d82e908")</f>
        <v>https://knigipp.ru/api/getInfo/item/796c5004-8414-11f0-a284-00155d82e908</v>
      </c>
      <c r="AL181" s="3" t="s">
        <v>889</v>
      </c>
    </row>
    <row r="182" spans="1:38" ht="21" customHeight="1" outlineLevel="3" x14ac:dyDescent="0.2">
      <c r="A182" s="2">
        <v>133</v>
      </c>
      <c r="B182" s="3" t="s">
        <v>900</v>
      </c>
      <c r="C182" s="49" t="s">
        <v>901</v>
      </c>
      <c r="D182" s="49"/>
      <c r="E182" s="49"/>
      <c r="F182" s="49"/>
      <c r="G182" s="4" t="s">
        <v>902</v>
      </c>
      <c r="H182" s="8"/>
      <c r="I182" s="9" t="s">
        <v>886</v>
      </c>
      <c r="J182" s="10"/>
      <c r="K182" s="11">
        <v>40</v>
      </c>
      <c r="L182" s="10"/>
      <c r="M182" s="10" t="s">
        <v>78</v>
      </c>
      <c r="N182" s="10"/>
      <c r="O182" s="2">
        <v>4</v>
      </c>
      <c r="P182" s="17">
        <f>169*(1-S3/100)</f>
        <v>169</v>
      </c>
      <c r="Q182" s="18"/>
      <c r="R182" s="10">
        <f t="shared" si="9"/>
        <v>0</v>
      </c>
      <c r="S182" s="28">
        <f>0.11*Q182</f>
        <v>0</v>
      </c>
      <c r="T182" s="20">
        <f>0.00022*Q182</f>
        <v>0</v>
      </c>
      <c r="U182" s="21"/>
      <c r="V182" s="22" t="s">
        <v>903</v>
      </c>
      <c r="W182" s="22" t="s">
        <v>49</v>
      </c>
      <c r="X182" s="3"/>
      <c r="Y182" s="3" t="s">
        <v>904</v>
      </c>
      <c r="Z182" s="3" t="s">
        <v>52</v>
      </c>
      <c r="AA182" s="3"/>
      <c r="AB182" s="3"/>
      <c r="AC182" s="3" t="str">
        <f>HYPERLINK("https://knigipp.ru/api/getInfo/image/191a96e1-8413-11f0-a284-00155d82e908")</f>
        <v>https://knigipp.ru/api/getInfo/image/191a96e1-8413-11f0-a284-00155d82e908</v>
      </c>
      <c r="AD182" s="32">
        <v>10</v>
      </c>
      <c r="AE182" s="3" t="s">
        <v>54</v>
      </c>
      <c r="AF182" s="3" t="s">
        <v>209</v>
      </c>
      <c r="AG182" s="3"/>
      <c r="AH182" s="3" t="s">
        <v>56</v>
      </c>
      <c r="AI182" s="3"/>
      <c r="AJ182" s="3"/>
      <c r="AK182" s="3" t="str">
        <f>HYPERLINK("https://knigipp.ru/api/getInfo/item/191a96e1-8413-11f0-a284-00155d82e908")</f>
        <v>https://knigipp.ru/api/getInfo/item/191a96e1-8413-11f0-a284-00155d82e908</v>
      </c>
      <c r="AL182" s="3" t="s">
        <v>889</v>
      </c>
    </row>
    <row r="183" spans="1:38" ht="21" customHeight="1" outlineLevel="3" x14ac:dyDescent="0.2">
      <c r="A183" s="2">
        <v>134</v>
      </c>
      <c r="B183" s="3" t="s">
        <v>905</v>
      </c>
      <c r="C183" s="49" t="s">
        <v>906</v>
      </c>
      <c r="D183" s="49"/>
      <c r="E183" s="49"/>
      <c r="F183" s="49"/>
      <c r="G183" s="4" t="s">
        <v>907</v>
      </c>
      <c r="H183" s="8"/>
      <c r="I183" s="9" t="s">
        <v>886</v>
      </c>
      <c r="J183" s="10"/>
      <c r="K183" s="11">
        <v>40</v>
      </c>
      <c r="L183" s="10"/>
      <c r="M183" s="10" t="s">
        <v>47</v>
      </c>
      <c r="N183" s="10"/>
      <c r="O183" s="2">
        <v>4</v>
      </c>
      <c r="P183" s="17">
        <f>169*(1-S3/100)</f>
        <v>169</v>
      </c>
      <c r="Q183" s="18"/>
      <c r="R183" s="10">
        <f t="shared" si="9"/>
        <v>0</v>
      </c>
      <c r="S183" s="19">
        <f>0.098*Q183</f>
        <v>0</v>
      </c>
      <c r="T183" s="20">
        <f>0.00029*Q183</f>
        <v>0</v>
      </c>
      <c r="U183" s="21"/>
      <c r="V183" s="22" t="s">
        <v>908</v>
      </c>
      <c r="W183" s="22" t="s">
        <v>49</v>
      </c>
      <c r="X183" s="3"/>
      <c r="Y183" s="3" t="s">
        <v>909</v>
      </c>
      <c r="Z183" s="3" t="s">
        <v>52</v>
      </c>
      <c r="AA183" s="3"/>
      <c r="AB183" s="3"/>
      <c r="AC183" s="3" t="str">
        <f>HYPERLINK("https://knigipp.ru/api/getInfo/image/aedd94ca-8414-11f0-a284-00155d82e908")</f>
        <v>https://knigipp.ru/api/getInfo/image/aedd94ca-8414-11f0-a284-00155d82e908</v>
      </c>
      <c r="AD183" s="32">
        <v>10</v>
      </c>
      <c r="AE183" s="3" t="s">
        <v>54</v>
      </c>
      <c r="AF183" s="3" t="s">
        <v>209</v>
      </c>
      <c r="AG183" s="3"/>
      <c r="AH183" s="3" t="s">
        <v>56</v>
      </c>
      <c r="AI183" s="3"/>
      <c r="AJ183" s="3"/>
      <c r="AK183" s="3" t="str">
        <f>HYPERLINK("https://knigipp.ru/api/getInfo/item/aedd94ca-8414-11f0-a284-00155d82e908")</f>
        <v>https://knigipp.ru/api/getInfo/item/aedd94ca-8414-11f0-a284-00155d82e908</v>
      </c>
      <c r="AL183" s="3" t="s">
        <v>889</v>
      </c>
    </row>
    <row r="184" spans="1:38" ht="21" customHeight="1" outlineLevel="3" x14ac:dyDescent="0.2">
      <c r="A184" s="2">
        <v>135</v>
      </c>
      <c r="B184" s="3" t="s">
        <v>910</v>
      </c>
      <c r="C184" s="49" t="s">
        <v>911</v>
      </c>
      <c r="D184" s="49"/>
      <c r="E184" s="49"/>
      <c r="F184" s="49"/>
      <c r="G184" s="4" t="s">
        <v>912</v>
      </c>
      <c r="H184" s="8"/>
      <c r="I184" s="9" t="s">
        <v>886</v>
      </c>
      <c r="J184" s="10"/>
      <c r="K184" s="11">
        <v>40</v>
      </c>
      <c r="L184" s="10"/>
      <c r="M184" s="10" t="s">
        <v>47</v>
      </c>
      <c r="N184" s="10"/>
      <c r="O184" s="2">
        <v>4</v>
      </c>
      <c r="P184" s="17">
        <f>169*(1-S3/100)</f>
        <v>169</v>
      </c>
      <c r="Q184" s="18"/>
      <c r="R184" s="10">
        <f t="shared" si="9"/>
        <v>0</v>
      </c>
      <c r="S184" s="19">
        <f>0.117*Q184</f>
        <v>0</v>
      </c>
      <c r="T184" s="20">
        <f>0.00015*Q184</f>
        <v>0</v>
      </c>
      <c r="U184" s="21"/>
      <c r="V184" s="22" t="s">
        <v>913</v>
      </c>
      <c r="W184" s="22" t="s">
        <v>49</v>
      </c>
      <c r="X184" s="3" t="s">
        <v>319</v>
      </c>
      <c r="Y184" s="3" t="s">
        <v>914</v>
      </c>
      <c r="Z184" s="3" t="s">
        <v>52</v>
      </c>
      <c r="AA184" s="3"/>
      <c r="AB184" s="3"/>
      <c r="AC184" s="3" t="str">
        <f>HYPERLINK("https://knigipp.ru/api/getInfo/image/dca8916f-8413-11f0-a284-00155d82e908")</f>
        <v>https://knigipp.ru/api/getInfo/image/dca8916f-8413-11f0-a284-00155d82e908</v>
      </c>
      <c r="AD184" s="32">
        <v>10</v>
      </c>
      <c r="AE184" s="3" t="s">
        <v>54</v>
      </c>
      <c r="AF184" s="3" t="s">
        <v>209</v>
      </c>
      <c r="AG184" s="3"/>
      <c r="AH184" s="3" t="s">
        <v>56</v>
      </c>
      <c r="AI184" s="3"/>
      <c r="AJ184" s="3"/>
      <c r="AK184" s="3" t="str">
        <f>HYPERLINK("https://knigipp.ru/api/getInfo/item/dca8916f-8413-11f0-a284-00155d82e908")</f>
        <v>https://knigipp.ru/api/getInfo/item/dca8916f-8413-11f0-a284-00155d82e908</v>
      </c>
      <c r="AL184" s="3" t="s">
        <v>889</v>
      </c>
    </row>
    <row r="185" spans="1:38" ht="23.1" customHeight="1" outlineLevel="2" x14ac:dyDescent="0.2">
      <c r="A185" s="47" t="s">
        <v>915</v>
      </c>
      <c r="B185" s="47"/>
      <c r="C185" s="47"/>
      <c r="D185" s="47"/>
      <c r="E185" s="47"/>
      <c r="F185" s="47"/>
    </row>
    <row r="186" spans="1:38" ht="21" customHeight="1" outlineLevel="3" x14ac:dyDescent="0.2">
      <c r="A186" s="2">
        <v>136</v>
      </c>
      <c r="B186" s="3" t="s">
        <v>916</v>
      </c>
      <c r="C186" s="49" t="s">
        <v>917</v>
      </c>
      <c r="D186" s="49"/>
      <c r="E186" s="49"/>
      <c r="F186" s="49"/>
      <c r="G186" s="4" t="s">
        <v>918</v>
      </c>
      <c r="H186" s="8"/>
      <c r="I186" s="9" t="s">
        <v>919</v>
      </c>
      <c r="J186" s="10"/>
      <c r="K186" s="11">
        <v>20</v>
      </c>
      <c r="L186" s="10"/>
      <c r="M186" s="10" t="s">
        <v>47</v>
      </c>
      <c r="N186" s="10"/>
      <c r="O186" s="2">
        <v>3</v>
      </c>
      <c r="P186" s="17">
        <f>227*(1-S3/100)</f>
        <v>227</v>
      </c>
      <c r="Q186" s="18"/>
      <c r="R186" s="10">
        <f>P186*Q186</f>
        <v>0</v>
      </c>
      <c r="S186" s="19">
        <f>0.074*Q186</f>
        <v>0</v>
      </c>
      <c r="T186" s="20">
        <f>0.00015*Q186</f>
        <v>0</v>
      </c>
      <c r="U186" s="21"/>
      <c r="V186" s="22" t="s">
        <v>920</v>
      </c>
      <c r="W186" s="22" t="s">
        <v>49</v>
      </c>
      <c r="X186" s="3"/>
      <c r="Y186" s="3" t="s">
        <v>921</v>
      </c>
      <c r="Z186" s="3" t="s">
        <v>52</v>
      </c>
      <c r="AA186" s="3"/>
      <c r="AB186" s="3"/>
      <c r="AC186" s="3" t="str">
        <f>HYPERLINK("https://knigipp.ru/api/getInfo/image/8070cc51-55a4-11f0-a27e-00155d82e908")</f>
        <v>https://knigipp.ru/api/getInfo/image/8070cc51-55a4-11f0-a27e-00155d82e908</v>
      </c>
      <c r="AD186" s="32">
        <v>10</v>
      </c>
      <c r="AE186" s="3" t="s">
        <v>54</v>
      </c>
      <c r="AF186" s="3" t="s">
        <v>741</v>
      </c>
      <c r="AG186" s="3"/>
      <c r="AH186" s="3" t="s">
        <v>56</v>
      </c>
      <c r="AI186" s="3"/>
      <c r="AJ186" s="3"/>
      <c r="AK186" s="3" t="str">
        <f>HYPERLINK("https://knigipp.ru/api/getInfo/item/8070cc51-55a4-11f0-a27e-00155d82e908")</f>
        <v>https://knigipp.ru/api/getInfo/item/8070cc51-55a4-11f0-a27e-00155d82e908</v>
      </c>
      <c r="AL186" s="3" t="s">
        <v>922</v>
      </c>
    </row>
    <row r="187" spans="1:38" ht="21" customHeight="1" outlineLevel="3" x14ac:dyDescent="0.2">
      <c r="A187" s="2">
        <v>137</v>
      </c>
      <c r="B187" s="3" t="s">
        <v>923</v>
      </c>
      <c r="C187" s="49" t="s">
        <v>924</v>
      </c>
      <c r="D187" s="49"/>
      <c r="E187" s="49"/>
      <c r="F187" s="49"/>
      <c r="G187" s="4" t="s">
        <v>925</v>
      </c>
      <c r="H187" s="8"/>
      <c r="I187" s="9" t="s">
        <v>919</v>
      </c>
      <c r="J187" s="10"/>
      <c r="K187" s="11">
        <v>20</v>
      </c>
      <c r="L187" s="10"/>
      <c r="M187" s="10" t="s">
        <v>47</v>
      </c>
      <c r="N187" s="10"/>
      <c r="O187" s="2">
        <v>3</v>
      </c>
      <c r="P187" s="17">
        <f>227*(1-S3/100)</f>
        <v>227</v>
      </c>
      <c r="Q187" s="18"/>
      <c r="R187" s="10">
        <f>P187*Q187</f>
        <v>0</v>
      </c>
      <c r="S187" s="19">
        <f>0.069*Q187</f>
        <v>0</v>
      </c>
      <c r="T187" s="20">
        <f>0.00015*Q187</f>
        <v>0</v>
      </c>
      <c r="U187" s="21"/>
      <c r="V187" s="22" t="s">
        <v>926</v>
      </c>
      <c r="W187" s="22" t="s">
        <v>49</v>
      </c>
      <c r="X187" s="3"/>
      <c r="Y187" s="3" t="s">
        <v>927</v>
      </c>
      <c r="Z187" s="3" t="s">
        <v>52</v>
      </c>
      <c r="AA187" s="3"/>
      <c r="AB187" s="3"/>
      <c r="AC187" s="3" t="str">
        <f>HYPERLINK("https://knigipp.ru/api/getInfo/image/4cee86ef-55a4-11f0-a27e-00155d82e908")</f>
        <v>https://knigipp.ru/api/getInfo/image/4cee86ef-55a4-11f0-a27e-00155d82e908</v>
      </c>
      <c r="AD187" s="32">
        <v>10</v>
      </c>
      <c r="AE187" s="3" t="s">
        <v>54</v>
      </c>
      <c r="AF187" s="3" t="s">
        <v>741</v>
      </c>
      <c r="AG187" s="3"/>
      <c r="AH187" s="3" t="s">
        <v>56</v>
      </c>
      <c r="AI187" s="3"/>
      <c r="AJ187" s="3"/>
      <c r="AK187" s="3" t="str">
        <f>HYPERLINK("https://knigipp.ru/api/getInfo/item/4cee86ef-55a4-11f0-a27e-00155d82e908")</f>
        <v>https://knigipp.ru/api/getInfo/item/4cee86ef-55a4-11f0-a27e-00155d82e908</v>
      </c>
      <c r="AL187" s="3" t="s">
        <v>922</v>
      </c>
    </row>
    <row r="188" spans="1:38" ht="23.1" customHeight="1" outlineLevel="2" x14ac:dyDescent="0.2">
      <c r="A188" s="47" t="s">
        <v>928</v>
      </c>
      <c r="B188" s="47"/>
      <c r="C188" s="47"/>
      <c r="D188" s="47"/>
      <c r="E188" s="47"/>
      <c r="F188" s="47"/>
    </row>
    <row r="189" spans="1:38" ht="23.1" customHeight="1" outlineLevel="3" x14ac:dyDescent="0.2">
      <c r="A189" s="48" t="s">
        <v>929</v>
      </c>
      <c r="B189" s="48"/>
      <c r="C189" s="48"/>
      <c r="D189" s="48"/>
      <c r="E189" s="48"/>
      <c r="F189" s="48"/>
    </row>
    <row r="190" spans="1:38" ht="21" customHeight="1" outlineLevel="4" x14ac:dyDescent="0.2">
      <c r="A190" s="2">
        <v>138</v>
      </c>
      <c r="B190" s="3" t="s">
        <v>930</v>
      </c>
      <c r="C190" s="49" t="s">
        <v>931</v>
      </c>
      <c r="D190" s="49"/>
      <c r="E190" s="49"/>
      <c r="F190" s="49"/>
      <c r="G190" s="4" t="s">
        <v>932</v>
      </c>
      <c r="H190" s="8"/>
      <c r="I190" s="9" t="s">
        <v>933</v>
      </c>
      <c r="J190" s="10"/>
      <c r="K190" s="11">
        <v>50</v>
      </c>
      <c r="L190" s="10"/>
      <c r="M190" s="10" t="s">
        <v>304</v>
      </c>
      <c r="N190" s="10"/>
      <c r="O190" s="2">
        <v>10</v>
      </c>
      <c r="P190" s="17">
        <f>70.32*(1-S3/100)</f>
        <v>70.319999999999993</v>
      </c>
      <c r="Q190" s="18"/>
      <c r="R190" s="10">
        <f>P190*Q190</f>
        <v>0</v>
      </c>
      <c r="S190" s="28">
        <f>0.05*Q190</f>
        <v>0</v>
      </c>
      <c r="T190" s="20">
        <f>0.00011*Q190</f>
        <v>0</v>
      </c>
      <c r="U190" s="21"/>
      <c r="V190" s="22" t="s">
        <v>934</v>
      </c>
      <c r="W190" s="22" t="s">
        <v>49</v>
      </c>
      <c r="X190" s="3"/>
      <c r="Y190" s="3"/>
      <c r="Z190" s="3" t="s">
        <v>52</v>
      </c>
      <c r="AA190" s="3"/>
      <c r="AB190" s="3"/>
      <c r="AC190" s="3" t="str">
        <f>HYPERLINK("https://knigipp.ru/api/getInfo/image/968d4ba5-7783-11eb-a273-ac1f6b442184")</f>
        <v>https://knigipp.ru/api/getInfo/image/968d4ba5-7783-11eb-a273-ac1f6b442184</v>
      </c>
      <c r="AD190" s="32">
        <v>16</v>
      </c>
      <c r="AE190" s="3"/>
      <c r="AF190" s="3" t="s">
        <v>136</v>
      </c>
      <c r="AG190" s="3"/>
      <c r="AH190" s="3" t="s">
        <v>56</v>
      </c>
      <c r="AI190" s="3"/>
      <c r="AJ190" s="3"/>
      <c r="AK190" s="3" t="str">
        <f>HYPERLINK("https://knigipp.ru/api/getInfo/item/968d4ba5-7783-11eb-a273-ac1f6b442184")</f>
        <v>https://knigipp.ru/api/getInfo/item/968d4ba5-7783-11eb-a273-ac1f6b442184</v>
      </c>
      <c r="AL190" s="3" t="s">
        <v>935</v>
      </c>
    </row>
    <row r="191" spans="1:38" ht="21" customHeight="1" outlineLevel="4" x14ac:dyDescent="0.2">
      <c r="A191" s="2">
        <v>139</v>
      </c>
      <c r="B191" s="3" t="s">
        <v>936</v>
      </c>
      <c r="C191" s="49" t="s">
        <v>937</v>
      </c>
      <c r="D191" s="49"/>
      <c r="E191" s="49"/>
      <c r="F191" s="49"/>
      <c r="G191" s="4" t="s">
        <v>938</v>
      </c>
      <c r="H191" s="8"/>
      <c r="I191" s="9" t="s">
        <v>933</v>
      </c>
      <c r="J191" s="10"/>
      <c r="K191" s="11">
        <v>50</v>
      </c>
      <c r="L191" s="10"/>
      <c r="M191" s="10" t="s">
        <v>78</v>
      </c>
      <c r="N191" s="10"/>
      <c r="O191" s="2">
        <v>10</v>
      </c>
      <c r="P191" s="17">
        <f>70.32*(1-S3/100)</f>
        <v>70.319999999999993</v>
      </c>
      <c r="Q191" s="18"/>
      <c r="R191" s="10">
        <f>P191*Q191</f>
        <v>0</v>
      </c>
      <c r="S191" s="28">
        <f>0.05*Q191</f>
        <v>0</v>
      </c>
      <c r="T191" s="20">
        <f>0.00011*Q191</f>
        <v>0</v>
      </c>
      <c r="U191" s="21"/>
      <c r="V191" s="22" t="s">
        <v>939</v>
      </c>
      <c r="W191" s="22" t="s">
        <v>49</v>
      </c>
      <c r="X191" s="3"/>
      <c r="Y191" s="3"/>
      <c r="Z191" s="3" t="s">
        <v>52</v>
      </c>
      <c r="AA191" s="3"/>
      <c r="AB191" s="3"/>
      <c r="AC191" s="3" t="str">
        <f>HYPERLINK("https://knigipp.ru/api/getInfo/image/f56355cb-7783-11eb-a273-ac1f6b442184")</f>
        <v>https://knigipp.ru/api/getInfo/image/f56355cb-7783-11eb-a273-ac1f6b442184</v>
      </c>
      <c r="AD191" s="32">
        <v>16</v>
      </c>
      <c r="AE191" s="3"/>
      <c r="AF191" s="3" t="s">
        <v>136</v>
      </c>
      <c r="AG191" s="3"/>
      <c r="AH191" s="3" t="s">
        <v>56</v>
      </c>
      <c r="AI191" s="3"/>
      <c r="AJ191" s="3"/>
      <c r="AK191" s="3" t="str">
        <f>HYPERLINK("https://knigipp.ru/api/getInfo/item/f56355cb-7783-11eb-a273-ac1f6b442184")</f>
        <v>https://knigipp.ru/api/getInfo/item/f56355cb-7783-11eb-a273-ac1f6b442184</v>
      </c>
      <c r="AL191" s="3" t="s">
        <v>935</v>
      </c>
    </row>
    <row r="192" spans="1:38" ht="21" customHeight="1" outlineLevel="4" x14ac:dyDescent="0.2">
      <c r="A192" s="2">
        <v>140</v>
      </c>
      <c r="B192" s="3" t="s">
        <v>940</v>
      </c>
      <c r="C192" s="49" t="s">
        <v>941</v>
      </c>
      <c r="D192" s="49"/>
      <c r="E192" s="49"/>
      <c r="F192" s="49"/>
      <c r="G192" s="4" t="s">
        <v>942</v>
      </c>
      <c r="H192" s="8"/>
      <c r="I192" s="9" t="s">
        <v>933</v>
      </c>
      <c r="J192" s="10"/>
      <c r="K192" s="11">
        <v>50</v>
      </c>
      <c r="L192" s="10"/>
      <c r="M192" s="10" t="s">
        <v>78</v>
      </c>
      <c r="N192" s="10"/>
      <c r="O192" s="2">
        <v>10</v>
      </c>
      <c r="P192" s="17">
        <f>70.32*(1-S3/100)</f>
        <v>70.319999999999993</v>
      </c>
      <c r="Q192" s="18"/>
      <c r="R192" s="10">
        <f>P192*Q192</f>
        <v>0</v>
      </c>
      <c r="S192" s="28">
        <f>0.05*Q192</f>
        <v>0</v>
      </c>
      <c r="T192" s="20">
        <f>0.00011*Q192</f>
        <v>0</v>
      </c>
      <c r="U192" s="21"/>
      <c r="V192" s="22" t="s">
        <v>943</v>
      </c>
      <c r="W192" s="22" t="s">
        <v>49</v>
      </c>
      <c r="X192" s="3"/>
      <c r="Y192" s="3"/>
      <c r="Z192" s="3" t="s">
        <v>52</v>
      </c>
      <c r="AA192" s="3"/>
      <c r="AB192" s="3"/>
      <c r="AC192" s="3" t="str">
        <f>HYPERLINK("https://knigipp.ru/api/getInfo/image/18c815c8-7784-11eb-a273-ac1f6b442184")</f>
        <v>https://knigipp.ru/api/getInfo/image/18c815c8-7784-11eb-a273-ac1f6b442184</v>
      </c>
      <c r="AD192" s="32">
        <v>16</v>
      </c>
      <c r="AE192" s="3"/>
      <c r="AF192" s="3" t="s">
        <v>136</v>
      </c>
      <c r="AG192" s="3"/>
      <c r="AH192" s="3" t="s">
        <v>56</v>
      </c>
      <c r="AI192" s="3"/>
      <c r="AJ192" s="3"/>
      <c r="AK192" s="3" t="str">
        <f>HYPERLINK("https://knigipp.ru/api/getInfo/item/18c815c8-7784-11eb-a273-ac1f6b442184")</f>
        <v>https://knigipp.ru/api/getInfo/item/18c815c8-7784-11eb-a273-ac1f6b442184</v>
      </c>
      <c r="AL192" s="3" t="s">
        <v>935</v>
      </c>
    </row>
    <row r="193" spans="1:38" ht="23.1" customHeight="1" outlineLevel="2" x14ac:dyDescent="0.2">
      <c r="A193" s="47" t="s">
        <v>944</v>
      </c>
      <c r="B193" s="47"/>
      <c r="C193" s="47"/>
      <c r="D193" s="47"/>
      <c r="E193" s="47"/>
      <c r="F193" s="47"/>
    </row>
    <row r="194" spans="1:38" ht="23.1" customHeight="1" outlineLevel="3" x14ac:dyDescent="0.2">
      <c r="A194" s="48" t="s">
        <v>945</v>
      </c>
      <c r="B194" s="48"/>
      <c r="C194" s="48"/>
      <c r="D194" s="48"/>
      <c r="E194" s="48"/>
      <c r="F194" s="48"/>
    </row>
    <row r="195" spans="1:38" ht="21" customHeight="1" outlineLevel="4" x14ac:dyDescent="0.2">
      <c r="A195" s="2">
        <v>141</v>
      </c>
      <c r="B195" s="3" t="s">
        <v>946</v>
      </c>
      <c r="C195" s="49" t="s">
        <v>947</v>
      </c>
      <c r="D195" s="49"/>
      <c r="E195" s="49"/>
      <c r="F195" s="49"/>
      <c r="G195" s="4" t="s">
        <v>948</v>
      </c>
      <c r="H195" s="8"/>
      <c r="I195" s="9" t="s">
        <v>949</v>
      </c>
      <c r="J195" s="10"/>
      <c r="K195" s="11">
        <v>20</v>
      </c>
      <c r="L195" s="10"/>
      <c r="M195" s="10" t="s">
        <v>47</v>
      </c>
      <c r="N195" s="10"/>
      <c r="O195" s="2">
        <v>3</v>
      </c>
      <c r="P195" s="17">
        <f>249*(1-S3/100)</f>
        <v>249</v>
      </c>
      <c r="Q195" s="18"/>
      <c r="R195" s="10">
        <f>P195*Q195</f>
        <v>0</v>
      </c>
      <c r="S195" s="19">
        <f>0.064*Q195</f>
        <v>0</v>
      </c>
      <c r="T195" s="20">
        <f>0.00011*Q195</f>
        <v>0</v>
      </c>
      <c r="U195" s="21"/>
      <c r="V195" s="22" t="s">
        <v>950</v>
      </c>
      <c r="W195" s="22" t="s">
        <v>49</v>
      </c>
      <c r="X195" s="3" t="s">
        <v>269</v>
      </c>
      <c r="Y195" s="3" t="s">
        <v>951</v>
      </c>
      <c r="Z195" s="3" t="s">
        <v>52</v>
      </c>
      <c r="AA195" s="3"/>
      <c r="AB195" s="3"/>
      <c r="AC195" s="3" t="str">
        <f>HYPERLINK("https://knigipp.ru/api/getInfo/image/d929e0a8-354b-11ef-a261-00155d82e908")</f>
        <v>https://knigipp.ru/api/getInfo/image/d929e0a8-354b-11ef-a261-00155d82e908</v>
      </c>
      <c r="AD195" s="32">
        <v>10</v>
      </c>
      <c r="AE195" s="3" t="s">
        <v>54</v>
      </c>
      <c r="AF195" s="3" t="s">
        <v>209</v>
      </c>
      <c r="AG195" s="3"/>
      <c r="AH195" s="3" t="s">
        <v>56</v>
      </c>
      <c r="AI195" s="3"/>
      <c r="AJ195" s="3"/>
      <c r="AK195" s="3" t="str">
        <f>HYPERLINK("https://knigipp.ru/api/getInfo/item/d929e0a8-354b-11ef-a261-00155d82e908")</f>
        <v>https://knigipp.ru/api/getInfo/item/d929e0a8-354b-11ef-a261-00155d82e908</v>
      </c>
      <c r="AL195" s="3" t="s">
        <v>952</v>
      </c>
    </row>
    <row r="196" spans="1:38" ht="21" customHeight="1" outlineLevel="4" x14ac:dyDescent="0.2">
      <c r="A196" s="2">
        <v>142</v>
      </c>
      <c r="B196" s="3" t="s">
        <v>953</v>
      </c>
      <c r="C196" s="49" t="s">
        <v>954</v>
      </c>
      <c r="D196" s="49"/>
      <c r="E196" s="49"/>
      <c r="F196" s="49"/>
      <c r="G196" s="4" t="s">
        <v>955</v>
      </c>
      <c r="H196" s="8"/>
      <c r="I196" s="9" t="s">
        <v>949</v>
      </c>
      <c r="J196" s="10"/>
      <c r="K196" s="11">
        <v>20</v>
      </c>
      <c r="L196" s="10"/>
      <c r="M196" s="10" t="s">
        <v>47</v>
      </c>
      <c r="N196" s="10"/>
      <c r="O196" s="2">
        <v>3</v>
      </c>
      <c r="P196" s="17">
        <f>249*(1-S3/100)</f>
        <v>249</v>
      </c>
      <c r="Q196" s="18"/>
      <c r="R196" s="10">
        <f>P196*Q196</f>
        <v>0</v>
      </c>
      <c r="S196" s="19">
        <f>0.064*Q196</f>
        <v>0</v>
      </c>
      <c r="T196" s="20">
        <f>0.00011*Q196</f>
        <v>0</v>
      </c>
      <c r="U196" s="21"/>
      <c r="V196" s="22" t="s">
        <v>956</v>
      </c>
      <c r="W196" s="22" t="s">
        <v>49</v>
      </c>
      <c r="X196" s="3" t="s">
        <v>117</v>
      </c>
      <c r="Y196" s="3" t="s">
        <v>957</v>
      </c>
      <c r="Z196" s="3" t="s">
        <v>52</v>
      </c>
      <c r="AA196" s="3"/>
      <c r="AB196" s="3"/>
      <c r="AC196" s="3" t="str">
        <f>HYPERLINK("https://knigipp.ru/api/getInfo/image/fcd2fbb5-354b-11ef-a261-00155d82e908")</f>
        <v>https://knigipp.ru/api/getInfo/image/fcd2fbb5-354b-11ef-a261-00155d82e908</v>
      </c>
      <c r="AD196" s="32">
        <v>10</v>
      </c>
      <c r="AE196" s="3" t="s">
        <v>54</v>
      </c>
      <c r="AF196" s="3" t="s">
        <v>209</v>
      </c>
      <c r="AG196" s="3"/>
      <c r="AH196" s="3" t="s">
        <v>56</v>
      </c>
      <c r="AI196" s="3"/>
      <c r="AJ196" s="3"/>
      <c r="AK196" s="3" t="str">
        <f>HYPERLINK("https://knigipp.ru/api/getInfo/item/fcd2fbb5-354b-11ef-a261-00155d82e908")</f>
        <v>https://knigipp.ru/api/getInfo/item/fcd2fbb5-354b-11ef-a261-00155d82e908</v>
      </c>
      <c r="AL196" s="3" t="s">
        <v>952</v>
      </c>
    </row>
    <row r="197" spans="1:38" ht="21" customHeight="1" outlineLevel="4" x14ac:dyDescent="0.2">
      <c r="A197" s="2">
        <v>143</v>
      </c>
      <c r="B197" s="3" t="s">
        <v>958</v>
      </c>
      <c r="C197" s="49" t="s">
        <v>959</v>
      </c>
      <c r="D197" s="49"/>
      <c r="E197" s="49"/>
      <c r="F197" s="49"/>
      <c r="G197" s="4" t="s">
        <v>960</v>
      </c>
      <c r="H197" s="8"/>
      <c r="I197" s="9" t="s">
        <v>949</v>
      </c>
      <c r="J197" s="10"/>
      <c r="K197" s="11">
        <v>20</v>
      </c>
      <c r="L197" s="10"/>
      <c r="M197" s="10" t="s">
        <v>47</v>
      </c>
      <c r="N197" s="10"/>
      <c r="O197" s="2">
        <v>3</v>
      </c>
      <c r="P197" s="17">
        <f>249*(1-S3/100)</f>
        <v>249</v>
      </c>
      <c r="Q197" s="18"/>
      <c r="R197" s="10">
        <f>P197*Q197</f>
        <v>0</v>
      </c>
      <c r="S197" s="19">
        <f>0.064*Q197</f>
        <v>0</v>
      </c>
      <c r="T197" s="20">
        <f>0.00011*Q197</f>
        <v>0</v>
      </c>
      <c r="U197" s="21"/>
      <c r="V197" s="22" t="s">
        <v>961</v>
      </c>
      <c r="W197" s="22" t="s">
        <v>49</v>
      </c>
      <c r="X197" s="3"/>
      <c r="Y197" s="3" t="s">
        <v>962</v>
      </c>
      <c r="Z197" s="3" t="s">
        <v>52</v>
      </c>
      <c r="AA197" s="3"/>
      <c r="AB197" s="3"/>
      <c r="AC197" s="3" t="str">
        <f>HYPERLINK("https://knigipp.ru/api/getInfo/image/1a1af0d6-354c-11ef-a261-00155d82e908")</f>
        <v>https://knigipp.ru/api/getInfo/image/1a1af0d6-354c-11ef-a261-00155d82e908</v>
      </c>
      <c r="AD197" s="32">
        <v>10</v>
      </c>
      <c r="AE197" s="3" t="s">
        <v>54</v>
      </c>
      <c r="AF197" s="3" t="s">
        <v>209</v>
      </c>
      <c r="AG197" s="3"/>
      <c r="AH197" s="3" t="s">
        <v>56</v>
      </c>
      <c r="AI197" s="3"/>
      <c r="AJ197" s="3"/>
      <c r="AK197" s="3" t="str">
        <f>HYPERLINK("https://knigipp.ru/api/getInfo/item/1a1af0d6-354c-11ef-a261-00155d82e908")</f>
        <v>https://knigipp.ru/api/getInfo/item/1a1af0d6-354c-11ef-a261-00155d82e908</v>
      </c>
      <c r="AL197" s="3" t="s">
        <v>952</v>
      </c>
    </row>
    <row r="198" spans="1:38" ht="21" customHeight="1" outlineLevel="4" x14ac:dyDescent="0.2">
      <c r="A198" s="2">
        <v>144</v>
      </c>
      <c r="B198" s="3" t="s">
        <v>963</v>
      </c>
      <c r="C198" s="49" t="s">
        <v>964</v>
      </c>
      <c r="D198" s="49"/>
      <c r="E198" s="49"/>
      <c r="F198" s="49"/>
      <c r="G198" s="4" t="s">
        <v>965</v>
      </c>
      <c r="H198" s="8"/>
      <c r="I198" s="9" t="s">
        <v>949</v>
      </c>
      <c r="J198" s="10"/>
      <c r="K198" s="11">
        <v>20</v>
      </c>
      <c r="L198" s="10"/>
      <c r="M198" s="10" t="s">
        <v>47</v>
      </c>
      <c r="N198" s="10"/>
      <c r="O198" s="2">
        <v>3</v>
      </c>
      <c r="P198" s="17">
        <f>249*(1-S3/100)</f>
        <v>249</v>
      </c>
      <c r="Q198" s="18"/>
      <c r="R198" s="10">
        <f>P198*Q198</f>
        <v>0</v>
      </c>
      <c r="S198" s="19">
        <f>0.064*Q198</f>
        <v>0</v>
      </c>
      <c r="T198" s="20">
        <f>0.00011*Q198</f>
        <v>0</v>
      </c>
      <c r="U198" s="21"/>
      <c r="V198" s="22" t="s">
        <v>966</v>
      </c>
      <c r="W198" s="22" t="s">
        <v>49</v>
      </c>
      <c r="X198" s="3" t="s">
        <v>117</v>
      </c>
      <c r="Y198" s="3" t="s">
        <v>967</v>
      </c>
      <c r="Z198" s="3" t="s">
        <v>52</v>
      </c>
      <c r="AA198" s="3"/>
      <c r="AB198" s="3"/>
      <c r="AC198" s="3" t="str">
        <f>HYPERLINK("https://knigipp.ru/api/getInfo/image/3422d2e4-354c-11ef-a261-00155d82e908")</f>
        <v>https://knigipp.ru/api/getInfo/image/3422d2e4-354c-11ef-a261-00155d82e908</v>
      </c>
      <c r="AD198" s="32">
        <v>10</v>
      </c>
      <c r="AE198" s="3" t="s">
        <v>54</v>
      </c>
      <c r="AF198" s="3" t="s">
        <v>209</v>
      </c>
      <c r="AG198" s="3"/>
      <c r="AH198" s="3" t="s">
        <v>56</v>
      </c>
      <c r="AI198" s="3"/>
      <c r="AJ198" s="3"/>
      <c r="AK198" s="3" t="str">
        <f>HYPERLINK("https://knigipp.ru/api/getInfo/item/3422d2e4-354c-11ef-a261-00155d82e908")</f>
        <v>https://knigipp.ru/api/getInfo/item/3422d2e4-354c-11ef-a261-00155d82e908</v>
      </c>
      <c r="AL198" s="3" t="s">
        <v>952</v>
      </c>
    </row>
    <row r="199" spans="1:38" ht="23.1" customHeight="1" outlineLevel="3" x14ac:dyDescent="0.2">
      <c r="A199" s="48" t="s">
        <v>968</v>
      </c>
      <c r="B199" s="48"/>
      <c r="C199" s="48"/>
      <c r="D199" s="48"/>
      <c r="E199" s="48"/>
      <c r="F199" s="48"/>
    </row>
    <row r="200" spans="1:38" ht="21" customHeight="1" outlineLevel="4" x14ac:dyDescent="0.2">
      <c r="A200" s="2">
        <v>145</v>
      </c>
      <c r="B200" s="3" t="s">
        <v>969</v>
      </c>
      <c r="C200" s="49" t="s">
        <v>970</v>
      </c>
      <c r="D200" s="49"/>
      <c r="E200" s="49"/>
      <c r="F200" s="49"/>
      <c r="G200" s="4" t="s">
        <v>971</v>
      </c>
      <c r="H200" s="8"/>
      <c r="I200" s="9" t="s">
        <v>972</v>
      </c>
      <c r="J200" s="10"/>
      <c r="K200" s="11">
        <v>20</v>
      </c>
      <c r="L200" s="10"/>
      <c r="M200" s="10" t="s">
        <v>47</v>
      </c>
      <c r="N200" s="10"/>
      <c r="O200" s="2">
        <v>1</v>
      </c>
      <c r="P200" s="17">
        <f>497*(1-S3/100)</f>
        <v>497</v>
      </c>
      <c r="Q200" s="18"/>
      <c r="R200" s="10">
        <f>P200*Q200</f>
        <v>0</v>
      </c>
      <c r="S200" s="19">
        <f>0.243*Q200</f>
        <v>0</v>
      </c>
      <c r="T200" s="20">
        <f>0.00027*Q200</f>
        <v>0</v>
      </c>
      <c r="U200" s="21"/>
      <c r="V200" s="22" t="s">
        <v>973</v>
      </c>
      <c r="W200" s="22" t="s">
        <v>49</v>
      </c>
      <c r="X200" s="3" t="s">
        <v>974</v>
      </c>
      <c r="Y200" s="3" t="s">
        <v>975</v>
      </c>
      <c r="Z200" s="3" t="s">
        <v>52</v>
      </c>
      <c r="AA200" s="3"/>
      <c r="AB200" s="3"/>
      <c r="AC200" s="3" t="str">
        <f>HYPERLINK("https://knigipp.ru/api/getInfo/image/eb73c12a-f5d3-11ef-a274-00155d82e908")</f>
        <v>https://knigipp.ru/api/getInfo/image/eb73c12a-f5d3-11ef-a274-00155d82e908</v>
      </c>
      <c r="AD200" s="32">
        <v>80</v>
      </c>
      <c r="AE200" s="3" t="s">
        <v>54</v>
      </c>
      <c r="AF200" s="3" t="s">
        <v>127</v>
      </c>
      <c r="AG200" s="3"/>
      <c r="AH200" s="3" t="s">
        <v>56</v>
      </c>
      <c r="AI200" s="3"/>
      <c r="AJ200" s="3"/>
      <c r="AK200" s="3" t="str">
        <f>HYPERLINK("https://knigipp.ru/api/getInfo/item/eb73c12a-f5d3-11ef-a274-00155d82e908")</f>
        <v>https://knigipp.ru/api/getInfo/item/eb73c12a-f5d3-11ef-a274-00155d82e908</v>
      </c>
      <c r="AL200" s="3" t="s">
        <v>976</v>
      </c>
    </row>
    <row r="201" spans="1:38" ht="21" customHeight="1" outlineLevel="4" x14ac:dyDescent="0.2">
      <c r="A201" s="2">
        <v>146</v>
      </c>
      <c r="B201" s="3" t="s">
        <v>977</v>
      </c>
      <c r="C201" s="49" t="s">
        <v>978</v>
      </c>
      <c r="D201" s="49"/>
      <c r="E201" s="49"/>
      <c r="F201" s="49"/>
      <c r="G201" s="4" t="s">
        <v>979</v>
      </c>
      <c r="H201" s="8"/>
      <c r="I201" s="9" t="s">
        <v>980</v>
      </c>
      <c r="J201" s="10"/>
      <c r="K201" s="11">
        <v>20</v>
      </c>
      <c r="L201" s="10"/>
      <c r="M201" s="10" t="s">
        <v>47</v>
      </c>
      <c r="N201" s="10"/>
      <c r="O201" s="2">
        <v>1</v>
      </c>
      <c r="P201" s="17">
        <f>497*(1-S3/100)</f>
        <v>497</v>
      </c>
      <c r="Q201" s="18"/>
      <c r="R201" s="10">
        <f>P201*Q201</f>
        <v>0</v>
      </c>
      <c r="S201" s="19">
        <f>0.258*Q201</f>
        <v>0</v>
      </c>
      <c r="T201" s="30">
        <f>0.0005*Q201</f>
        <v>0</v>
      </c>
      <c r="U201" s="21"/>
      <c r="V201" s="22" t="s">
        <v>981</v>
      </c>
      <c r="W201" s="22" t="s">
        <v>49</v>
      </c>
      <c r="X201" s="3" t="s">
        <v>982</v>
      </c>
      <c r="Y201" s="3" t="s">
        <v>983</v>
      </c>
      <c r="Z201" s="3" t="s">
        <v>52</v>
      </c>
      <c r="AA201" s="3" t="s">
        <v>984</v>
      </c>
      <c r="AB201" s="3"/>
      <c r="AC201" s="3" t="str">
        <f>HYPERLINK("https://knigipp.ru/api/getInfo/image/59d3e21d-7fd6-11ef-a265-00155d82e908")</f>
        <v>https://knigipp.ru/api/getInfo/image/59d3e21d-7fd6-11ef-a265-00155d82e908</v>
      </c>
      <c r="AD201" s="32">
        <v>128</v>
      </c>
      <c r="AE201" s="3" t="s">
        <v>54</v>
      </c>
      <c r="AF201" s="3" t="s">
        <v>127</v>
      </c>
      <c r="AG201" s="3"/>
      <c r="AH201" s="3" t="s">
        <v>56</v>
      </c>
      <c r="AI201" s="3"/>
      <c r="AJ201" s="3"/>
      <c r="AK201" s="3" t="str">
        <f>HYPERLINK("https://knigipp.ru/api/getInfo/item/59d3e21d-7fd6-11ef-a265-00155d82e908")</f>
        <v>https://knigipp.ru/api/getInfo/item/59d3e21d-7fd6-11ef-a265-00155d82e908</v>
      </c>
      <c r="AL201" s="3" t="s">
        <v>985</v>
      </c>
    </row>
    <row r="202" spans="1:38" ht="21" customHeight="1" outlineLevel="4" x14ac:dyDescent="0.2">
      <c r="A202" s="2">
        <v>147</v>
      </c>
      <c r="B202" s="3" t="s">
        <v>986</v>
      </c>
      <c r="C202" s="49" t="s">
        <v>987</v>
      </c>
      <c r="D202" s="49"/>
      <c r="E202" s="49"/>
      <c r="F202" s="49"/>
      <c r="G202" s="4" t="s">
        <v>988</v>
      </c>
      <c r="H202" s="8"/>
      <c r="I202" s="9" t="s">
        <v>989</v>
      </c>
      <c r="J202" s="10"/>
      <c r="K202" s="11">
        <v>20</v>
      </c>
      <c r="L202" s="10"/>
      <c r="M202" s="10" t="s">
        <v>47</v>
      </c>
      <c r="N202" s="10"/>
      <c r="O202" s="2">
        <v>1</v>
      </c>
      <c r="P202" s="17">
        <f>497*(1-S3/100)</f>
        <v>497</v>
      </c>
      <c r="Q202" s="18"/>
      <c r="R202" s="10">
        <f>P202*Q202</f>
        <v>0</v>
      </c>
      <c r="S202" s="19">
        <f>0.233*Q202</f>
        <v>0</v>
      </c>
      <c r="T202" s="20">
        <f>0.00016*Q202</f>
        <v>0</v>
      </c>
      <c r="U202" s="21"/>
      <c r="V202" s="22" t="s">
        <v>990</v>
      </c>
      <c r="W202" s="22" t="s">
        <v>49</v>
      </c>
      <c r="X202" s="3" t="s">
        <v>991</v>
      </c>
      <c r="Y202" s="3" t="s">
        <v>992</v>
      </c>
      <c r="Z202" s="3" t="s">
        <v>52</v>
      </c>
      <c r="AA202" s="3" t="s">
        <v>993</v>
      </c>
      <c r="AB202" s="3"/>
      <c r="AC202" s="3" t="str">
        <f>HYPERLINK("https://knigipp.ru/api/getInfo/image/7ad51727-7fd3-11ef-a265-00155d82e908")</f>
        <v>https://knigipp.ru/api/getInfo/image/7ad51727-7fd3-11ef-a265-00155d82e908</v>
      </c>
      <c r="AD202" s="32">
        <v>128</v>
      </c>
      <c r="AE202" s="3" t="s">
        <v>54</v>
      </c>
      <c r="AF202" s="3" t="s">
        <v>127</v>
      </c>
      <c r="AG202" s="3"/>
      <c r="AH202" s="3" t="s">
        <v>56</v>
      </c>
      <c r="AI202" s="3"/>
      <c r="AJ202" s="3"/>
      <c r="AK202" s="3" t="str">
        <f>HYPERLINK("https://knigipp.ru/api/getInfo/item/7ad51727-7fd3-11ef-a265-00155d82e908")</f>
        <v>https://knigipp.ru/api/getInfo/item/7ad51727-7fd3-11ef-a265-00155d82e908</v>
      </c>
      <c r="AL202" s="3" t="s">
        <v>985</v>
      </c>
    </row>
    <row r="203" spans="1:38" ht="21" customHeight="1" outlineLevel="4" x14ac:dyDescent="0.2">
      <c r="A203" s="2">
        <v>148</v>
      </c>
      <c r="B203" s="3" t="s">
        <v>994</v>
      </c>
      <c r="C203" s="49" t="s">
        <v>995</v>
      </c>
      <c r="D203" s="49"/>
      <c r="E203" s="49"/>
      <c r="F203" s="49"/>
      <c r="G203" s="4" t="s">
        <v>996</v>
      </c>
      <c r="H203" s="8"/>
      <c r="I203" s="9" t="s">
        <v>997</v>
      </c>
      <c r="J203" s="10"/>
      <c r="K203" s="11">
        <v>20</v>
      </c>
      <c r="L203" s="10"/>
      <c r="M203" s="10" t="s">
        <v>47</v>
      </c>
      <c r="N203" s="10"/>
      <c r="O203" s="2">
        <v>1</v>
      </c>
      <c r="P203" s="17">
        <f>497*(1-S3/100)</f>
        <v>497</v>
      </c>
      <c r="Q203" s="18"/>
      <c r="R203" s="10">
        <f>P203*Q203</f>
        <v>0</v>
      </c>
      <c r="S203" s="19">
        <f>0.235*Q203</f>
        <v>0</v>
      </c>
      <c r="T203" s="20">
        <f>0.00027*Q203</f>
        <v>0</v>
      </c>
      <c r="U203" s="21"/>
      <c r="V203" s="22" t="s">
        <v>998</v>
      </c>
      <c r="W203" s="22" t="s">
        <v>49</v>
      </c>
      <c r="X203" s="3" t="s">
        <v>999</v>
      </c>
      <c r="Y203" s="3" t="s">
        <v>1000</v>
      </c>
      <c r="Z203" s="3" t="s">
        <v>52</v>
      </c>
      <c r="AA203" s="3" t="s">
        <v>993</v>
      </c>
      <c r="AB203" s="3"/>
      <c r="AC203" s="3" t="str">
        <f>HYPERLINK("https://knigipp.ru/api/getInfo/image/39c43a65-7fd6-11ef-a265-00155d82e908")</f>
        <v>https://knigipp.ru/api/getInfo/image/39c43a65-7fd6-11ef-a265-00155d82e908</v>
      </c>
      <c r="AD203" s="32">
        <v>128</v>
      </c>
      <c r="AE203" s="3" t="s">
        <v>54</v>
      </c>
      <c r="AF203" s="3" t="s">
        <v>127</v>
      </c>
      <c r="AG203" s="3"/>
      <c r="AH203" s="3" t="s">
        <v>56</v>
      </c>
      <c r="AI203" s="3"/>
      <c r="AJ203" s="3"/>
      <c r="AK203" s="3" t="str">
        <f>HYPERLINK("https://knigipp.ru/api/getInfo/item/39c43a65-7fd6-11ef-a265-00155d82e908")</f>
        <v>https://knigipp.ru/api/getInfo/item/39c43a65-7fd6-11ef-a265-00155d82e908</v>
      </c>
      <c r="AL203" s="3" t="s">
        <v>985</v>
      </c>
    </row>
    <row r="204" spans="1:38" ht="21" customHeight="1" outlineLevel="4" x14ac:dyDescent="0.2">
      <c r="A204" s="2">
        <v>149</v>
      </c>
      <c r="B204" s="3" t="s">
        <v>1001</v>
      </c>
      <c r="C204" s="49" t="s">
        <v>1002</v>
      </c>
      <c r="D204" s="49"/>
      <c r="E204" s="49"/>
      <c r="F204" s="49"/>
      <c r="G204" s="4" t="s">
        <v>1003</v>
      </c>
      <c r="H204" s="8"/>
      <c r="I204" s="9" t="s">
        <v>1004</v>
      </c>
      <c r="J204" s="10"/>
      <c r="K204" s="11">
        <v>20</v>
      </c>
      <c r="L204" s="10"/>
      <c r="M204" s="10" t="s">
        <v>78</v>
      </c>
      <c r="N204" s="10"/>
      <c r="O204" s="2">
        <v>1</v>
      </c>
      <c r="P204" s="17">
        <f>497*(1-S3/100)</f>
        <v>497</v>
      </c>
      <c r="Q204" s="18"/>
      <c r="R204" s="10">
        <f>P204*Q204</f>
        <v>0</v>
      </c>
      <c r="S204" s="19">
        <f>0.313*Q204</f>
        <v>0</v>
      </c>
      <c r="T204" s="20">
        <f>0.00058*Q204</f>
        <v>0</v>
      </c>
      <c r="U204" s="21"/>
      <c r="V204" s="22" t="s">
        <v>1005</v>
      </c>
      <c r="W204" s="22" t="s">
        <v>49</v>
      </c>
      <c r="X204" s="3" t="s">
        <v>1006</v>
      </c>
      <c r="Y204" s="3" t="s">
        <v>1007</v>
      </c>
      <c r="Z204" s="3" t="s">
        <v>52</v>
      </c>
      <c r="AA204" s="3" t="s">
        <v>984</v>
      </c>
      <c r="AB204" s="3"/>
      <c r="AC204" s="3" t="str">
        <f>HYPERLINK("https://knigipp.ru/api/getInfo/image/c864693a-7fd3-11ef-a265-00155d82e908")</f>
        <v>https://knigipp.ru/api/getInfo/image/c864693a-7fd3-11ef-a265-00155d82e908</v>
      </c>
      <c r="AD204" s="32">
        <v>128</v>
      </c>
      <c r="AE204" s="3" t="s">
        <v>54</v>
      </c>
      <c r="AF204" s="3" t="s">
        <v>127</v>
      </c>
      <c r="AG204" s="3"/>
      <c r="AH204" s="3" t="s">
        <v>56</v>
      </c>
      <c r="AI204" s="3"/>
      <c r="AJ204" s="3"/>
      <c r="AK204" s="3" t="str">
        <f>HYPERLINK("https://knigipp.ru/api/getInfo/item/c864693a-7fd3-11ef-a265-00155d82e908")</f>
        <v>https://knigipp.ru/api/getInfo/item/c864693a-7fd3-11ef-a265-00155d82e908</v>
      </c>
      <c r="AL204" s="3" t="s">
        <v>985</v>
      </c>
    </row>
    <row r="205" spans="1:38" ht="23.1" customHeight="1" outlineLevel="3" x14ac:dyDescent="0.2">
      <c r="A205" s="48" t="s">
        <v>1008</v>
      </c>
      <c r="B205" s="48"/>
      <c r="C205" s="48"/>
      <c r="D205" s="48"/>
      <c r="E205" s="48"/>
      <c r="F205" s="48"/>
    </row>
    <row r="206" spans="1:38" ht="21" customHeight="1" outlineLevel="4" x14ac:dyDescent="0.2">
      <c r="A206" s="2">
        <v>150</v>
      </c>
      <c r="B206" s="3" t="s">
        <v>1009</v>
      </c>
      <c r="C206" s="49" t="s">
        <v>1010</v>
      </c>
      <c r="D206" s="49"/>
      <c r="E206" s="49"/>
      <c r="F206" s="49"/>
      <c r="G206" s="4" t="s">
        <v>1011</v>
      </c>
      <c r="H206" s="8"/>
      <c r="I206" s="9" t="s">
        <v>1012</v>
      </c>
      <c r="J206" s="10"/>
      <c r="K206" s="11">
        <v>10</v>
      </c>
      <c r="L206" s="10"/>
      <c r="M206" s="10" t="s">
        <v>47</v>
      </c>
      <c r="N206" s="10"/>
      <c r="O206" s="2">
        <v>1</v>
      </c>
      <c r="P206" s="29">
        <f>1247*(1-S3/100)</f>
        <v>1247</v>
      </c>
      <c r="Q206" s="18"/>
      <c r="R206" s="10">
        <f>P206*Q206</f>
        <v>0</v>
      </c>
      <c r="S206" s="19">
        <f>0.627*Q206</f>
        <v>0</v>
      </c>
      <c r="T206" s="20">
        <f>0.00085*Q206</f>
        <v>0</v>
      </c>
      <c r="U206" s="21"/>
      <c r="V206" s="22" t="s">
        <v>1013</v>
      </c>
      <c r="W206" s="22" t="s">
        <v>49</v>
      </c>
      <c r="X206" s="3"/>
      <c r="Y206" s="3" t="s">
        <v>1014</v>
      </c>
      <c r="Z206" s="3" t="s">
        <v>52</v>
      </c>
      <c r="AA206" s="3"/>
      <c r="AB206" s="3"/>
      <c r="AC206" s="3" t="str">
        <f>HYPERLINK("https://knigipp.ru/api/getInfo/image/954c1618-6d45-11f0-a284-00155d82e908")</f>
        <v>https://knigipp.ru/api/getInfo/image/954c1618-6d45-11f0-a284-00155d82e908</v>
      </c>
      <c r="AD206" s="32">
        <v>192</v>
      </c>
      <c r="AE206" s="3" t="s">
        <v>54</v>
      </c>
      <c r="AF206" s="3" t="s">
        <v>127</v>
      </c>
      <c r="AG206" s="3"/>
      <c r="AH206" s="3" t="s">
        <v>56</v>
      </c>
      <c r="AI206" s="3"/>
      <c r="AJ206" s="3"/>
      <c r="AK206" s="3" t="str">
        <f>HYPERLINK("https://knigipp.ru/api/getInfo/item/954c1618-6d45-11f0-a284-00155d82e908")</f>
        <v>https://knigipp.ru/api/getInfo/item/954c1618-6d45-11f0-a284-00155d82e908</v>
      </c>
      <c r="AL206" s="3" t="s">
        <v>1015</v>
      </c>
    </row>
    <row r="207" spans="1:38" ht="23.1" customHeight="1" outlineLevel="3" x14ac:dyDescent="0.2">
      <c r="A207" s="48" t="s">
        <v>1016</v>
      </c>
      <c r="B207" s="48"/>
      <c r="C207" s="48"/>
      <c r="D207" s="48"/>
      <c r="E207" s="48"/>
      <c r="F207" s="48"/>
    </row>
    <row r="208" spans="1:38" ht="21" customHeight="1" outlineLevel="4" x14ac:dyDescent="0.2">
      <c r="A208" s="2">
        <v>151</v>
      </c>
      <c r="B208" s="3" t="s">
        <v>1017</v>
      </c>
      <c r="C208" s="49" t="s">
        <v>1018</v>
      </c>
      <c r="D208" s="49"/>
      <c r="E208" s="49"/>
      <c r="F208" s="49"/>
      <c r="G208" s="4" t="s">
        <v>1019</v>
      </c>
      <c r="H208" s="8"/>
      <c r="I208" s="9" t="s">
        <v>1020</v>
      </c>
      <c r="J208" s="10"/>
      <c r="K208" s="11">
        <v>20</v>
      </c>
      <c r="L208" s="10"/>
      <c r="M208" s="10" t="s">
        <v>47</v>
      </c>
      <c r="N208" s="10"/>
      <c r="O208" s="2">
        <v>2</v>
      </c>
      <c r="P208" s="17">
        <f>449*(1-S3/100)</f>
        <v>449</v>
      </c>
      <c r="Q208" s="18"/>
      <c r="R208" s="10">
        <f>P208*Q208</f>
        <v>0</v>
      </c>
      <c r="S208" s="28">
        <f>0.21*Q208</f>
        <v>0</v>
      </c>
      <c r="T208" s="20">
        <f>0.00132*Q208</f>
        <v>0</v>
      </c>
      <c r="U208" s="21"/>
      <c r="V208" s="22" t="s">
        <v>1021</v>
      </c>
      <c r="W208" s="22" t="s">
        <v>49</v>
      </c>
      <c r="X208" s="3" t="s">
        <v>1022</v>
      </c>
      <c r="Y208" s="3" t="s">
        <v>1023</v>
      </c>
      <c r="Z208" s="3" t="s">
        <v>52</v>
      </c>
      <c r="AA208" s="3"/>
      <c r="AB208" s="3"/>
      <c r="AC208" s="3" t="str">
        <f>HYPERLINK("https://knigipp.ru/api/getInfo/image/d485514e-0e3c-11f0-a279-00155d82e908")</f>
        <v>https://knigipp.ru/api/getInfo/image/d485514e-0e3c-11f0-a279-00155d82e908</v>
      </c>
      <c r="AD208" s="32">
        <v>64</v>
      </c>
      <c r="AE208" s="3" t="s">
        <v>54</v>
      </c>
      <c r="AF208" s="3" t="s">
        <v>127</v>
      </c>
      <c r="AG208" s="3"/>
      <c r="AH208" s="3" t="s">
        <v>56</v>
      </c>
      <c r="AI208" s="3"/>
      <c r="AJ208" s="3"/>
      <c r="AK208" s="3" t="str">
        <f>HYPERLINK("https://knigipp.ru/api/getInfo/item/d485514e-0e3c-11f0-a279-00155d82e908")</f>
        <v>https://knigipp.ru/api/getInfo/item/d485514e-0e3c-11f0-a279-00155d82e908</v>
      </c>
      <c r="AL208" s="3" t="s">
        <v>1024</v>
      </c>
    </row>
    <row r="209" spans="1:38" ht="23.1" customHeight="1" outlineLevel="1" x14ac:dyDescent="0.2">
      <c r="A209" s="46" t="s">
        <v>1025</v>
      </c>
      <c r="B209" s="46"/>
      <c r="C209" s="46"/>
      <c r="D209" s="46"/>
      <c r="E209" s="46"/>
      <c r="F209" s="46"/>
    </row>
    <row r="210" spans="1:38" ht="23.1" customHeight="1" outlineLevel="2" x14ac:dyDescent="0.2">
      <c r="A210" s="47" t="s">
        <v>1026</v>
      </c>
      <c r="B210" s="47"/>
      <c r="C210" s="47"/>
      <c r="D210" s="47"/>
      <c r="E210" s="47"/>
      <c r="F210" s="47"/>
    </row>
    <row r="211" spans="1:38" ht="21" customHeight="1" outlineLevel="3" x14ac:dyDescent="0.2">
      <c r="A211" s="2">
        <v>152</v>
      </c>
      <c r="B211" s="3" t="s">
        <v>1027</v>
      </c>
      <c r="C211" s="49" t="s">
        <v>1028</v>
      </c>
      <c r="D211" s="49"/>
      <c r="E211" s="49"/>
      <c r="F211" s="49"/>
      <c r="G211" s="4" t="s">
        <v>1029</v>
      </c>
      <c r="H211" s="8"/>
      <c r="I211" s="9" t="s">
        <v>1030</v>
      </c>
      <c r="J211" s="10"/>
      <c r="K211" s="11">
        <v>10</v>
      </c>
      <c r="L211" s="10"/>
      <c r="M211" s="10" t="s">
        <v>304</v>
      </c>
      <c r="N211" s="10"/>
      <c r="O211" s="2">
        <v>2</v>
      </c>
      <c r="P211" s="17">
        <f>427*(1-S3/100)</f>
        <v>427</v>
      </c>
      <c r="Q211" s="18"/>
      <c r="R211" s="10">
        <f t="shared" ref="R211:R216" si="10">P211*Q211</f>
        <v>0</v>
      </c>
      <c r="S211" s="19">
        <f>0.521*Q211</f>
        <v>0</v>
      </c>
      <c r="T211" s="20">
        <f>0.00099*Q211</f>
        <v>0</v>
      </c>
      <c r="U211" s="21"/>
      <c r="V211" s="22" t="s">
        <v>1031</v>
      </c>
      <c r="W211" s="22" t="s">
        <v>49</v>
      </c>
      <c r="X211" s="3"/>
      <c r="Y211" s="3"/>
      <c r="Z211" s="3" t="s">
        <v>52</v>
      </c>
      <c r="AA211" s="3"/>
      <c r="AB211" s="3"/>
      <c r="AC211" s="3" t="str">
        <f>HYPERLINK("https://knigipp.ru/api/getInfo/image/8052fbaf-f93c-11ec-a213-ac1f6b442185")</f>
        <v>https://knigipp.ru/api/getInfo/image/8052fbaf-f93c-11ec-a213-ac1f6b442185</v>
      </c>
      <c r="AD211" s="32">
        <v>21</v>
      </c>
      <c r="AE211" s="3"/>
      <c r="AF211" s="3" t="s">
        <v>136</v>
      </c>
      <c r="AG211" s="3"/>
      <c r="AH211" s="3" t="s">
        <v>56</v>
      </c>
      <c r="AI211" s="3"/>
      <c r="AJ211" s="3"/>
      <c r="AK211" s="3" t="str">
        <f>HYPERLINK("https://knigipp.ru/api/getInfo/item/8052fbaf-f93c-11ec-a213-ac1f6b442185")</f>
        <v>https://knigipp.ru/api/getInfo/item/8052fbaf-f93c-11ec-a213-ac1f6b442185</v>
      </c>
      <c r="AL211" s="3" t="s">
        <v>1032</v>
      </c>
    </row>
    <row r="212" spans="1:38" ht="21" customHeight="1" outlineLevel="3" x14ac:dyDescent="0.2">
      <c r="A212" s="2">
        <v>153</v>
      </c>
      <c r="B212" s="3" t="s">
        <v>1033</v>
      </c>
      <c r="C212" s="49" t="s">
        <v>1034</v>
      </c>
      <c r="D212" s="49"/>
      <c r="E212" s="49"/>
      <c r="F212" s="49"/>
      <c r="G212" s="4" t="s">
        <v>1035</v>
      </c>
      <c r="H212" s="8"/>
      <c r="I212" s="9" t="s">
        <v>1030</v>
      </c>
      <c r="J212" s="10"/>
      <c r="K212" s="11">
        <v>10</v>
      </c>
      <c r="L212" s="10"/>
      <c r="M212" s="10" t="s">
        <v>78</v>
      </c>
      <c r="N212" s="10"/>
      <c r="O212" s="2">
        <v>2</v>
      </c>
      <c r="P212" s="17">
        <f>427*(1-S3/100)</f>
        <v>427</v>
      </c>
      <c r="Q212" s="18"/>
      <c r="R212" s="10">
        <f t="shared" si="10"/>
        <v>0</v>
      </c>
      <c r="S212" s="28">
        <f>0.54*Q212</f>
        <v>0</v>
      </c>
      <c r="T212" s="20">
        <f>0.00084*Q212</f>
        <v>0</v>
      </c>
      <c r="U212" s="21"/>
      <c r="V212" s="22" t="s">
        <v>1036</v>
      </c>
      <c r="W212" s="22" t="s">
        <v>49</v>
      </c>
      <c r="X212" s="3"/>
      <c r="Y212" s="3"/>
      <c r="Z212" s="3" t="s">
        <v>52</v>
      </c>
      <c r="AA212" s="3"/>
      <c r="AB212" s="3"/>
      <c r="AC212" s="3" t="str">
        <f>HYPERLINK("https://knigipp.ru/api/getInfo/image/4b0c1769-f93c-11ec-a213-ac1f6b442185")</f>
        <v>https://knigipp.ru/api/getInfo/image/4b0c1769-f93c-11ec-a213-ac1f6b442185</v>
      </c>
      <c r="AD212" s="32">
        <v>21</v>
      </c>
      <c r="AE212" s="3"/>
      <c r="AF212" s="3" t="s">
        <v>136</v>
      </c>
      <c r="AG212" s="3"/>
      <c r="AH212" s="3" t="s">
        <v>56</v>
      </c>
      <c r="AI212" s="3"/>
      <c r="AJ212" s="3"/>
      <c r="AK212" s="3" t="str">
        <f>HYPERLINK("https://knigipp.ru/api/getInfo/item/4b0c1769-f93c-11ec-a213-ac1f6b442185")</f>
        <v>https://knigipp.ru/api/getInfo/item/4b0c1769-f93c-11ec-a213-ac1f6b442185</v>
      </c>
      <c r="AL212" s="3" t="s">
        <v>1032</v>
      </c>
    </row>
    <row r="213" spans="1:38" ht="21" customHeight="1" outlineLevel="3" x14ac:dyDescent="0.2">
      <c r="A213" s="2">
        <v>154</v>
      </c>
      <c r="B213" s="3" t="s">
        <v>1037</v>
      </c>
      <c r="C213" s="49" t="s">
        <v>1038</v>
      </c>
      <c r="D213" s="49"/>
      <c r="E213" s="49"/>
      <c r="F213" s="49"/>
      <c r="G213" s="4" t="s">
        <v>1039</v>
      </c>
      <c r="H213" s="8"/>
      <c r="I213" s="9" t="s">
        <v>1040</v>
      </c>
      <c r="J213" s="10"/>
      <c r="K213" s="11">
        <v>10</v>
      </c>
      <c r="L213" s="10"/>
      <c r="M213" s="10" t="s">
        <v>304</v>
      </c>
      <c r="N213" s="10"/>
      <c r="O213" s="2">
        <v>2</v>
      </c>
      <c r="P213" s="17">
        <f>427*(1-S3/100)</f>
        <v>427</v>
      </c>
      <c r="Q213" s="18"/>
      <c r="R213" s="10">
        <f t="shared" si="10"/>
        <v>0</v>
      </c>
      <c r="S213" s="19">
        <f>0.531*Q213</f>
        <v>0</v>
      </c>
      <c r="T213" s="20">
        <f>0.00134*Q213</f>
        <v>0</v>
      </c>
      <c r="U213" s="21"/>
      <c r="V213" s="22" t="s">
        <v>1041</v>
      </c>
      <c r="W213" s="22" t="s">
        <v>49</v>
      </c>
      <c r="X213" s="3"/>
      <c r="Y213" s="3" t="s">
        <v>1042</v>
      </c>
      <c r="Z213" s="3" t="s">
        <v>52</v>
      </c>
      <c r="AA213" s="3"/>
      <c r="AB213" s="3"/>
      <c r="AC213" s="3" t="str">
        <f>HYPERLINK("https://knigipp.ru/api/getInfo/image/57e642fc-3064-11ee-a23e-00155d82e902")</f>
        <v>https://knigipp.ru/api/getInfo/image/57e642fc-3064-11ee-a23e-00155d82e902</v>
      </c>
      <c r="AD213" s="32">
        <v>21</v>
      </c>
      <c r="AE213" s="3" t="s">
        <v>54</v>
      </c>
      <c r="AF213" s="3" t="s">
        <v>136</v>
      </c>
      <c r="AG213" s="3"/>
      <c r="AH213" s="3" t="s">
        <v>56</v>
      </c>
      <c r="AI213" s="3"/>
      <c r="AJ213" s="3"/>
      <c r="AK213" s="3" t="str">
        <f>HYPERLINK("https://knigipp.ru/api/getInfo/item/57e642fc-3064-11ee-a23e-00155d82e902")</f>
        <v>https://knigipp.ru/api/getInfo/item/57e642fc-3064-11ee-a23e-00155d82e902</v>
      </c>
      <c r="AL213" s="3" t="s">
        <v>1032</v>
      </c>
    </row>
    <row r="214" spans="1:38" ht="21" customHeight="1" outlineLevel="3" x14ac:dyDescent="0.2">
      <c r="A214" s="2">
        <v>155</v>
      </c>
      <c r="B214" s="3" t="s">
        <v>1043</v>
      </c>
      <c r="C214" s="49" t="s">
        <v>1044</v>
      </c>
      <c r="D214" s="49"/>
      <c r="E214" s="49"/>
      <c r="F214" s="49"/>
      <c r="G214" s="4" t="s">
        <v>1045</v>
      </c>
      <c r="H214" s="8"/>
      <c r="I214" s="9" t="s">
        <v>1030</v>
      </c>
      <c r="J214" s="10"/>
      <c r="K214" s="11">
        <v>10</v>
      </c>
      <c r="L214" s="10"/>
      <c r="M214" s="10" t="s">
        <v>304</v>
      </c>
      <c r="N214" s="10"/>
      <c r="O214" s="2">
        <v>2</v>
      </c>
      <c r="P214" s="17">
        <f>427*(1-S3/100)</f>
        <v>427</v>
      </c>
      <c r="Q214" s="18"/>
      <c r="R214" s="10">
        <f t="shared" si="10"/>
        <v>0</v>
      </c>
      <c r="S214" s="19">
        <f>0.531*Q214</f>
        <v>0</v>
      </c>
      <c r="T214" s="20">
        <f>0.00134*Q214</f>
        <v>0</v>
      </c>
      <c r="U214" s="21"/>
      <c r="V214" s="22" t="s">
        <v>1046</v>
      </c>
      <c r="W214" s="22" t="s">
        <v>49</v>
      </c>
      <c r="X214" s="3"/>
      <c r="Y214" s="3"/>
      <c r="Z214" s="3" t="s">
        <v>52</v>
      </c>
      <c r="AA214" s="3"/>
      <c r="AB214" s="3"/>
      <c r="AC214" s="3" t="str">
        <f>HYPERLINK("https://knigipp.ru/api/getInfo/image/1acaa2a4-7202-11ed-a22a-00155d82e902")</f>
        <v>https://knigipp.ru/api/getInfo/image/1acaa2a4-7202-11ed-a22a-00155d82e902</v>
      </c>
      <c r="AD214" s="32">
        <v>21</v>
      </c>
      <c r="AE214" s="3" t="s">
        <v>54</v>
      </c>
      <c r="AF214" s="3" t="s">
        <v>136</v>
      </c>
      <c r="AG214" s="3"/>
      <c r="AH214" s="3" t="s">
        <v>56</v>
      </c>
      <c r="AI214" s="3"/>
      <c r="AJ214" s="3"/>
      <c r="AK214" s="3" t="str">
        <f>HYPERLINK("https://knigipp.ru/api/getInfo/item/1acaa2a4-7202-11ed-a22a-00155d82e902")</f>
        <v>https://knigipp.ru/api/getInfo/item/1acaa2a4-7202-11ed-a22a-00155d82e902</v>
      </c>
      <c r="AL214" s="3" t="s">
        <v>1032</v>
      </c>
    </row>
    <row r="215" spans="1:38" ht="21" customHeight="1" outlineLevel="3" x14ac:dyDescent="0.2">
      <c r="A215" s="2">
        <v>156</v>
      </c>
      <c r="B215" s="3" t="s">
        <v>1047</v>
      </c>
      <c r="C215" s="49" t="s">
        <v>1048</v>
      </c>
      <c r="D215" s="49"/>
      <c r="E215" s="49"/>
      <c r="F215" s="49"/>
      <c r="G215" s="4" t="s">
        <v>1049</v>
      </c>
      <c r="H215" s="8"/>
      <c r="I215" s="9" t="s">
        <v>1030</v>
      </c>
      <c r="J215" s="10"/>
      <c r="K215" s="11">
        <v>10</v>
      </c>
      <c r="L215" s="10"/>
      <c r="M215" s="10" t="s">
        <v>304</v>
      </c>
      <c r="N215" s="10"/>
      <c r="O215" s="2">
        <v>2</v>
      </c>
      <c r="P215" s="17">
        <f>427*(1-S3/100)</f>
        <v>427</v>
      </c>
      <c r="Q215" s="18"/>
      <c r="R215" s="10">
        <f t="shared" si="10"/>
        <v>0</v>
      </c>
      <c r="S215" s="19">
        <f>0.523*Q215</f>
        <v>0</v>
      </c>
      <c r="T215" s="20">
        <f>0.00067*Q215</f>
        <v>0</v>
      </c>
      <c r="U215" s="21"/>
      <c r="V215" s="22" t="s">
        <v>1050</v>
      </c>
      <c r="W215" s="22" t="s">
        <v>49</v>
      </c>
      <c r="X215" s="3"/>
      <c r="Y215" s="3"/>
      <c r="Z215" s="3" t="s">
        <v>52</v>
      </c>
      <c r="AA215" s="3"/>
      <c r="AB215" s="3"/>
      <c r="AC215" s="3" t="str">
        <f>HYPERLINK("https://knigipp.ru/api/getInfo/image/bb819427-f93c-11ec-a213-ac1f6b442185")</f>
        <v>https://knigipp.ru/api/getInfo/image/bb819427-f93c-11ec-a213-ac1f6b442185</v>
      </c>
      <c r="AD215" s="32">
        <v>21</v>
      </c>
      <c r="AE215" s="3"/>
      <c r="AF215" s="3" t="s">
        <v>136</v>
      </c>
      <c r="AG215" s="3"/>
      <c r="AH215" s="3" t="s">
        <v>56</v>
      </c>
      <c r="AI215" s="3"/>
      <c r="AJ215" s="3"/>
      <c r="AK215" s="3" t="str">
        <f>HYPERLINK("https://knigipp.ru/api/getInfo/item/bb819427-f93c-11ec-a213-ac1f6b442185")</f>
        <v>https://knigipp.ru/api/getInfo/item/bb819427-f93c-11ec-a213-ac1f6b442185</v>
      </c>
      <c r="AL215" s="3" t="s">
        <v>1032</v>
      </c>
    </row>
    <row r="216" spans="1:38" ht="21" customHeight="1" outlineLevel="3" x14ac:dyDescent="0.2">
      <c r="A216" s="2">
        <v>157</v>
      </c>
      <c r="B216" s="3" t="s">
        <v>1051</v>
      </c>
      <c r="C216" s="49" t="s">
        <v>1052</v>
      </c>
      <c r="D216" s="49"/>
      <c r="E216" s="49"/>
      <c r="F216" s="49"/>
      <c r="G216" s="4" t="s">
        <v>1053</v>
      </c>
      <c r="H216" s="8"/>
      <c r="I216" s="9" t="s">
        <v>1030</v>
      </c>
      <c r="J216" s="10"/>
      <c r="K216" s="11">
        <v>10</v>
      </c>
      <c r="L216" s="10"/>
      <c r="M216" s="10" t="s">
        <v>304</v>
      </c>
      <c r="N216" s="10"/>
      <c r="O216" s="2">
        <v>2</v>
      </c>
      <c r="P216" s="17">
        <f>427*(1-S3/100)</f>
        <v>427</v>
      </c>
      <c r="Q216" s="18"/>
      <c r="R216" s="10">
        <f t="shared" si="10"/>
        <v>0</v>
      </c>
      <c r="S216" s="19">
        <f>0.521*Q216</f>
        <v>0</v>
      </c>
      <c r="T216" s="20">
        <f>0.00082*Q216</f>
        <v>0</v>
      </c>
      <c r="U216" s="21"/>
      <c r="V216" s="22" t="s">
        <v>1054</v>
      </c>
      <c r="W216" s="22" t="s">
        <v>49</v>
      </c>
      <c r="X216" s="3"/>
      <c r="Y216" s="3"/>
      <c r="Z216" s="3" t="s">
        <v>52</v>
      </c>
      <c r="AA216" s="3"/>
      <c r="AB216" s="3"/>
      <c r="AC216" s="3" t="str">
        <f>HYPERLINK("https://knigipp.ru/api/getInfo/image/a4f2449a-7202-11ed-a22a-00155d82e902")</f>
        <v>https://knigipp.ru/api/getInfo/image/a4f2449a-7202-11ed-a22a-00155d82e902</v>
      </c>
      <c r="AD216" s="32">
        <v>21</v>
      </c>
      <c r="AE216" s="3" t="s">
        <v>54</v>
      </c>
      <c r="AF216" s="3" t="s">
        <v>136</v>
      </c>
      <c r="AG216" s="3"/>
      <c r="AH216" s="3" t="s">
        <v>56</v>
      </c>
      <c r="AI216" s="3"/>
      <c r="AJ216" s="3"/>
      <c r="AK216" s="3" t="str">
        <f>HYPERLINK("https://knigipp.ru/api/getInfo/item/a4f2449a-7202-11ed-a22a-00155d82e902")</f>
        <v>https://knigipp.ru/api/getInfo/item/a4f2449a-7202-11ed-a22a-00155d82e902</v>
      </c>
      <c r="AL216" s="3" t="s">
        <v>1032</v>
      </c>
    </row>
    <row r="217" spans="1:38" ht="23.1" customHeight="1" outlineLevel="2" x14ac:dyDescent="0.2">
      <c r="A217" s="47" t="s">
        <v>1055</v>
      </c>
      <c r="B217" s="47"/>
      <c r="C217" s="47"/>
      <c r="D217" s="47"/>
      <c r="E217" s="47"/>
      <c r="F217" s="47"/>
    </row>
    <row r="218" spans="1:38" ht="21" customHeight="1" outlineLevel="3" x14ac:dyDescent="0.2">
      <c r="A218" s="2">
        <v>158</v>
      </c>
      <c r="B218" s="3" t="s">
        <v>1056</v>
      </c>
      <c r="C218" s="49" t="s">
        <v>1057</v>
      </c>
      <c r="D218" s="49"/>
      <c r="E218" s="49"/>
      <c r="F218" s="49"/>
      <c r="G218" s="4" t="s">
        <v>1058</v>
      </c>
      <c r="H218" s="8"/>
      <c r="I218" s="9" t="s">
        <v>1059</v>
      </c>
      <c r="J218" s="10"/>
      <c r="K218" s="11">
        <v>10</v>
      </c>
      <c r="L218" s="10"/>
      <c r="M218" s="10" t="s">
        <v>47</v>
      </c>
      <c r="N218" s="10"/>
      <c r="O218" s="2">
        <v>2</v>
      </c>
      <c r="P218" s="17">
        <f>447*(1-S3/100)</f>
        <v>447</v>
      </c>
      <c r="Q218" s="18"/>
      <c r="R218" s="10">
        <f>P218*Q218</f>
        <v>0</v>
      </c>
      <c r="S218" s="19">
        <f>0.513*Q218</f>
        <v>0</v>
      </c>
      <c r="T218" s="20">
        <f>0.00051*Q218</f>
        <v>0</v>
      </c>
      <c r="U218" s="21"/>
      <c r="V218" s="22" t="s">
        <v>1060</v>
      </c>
      <c r="W218" s="22" t="s">
        <v>49</v>
      </c>
      <c r="X218" s="3"/>
      <c r="Y218" s="3"/>
      <c r="Z218" s="3" t="s">
        <v>52</v>
      </c>
      <c r="AA218" s="3"/>
      <c r="AB218" s="3"/>
      <c r="AC218" s="3" t="str">
        <f>HYPERLINK("https://knigipp.ru/api/getInfo/image/c188f9b4-b1be-11ec-a211-ac1f6b442185")</f>
        <v>https://knigipp.ru/api/getInfo/image/c188f9b4-b1be-11ec-a211-ac1f6b442185</v>
      </c>
      <c r="AD218" s="32">
        <v>20</v>
      </c>
      <c r="AE218" s="3"/>
      <c r="AF218" s="3" t="s">
        <v>136</v>
      </c>
      <c r="AG218" s="3"/>
      <c r="AH218" s="3" t="s">
        <v>56</v>
      </c>
      <c r="AI218" s="3"/>
      <c r="AJ218" s="3" t="s">
        <v>1061</v>
      </c>
      <c r="AK218" s="3" t="str">
        <f>HYPERLINK("https://knigipp.ru/api/getInfo/item/c188f9b4-b1be-11ec-a211-ac1f6b442185")</f>
        <v>https://knigipp.ru/api/getInfo/item/c188f9b4-b1be-11ec-a211-ac1f6b442185</v>
      </c>
      <c r="AL218" s="3" t="s">
        <v>1032</v>
      </c>
    </row>
    <row r="219" spans="1:38" ht="21" customHeight="1" outlineLevel="3" x14ac:dyDescent="0.2">
      <c r="A219" s="2">
        <v>159</v>
      </c>
      <c r="B219" s="3" t="s">
        <v>1062</v>
      </c>
      <c r="C219" s="49" t="s">
        <v>1063</v>
      </c>
      <c r="D219" s="49"/>
      <c r="E219" s="49"/>
      <c r="F219" s="49"/>
      <c r="G219" s="4" t="s">
        <v>1064</v>
      </c>
      <c r="H219" s="8"/>
      <c r="I219" s="9" t="s">
        <v>1065</v>
      </c>
      <c r="J219" s="10"/>
      <c r="K219" s="11">
        <v>10</v>
      </c>
      <c r="L219" s="10"/>
      <c r="M219" s="10" t="s">
        <v>47</v>
      </c>
      <c r="N219" s="10"/>
      <c r="O219" s="2">
        <v>2</v>
      </c>
      <c r="P219" s="17">
        <f>447*(1-S3/100)</f>
        <v>447</v>
      </c>
      <c r="Q219" s="18"/>
      <c r="R219" s="10">
        <f>P219*Q219</f>
        <v>0</v>
      </c>
      <c r="S219" s="28">
        <f>0.49*Q219</f>
        <v>0</v>
      </c>
      <c r="T219" s="20">
        <f>0.00079*Q219</f>
        <v>0</v>
      </c>
      <c r="U219" s="21"/>
      <c r="V219" s="22" t="s">
        <v>1066</v>
      </c>
      <c r="W219" s="22" t="s">
        <v>49</v>
      </c>
      <c r="X219" s="3"/>
      <c r="Y219" s="3"/>
      <c r="Z219" s="3" t="s">
        <v>52</v>
      </c>
      <c r="AA219" s="3"/>
      <c r="AB219" s="3"/>
      <c r="AC219" s="3" t="str">
        <f>HYPERLINK("https://knigipp.ru/api/getInfo/image/465fe0ca-14de-11ea-a237-ac1f6b442184")</f>
        <v>https://knigipp.ru/api/getInfo/image/465fe0ca-14de-11ea-a237-ac1f6b442184</v>
      </c>
      <c r="AD219" s="32">
        <v>20</v>
      </c>
      <c r="AE219" s="3"/>
      <c r="AF219" s="3" t="s">
        <v>136</v>
      </c>
      <c r="AG219" s="3"/>
      <c r="AH219" s="3" t="s">
        <v>56</v>
      </c>
      <c r="AI219" s="3"/>
      <c r="AJ219" s="3"/>
      <c r="AK219" s="3" t="str">
        <f>HYPERLINK("https://knigipp.ru/api/getInfo/item/465fe0ca-14de-11ea-a237-ac1f6b442184")</f>
        <v>https://knigipp.ru/api/getInfo/item/465fe0ca-14de-11ea-a237-ac1f6b442184</v>
      </c>
      <c r="AL219" s="3" t="s">
        <v>1032</v>
      </c>
    </row>
    <row r="220" spans="1:38" ht="21" customHeight="1" outlineLevel="3" x14ac:dyDescent="0.2">
      <c r="A220" s="2">
        <v>160</v>
      </c>
      <c r="B220" s="3" t="s">
        <v>1067</v>
      </c>
      <c r="C220" s="49" t="s">
        <v>1068</v>
      </c>
      <c r="D220" s="49"/>
      <c r="E220" s="49"/>
      <c r="F220" s="49"/>
      <c r="G220" s="4" t="s">
        <v>1069</v>
      </c>
      <c r="H220" s="8"/>
      <c r="I220" s="9" t="s">
        <v>1070</v>
      </c>
      <c r="J220" s="10"/>
      <c r="K220" s="11">
        <v>10</v>
      </c>
      <c r="L220" s="10"/>
      <c r="M220" s="10" t="s">
        <v>47</v>
      </c>
      <c r="N220" s="10"/>
      <c r="O220" s="2">
        <v>2</v>
      </c>
      <c r="P220" s="17">
        <f>447*(1-S3/100)</f>
        <v>447</v>
      </c>
      <c r="Q220" s="18"/>
      <c r="R220" s="10">
        <f>P220*Q220</f>
        <v>0</v>
      </c>
      <c r="S220" s="19">
        <f>0.491*Q220</f>
        <v>0</v>
      </c>
      <c r="T220" s="20">
        <f>0.00113*Q220</f>
        <v>0</v>
      </c>
      <c r="U220" s="21"/>
      <c r="V220" s="22" t="s">
        <v>1071</v>
      </c>
      <c r="W220" s="22" t="s">
        <v>49</v>
      </c>
      <c r="X220" s="3"/>
      <c r="Y220" s="3"/>
      <c r="Z220" s="3" t="s">
        <v>52</v>
      </c>
      <c r="AA220" s="3"/>
      <c r="AB220" s="3"/>
      <c r="AC220" s="3" t="str">
        <f>HYPERLINK("https://knigipp.ru/api/getInfo/image/58d09ea0-f047-11eb-a20d-ac1f6b442185")</f>
        <v>https://knigipp.ru/api/getInfo/image/58d09ea0-f047-11eb-a20d-ac1f6b442185</v>
      </c>
      <c r="AD220" s="32">
        <v>20</v>
      </c>
      <c r="AE220" s="3"/>
      <c r="AF220" s="3" t="s">
        <v>136</v>
      </c>
      <c r="AG220" s="3"/>
      <c r="AH220" s="3" t="s">
        <v>56</v>
      </c>
      <c r="AI220" s="3"/>
      <c r="AJ220" s="3" t="s">
        <v>1061</v>
      </c>
      <c r="AK220" s="3" t="str">
        <f>HYPERLINK("https://knigipp.ru/api/getInfo/item/58d09ea0-f047-11eb-a20d-ac1f6b442185")</f>
        <v>https://knigipp.ru/api/getInfo/item/58d09ea0-f047-11eb-a20d-ac1f6b442185</v>
      </c>
      <c r="AL220" s="3" t="s">
        <v>1032</v>
      </c>
    </row>
    <row r="221" spans="1:38" ht="21" customHeight="1" outlineLevel="3" x14ac:dyDescent="0.2">
      <c r="A221" s="2">
        <v>161</v>
      </c>
      <c r="B221" s="3" t="s">
        <v>1072</v>
      </c>
      <c r="C221" s="49" t="s">
        <v>1073</v>
      </c>
      <c r="D221" s="49"/>
      <c r="E221" s="49"/>
      <c r="F221" s="49"/>
      <c r="G221" s="4" t="s">
        <v>1074</v>
      </c>
      <c r="H221" s="8"/>
      <c r="I221" s="9" t="s">
        <v>1065</v>
      </c>
      <c r="J221" s="10"/>
      <c r="K221" s="11">
        <v>10</v>
      </c>
      <c r="L221" s="10"/>
      <c r="M221" s="10" t="s">
        <v>304</v>
      </c>
      <c r="N221" s="10"/>
      <c r="O221" s="2">
        <v>2</v>
      </c>
      <c r="P221" s="17">
        <f>447*(1-S3/100)</f>
        <v>447</v>
      </c>
      <c r="Q221" s="18"/>
      <c r="R221" s="10">
        <f>P221*Q221</f>
        <v>0</v>
      </c>
      <c r="S221" s="19">
        <f>0.496*Q221</f>
        <v>0</v>
      </c>
      <c r="T221" s="20">
        <f>0.00033*Q221</f>
        <v>0</v>
      </c>
      <c r="U221" s="21"/>
      <c r="V221" s="22" t="s">
        <v>1075</v>
      </c>
      <c r="W221" s="22" t="s">
        <v>49</v>
      </c>
      <c r="X221" s="3"/>
      <c r="Y221" s="3"/>
      <c r="Z221" s="3" t="s">
        <v>52</v>
      </c>
      <c r="AA221" s="3"/>
      <c r="AB221" s="3"/>
      <c r="AC221" s="3" t="str">
        <f>HYPERLINK("https://knigipp.ru/api/getInfo/image/8687a202-edd6-11ee-a25b-00155d82e908")</f>
        <v>https://knigipp.ru/api/getInfo/image/8687a202-edd6-11ee-a25b-00155d82e908</v>
      </c>
      <c r="AD221" s="32">
        <v>20</v>
      </c>
      <c r="AE221" s="3"/>
      <c r="AF221" s="3" t="s">
        <v>136</v>
      </c>
      <c r="AG221" s="3"/>
      <c r="AH221" s="3" t="s">
        <v>56</v>
      </c>
      <c r="AI221" s="3"/>
      <c r="AJ221" s="3" t="s">
        <v>1061</v>
      </c>
      <c r="AK221" s="3" t="str">
        <f>HYPERLINK("https://knigipp.ru/api/getInfo/item/8687a202-edd6-11ee-a25b-00155d82e908")</f>
        <v>https://knigipp.ru/api/getInfo/item/8687a202-edd6-11ee-a25b-00155d82e908</v>
      </c>
      <c r="AL221" s="3" t="s">
        <v>1032</v>
      </c>
    </row>
    <row r="222" spans="1:38" ht="21" customHeight="1" outlineLevel="3" x14ac:dyDescent="0.2">
      <c r="A222" s="2">
        <v>162</v>
      </c>
      <c r="B222" s="3" t="s">
        <v>1076</v>
      </c>
      <c r="C222" s="49" t="s">
        <v>1077</v>
      </c>
      <c r="D222" s="49"/>
      <c r="E222" s="49"/>
      <c r="F222" s="49"/>
      <c r="G222" s="4" t="s">
        <v>1078</v>
      </c>
      <c r="H222" s="8"/>
      <c r="I222" s="9" t="s">
        <v>1065</v>
      </c>
      <c r="J222" s="10"/>
      <c r="K222" s="11">
        <v>10</v>
      </c>
      <c r="L222" s="10"/>
      <c r="M222" s="10" t="s">
        <v>304</v>
      </c>
      <c r="N222" s="10"/>
      <c r="O222" s="2">
        <v>2</v>
      </c>
      <c r="P222" s="17">
        <f>447*(1-S3/100)</f>
        <v>447</v>
      </c>
      <c r="Q222" s="18"/>
      <c r="R222" s="10">
        <f>P222*Q222</f>
        <v>0</v>
      </c>
      <c r="S222" s="19">
        <f>0.499*Q222</f>
        <v>0</v>
      </c>
      <c r="T222" s="20">
        <f>0.00066*Q222</f>
        <v>0</v>
      </c>
      <c r="U222" s="21"/>
      <c r="V222" s="22" t="s">
        <v>1079</v>
      </c>
      <c r="W222" s="22" t="s">
        <v>49</v>
      </c>
      <c r="X222" s="3"/>
      <c r="Y222" s="3"/>
      <c r="Z222" s="3" t="s">
        <v>52</v>
      </c>
      <c r="AA222" s="3" t="s">
        <v>1080</v>
      </c>
      <c r="AB222" s="3"/>
      <c r="AC222" s="3" t="str">
        <f>HYPERLINK("https://knigipp.ru/api/getInfo/image/9c532031-421f-11e8-b13b-5cf3fc4a2490")</f>
        <v>https://knigipp.ru/api/getInfo/image/9c532031-421f-11e8-b13b-5cf3fc4a2490</v>
      </c>
      <c r="AD222" s="32">
        <v>20</v>
      </c>
      <c r="AE222" s="3"/>
      <c r="AF222" s="3" t="s">
        <v>136</v>
      </c>
      <c r="AG222" s="3"/>
      <c r="AH222" s="3" t="s">
        <v>56</v>
      </c>
      <c r="AI222" s="3"/>
      <c r="AJ222" s="3" t="s">
        <v>1061</v>
      </c>
      <c r="AK222" s="3" t="str">
        <f>HYPERLINK("https://knigipp.ru/api/getInfo/item/9c532031-421f-11e8-b13b-5cf3fc4a2490")</f>
        <v>https://knigipp.ru/api/getInfo/item/9c532031-421f-11e8-b13b-5cf3fc4a2490</v>
      </c>
      <c r="AL222" s="3" t="s">
        <v>1032</v>
      </c>
    </row>
    <row r="223" spans="1:38" ht="23.1" customHeight="1" outlineLevel="2" x14ac:dyDescent="0.2">
      <c r="A223" s="47" t="s">
        <v>1081</v>
      </c>
      <c r="B223" s="47"/>
      <c r="C223" s="47"/>
      <c r="D223" s="47"/>
      <c r="E223" s="47"/>
      <c r="F223" s="47"/>
    </row>
    <row r="224" spans="1:38" ht="21" customHeight="1" outlineLevel="3" x14ac:dyDescent="0.2">
      <c r="A224" s="2">
        <v>163</v>
      </c>
      <c r="B224" s="3" t="s">
        <v>1082</v>
      </c>
      <c r="C224" s="49" t="s">
        <v>1083</v>
      </c>
      <c r="D224" s="49"/>
      <c r="E224" s="49"/>
      <c r="F224" s="49"/>
      <c r="G224" s="4" t="s">
        <v>1084</v>
      </c>
      <c r="H224" s="8"/>
      <c r="I224" s="9" t="s">
        <v>1085</v>
      </c>
      <c r="J224" s="10"/>
      <c r="K224" s="11">
        <v>10</v>
      </c>
      <c r="L224" s="10"/>
      <c r="M224" s="10" t="s">
        <v>304</v>
      </c>
      <c r="N224" s="10"/>
      <c r="O224" s="2">
        <v>1</v>
      </c>
      <c r="P224" s="17">
        <f>797*(1-S3/100)</f>
        <v>797</v>
      </c>
      <c r="Q224" s="18"/>
      <c r="R224" s="10">
        <f t="shared" ref="R224:R229" si="11">P224*Q224</f>
        <v>0</v>
      </c>
      <c r="S224" s="19">
        <f>0.435*Q224</f>
        <v>0</v>
      </c>
      <c r="T224" s="20">
        <f>0.00134*Q224</f>
        <v>0</v>
      </c>
      <c r="U224" s="21"/>
      <c r="V224" s="22" t="s">
        <v>1086</v>
      </c>
      <c r="W224" s="22" t="s">
        <v>49</v>
      </c>
      <c r="X224" s="3"/>
      <c r="Y224" s="3"/>
      <c r="Z224" s="3" t="s">
        <v>52</v>
      </c>
      <c r="AA224" s="3"/>
      <c r="AB224" s="3"/>
      <c r="AC224" s="3" t="str">
        <f>HYPERLINK("https://knigipp.ru/api/getInfo/image/42310efd-2d45-11ee-a23e-00155d82e902")</f>
        <v>https://knigipp.ru/api/getInfo/image/42310efd-2d45-11ee-a23e-00155d82e902</v>
      </c>
      <c r="AD224" s="32">
        <v>20</v>
      </c>
      <c r="AE224" s="3"/>
      <c r="AF224" s="3" t="s">
        <v>136</v>
      </c>
      <c r="AG224" s="3"/>
      <c r="AH224" s="3" t="s">
        <v>56</v>
      </c>
      <c r="AI224" s="3"/>
      <c r="AJ224" s="3"/>
      <c r="AK224" s="3" t="str">
        <f>HYPERLINK("https://knigipp.ru/api/getInfo/item/42310efd-2d45-11ee-a23e-00155d82e902")</f>
        <v>https://knigipp.ru/api/getInfo/item/42310efd-2d45-11ee-a23e-00155d82e902</v>
      </c>
      <c r="AL224" s="3" t="s">
        <v>1087</v>
      </c>
    </row>
    <row r="225" spans="1:38" ht="21" customHeight="1" outlineLevel="3" x14ac:dyDescent="0.2">
      <c r="A225" s="2">
        <v>164</v>
      </c>
      <c r="B225" s="3" t="s">
        <v>1088</v>
      </c>
      <c r="C225" s="49" t="s">
        <v>1089</v>
      </c>
      <c r="D225" s="49"/>
      <c r="E225" s="49"/>
      <c r="F225" s="49"/>
      <c r="G225" s="4" t="s">
        <v>1090</v>
      </c>
      <c r="H225" s="8"/>
      <c r="I225" s="9" t="s">
        <v>1085</v>
      </c>
      <c r="J225" s="10"/>
      <c r="K225" s="11">
        <v>10</v>
      </c>
      <c r="L225" s="10"/>
      <c r="M225" s="10" t="s">
        <v>47</v>
      </c>
      <c r="N225" s="10"/>
      <c r="O225" s="2">
        <v>1</v>
      </c>
      <c r="P225" s="17">
        <f>797*(1-S3/100)</f>
        <v>797</v>
      </c>
      <c r="Q225" s="18"/>
      <c r="R225" s="10">
        <f t="shared" si="11"/>
        <v>0</v>
      </c>
      <c r="S225" s="19">
        <f>0.438*Q225</f>
        <v>0</v>
      </c>
      <c r="T225" s="20">
        <f>0.00192*Q225</f>
        <v>0</v>
      </c>
      <c r="U225" s="21"/>
      <c r="V225" s="22" t="s">
        <v>1091</v>
      </c>
      <c r="W225" s="22" t="s">
        <v>49</v>
      </c>
      <c r="X225" s="3"/>
      <c r="Y225" s="3"/>
      <c r="Z225" s="3" t="s">
        <v>52</v>
      </c>
      <c r="AA225" s="3"/>
      <c r="AB225" s="3"/>
      <c r="AC225" s="3" t="str">
        <f>HYPERLINK("https://knigipp.ru/api/getInfo/image/7456c731-6a5a-11ed-a22a-00155d82e902")</f>
        <v>https://knigipp.ru/api/getInfo/image/7456c731-6a5a-11ed-a22a-00155d82e902</v>
      </c>
      <c r="AD225" s="32">
        <v>20</v>
      </c>
      <c r="AE225" s="3"/>
      <c r="AF225" s="3" t="s">
        <v>136</v>
      </c>
      <c r="AG225" s="3"/>
      <c r="AH225" s="3" t="s">
        <v>56</v>
      </c>
      <c r="AI225" s="3"/>
      <c r="AJ225" s="3"/>
      <c r="AK225" s="3" t="str">
        <f>HYPERLINK("https://knigipp.ru/api/getInfo/item/7456c731-6a5a-11ed-a22a-00155d82e902")</f>
        <v>https://knigipp.ru/api/getInfo/item/7456c731-6a5a-11ed-a22a-00155d82e902</v>
      </c>
      <c r="AL225" s="3" t="s">
        <v>1087</v>
      </c>
    </row>
    <row r="226" spans="1:38" ht="21" customHeight="1" outlineLevel="3" x14ac:dyDescent="0.2">
      <c r="A226" s="5">
        <v>165</v>
      </c>
      <c r="B226" s="6" t="s">
        <v>1092</v>
      </c>
      <c r="C226" s="54" t="s">
        <v>1093</v>
      </c>
      <c r="D226" s="54"/>
      <c r="E226" s="54"/>
      <c r="F226" s="54"/>
      <c r="G226" s="7" t="s">
        <v>1094</v>
      </c>
      <c r="H226" s="12"/>
      <c r="I226" s="13" t="s">
        <v>1095</v>
      </c>
      <c r="J226" s="14"/>
      <c r="K226" s="15">
        <v>10</v>
      </c>
      <c r="L226" s="14"/>
      <c r="M226" s="14" t="s">
        <v>47</v>
      </c>
      <c r="N226" s="14"/>
      <c r="O226" s="5">
        <v>1</v>
      </c>
      <c r="P226" s="23">
        <f>797*(1-S3/100)</f>
        <v>797</v>
      </c>
      <c r="Q226" s="18"/>
      <c r="R226" s="14">
        <f t="shared" si="11"/>
        <v>0</v>
      </c>
      <c r="S226" s="24">
        <f>0.443*Q226</f>
        <v>0</v>
      </c>
      <c r="T226" s="25">
        <f>0.00088*Q226</f>
        <v>0</v>
      </c>
      <c r="U226" s="26" t="s">
        <v>62</v>
      </c>
      <c r="V226" s="27" t="s">
        <v>1096</v>
      </c>
      <c r="W226" s="27" t="s">
        <v>49</v>
      </c>
      <c r="X226" s="6"/>
      <c r="Y226" s="6" t="s">
        <v>1097</v>
      </c>
      <c r="Z226" s="6" t="s">
        <v>52</v>
      </c>
      <c r="AA226" s="6"/>
      <c r="AB226" s="6"/>
      <c r="AC226" s="6" t="str">
        <f>HYPERLINK("https://knigipp.ru/api/getInfo/image/6c222666-13de-11f1-a28f-00155d82e908")</f>
        <v>https://knigipp.ru/api/getInfo/image/6c222666-13de-11f1-a28f-00155d82e908</v>
      </c>
      <c r="AD226" s="33">
        <v>20</v>
      </c>
      <c r="AE226" s="6" t="s">
        <v>54</v>
      </c>
      <c r="AF226" s="6" t="s">
        <v>136</v>
      </c>
      <c r="AG226" s="6"/>
      <c r="AH226" s="6" t="s">
        <v>56</v>
      </c>
      <c r="AI226" s="6"/>
      <c r="AJ226" s="6"/>
      <c r="AK226" s="6" t="str">
        <f>HYPERLINK("https://knigipp.ru/api/getInfo/item/6c222666-13de-11f1-a28f-00155d82e908")</f>
        <v>https://knigipp.ru/api/getInfo/item/6c222666-13de-11f1-a28f-00155d82e908</v>
      </c>
      <c r="AL226" s="6" t="s">
        <v>1032</v>
      </c>
    </row>
    <row r="227" spans="1:38" ht="21" customHeight="1" outlineLevel="3" x14ac:dyDescent="0.2">
      <c r="A227" s="2">
        <v>166</v>
      </c>
      <c r="B227" s="3" t="s">
        <v>1098</v>
      </c>
      <c r="C227" s="49" t="s">
        <v>1099</v>
      </c>
      <c r="D227" s="49"/>
      <c r="E227" s="49"/>
      <c r="F227" s="49"/>
      <c r="G227" s="4" t="s">
        <v>1100</v>
      </c>
      <c r="H227" s="8"/>
      <c r="I227" s="9" t="s">
        <v>1085</v>
      </c>
      <c r="J227" s="10"/>
      <c r="K227" s="11">
        <v>10</v>
      </c>
      <c r="L227" s="10"/>
      <c r="M227" s="10" t="s">
        <v>47</v>
      </c>
      <c r="N227" s="10"/>
      <c r="O227" s="2">
        <v>1</v>
      </c>
      <c r="P227" s="17">
        <f>797*(1-S3/100)</f>
        <v>797</v>
      </c>
      <c r="Q227" s="18"/>
      <c r="R227" s="10">
        <f t="shared" si="11"/>
        <v>0</v>
      </c>
      <c r="S227" s="19">
        <f>0.882*Q227</f>
        <v>0</v>
      </c>
      <c r="T227" s="10">
        <v>0</v>
      </c>
      <c r="U227" s="21"/>
      <c r="V227" s="22" t="s">
        <v>1101</v>
      </c>
      <c r="W227" s="22" t="s">
        <v>49</v>
      </c>
      <c r="X227" s="3"/>
      <c r="Y227" s="3" t="s">
        <v>1102</v>
      </c>
      <c r="Z227" s="3" t="s">
        <v>52</v>
      </c>
      <c r="AA227" s="3"/>
      <c r="AB227" s="3"/>
      <c r="AC227" s="3" t="str">
        <f>HYPERLINK("https://knigipp.ru/api/getInfo/image/34db9170-d7d7-11ee-a25a-00155d82e908")</f>
        <v>https://knigipp.ru/api/getInfo/image/34db9170-d7d7-11ee-a25a-00155d82e908</v>
      </c>
      <c r="AD227" s="32">
        <v>20</v>
      </c>
      <c r="AE227" s="3"/>
      <c r="AF227" s="3" t="s">
        <v>136</v>
      </c>
      <c r="AG227" s="3"/>
      <c r="AH227" s="3" t="s">
        <v>56</v>
      </c>
      <c r="AI227" s="3"/>
      <c r="AJ227" s="3"/>
      <c r="AK227" s="3" t="str">
        <f>HYPERLINK("https://knigipp.ru/api/getInfo/item/34db9170-d7d7-11ee-a25a-00155d82e908")</f>
        <v>https://knigipp.ru/api/getInfo/item/34db9170-d7d7-11ee-a25a-00155d82e908</v>
      </c>
      <c r="AL227" s="3" t="s">
        <v>1087</v>
      </c>
    </row>
    <row r="228" spans="1:38" ht="21" customHeight="1" outlineLevel="3" x14ac:dyDescent="0.2">
      <c r="A228" s="2">
        <v>167</v>
      </c>
      <c r="B228" s="3" t="s">
        <v>1103</v>
      </c>
      <c r="C228" s="49" t="s">
        <v>1104</v>
      </c>
      <c r="D228" s="49"/>
      <c r="E228" s="49"/>
      <c r="F228" s="49"/>
      <c r="G228" s="4" t="s">
        <v>1105</v>
      </c>
      <c r="H228" s="8"/>
      <c r="I228" s="9" t="s">
        <v>1106</v>
      </c>
      <c r="J228" s="10"/>
      <c r="K228" s="11">
        <v>10</v>
      </c>
      <c r="L228" s="10"/>
      <c r="M228" s="10" t="s">
        <v>78</v>
      </c>
      <c r="N228" s="10"/>
      <c r="O228" s="2">
        <v>1</v>
      </c>
      <c r="P228" s="17">
        <f>797*(1-S3/100)</f>
        <v>797</v>
      </c>
      <c r="Q228" s="18"/>
      <c r="R228" s="10">
        <f t="shared" si="11"/>
        <v>0</v>
      </c>
      <c r="S228" s="19">
        <f>0.433*Q228</f>
        <v>0</v>
      </c>
      <c r="T228" s="20">
        <f>0.00067*Q228</f>
        <v>0</v>
      </c>
      <c r="U228" s="21"/>
      <c r="V228" s="22" t="s">
        <v>1107</v>
      </c>
      <c r="W228" s="22" t="s">
        <v>49</v>
      </c>
      <c r="X228" s="3"/>
      <c r="Y228" s="3" t="s">
        <v>1102</v>
      </c>
      <c r="Z228" s="3" t="s">
        <v>52</v>
      </c>
      <c r="AA228" s="3"/>
      <c r="AB228" s="3"/>
      <c r="AC228" s="3" t="str">
        <f>HYPERLINK("https://knigipp.ru/api/getInfo/image/8e973752-8410-11f0-a284-00155d82e908")</f>
        <v>https://knigipp.ru/api/getInfo/image/8e973752-8410-11f0-a284-00155d82e908</v>
      </c>
      <c r="AD228" s="32">
        <v>20</v>
      </c>
      <c r="AE228" s="3" t="s">
        <v>54</v>
      </c>
      <c r="AF228" s="3" t="s">
        <v>136</v>
      </c>
      <c r="AG228" s="3"/>
      <c r="AH228" s="3" t="s">
        <v>56</v>
      </c>
      <c r="AI228" s="3"/>
      <c r="AJ228" s="3"/>
      <c r="AK228" s="3" t="str">
        <f>HYPERLINK("https://knigipp.ru/api/getInfo/item/8e973752-8410-11f0-a284-00155d82e908")</f>
        <v>https://knigipp.ru/api/getInfo/item/8e973752-8410-11f0-a284-00155d82e908</v>
      </c>
      <c r="AL228" s="3" t="s">
        <v>1087</v>
      </c>
    </row>
    <row r="229" spans="1:38" ht="21" customHeight="1" outlineLevel="3" x14ac:dyDescent="0.2">
      <c r="A229" s="5">
        <v>168</v>
      </c>
      <c r="B229" s="6" t="s">
        <v>1108</v>
      </c>
      <c r="C229" s="54" t="s">
        <v>1109</v>
      </c>
      <c r="D229" s="54"/>
      <c r="E229" s="54"/>
      <c r="F229" s="54"/>
      <c r="G229" s="7" t="s">
        <v>1110</v>
      </c>
      <c r="H229" s="12"/>
      <c r="I229" s="13" t="s">
        <v>1111</v>
      </c>
      <c r="J229" s="14"/>
      <c r="K229" s="15">
        <v>10</v>
      </c>
      <c r="L229" s="14"/>
      <c r="M229" s="14" t="s">
        <v>47</v>
      </c>
      <c r="N229" s="14"/>
      <c r="O229" s="5">
        <v>1</v>
      </c>
      <c r="P229" s="23">
        <f>797*(1-S3/100)</f>
        <v>797</v>
      </c>
      <c r="Q229" s="18"/>
      <c r="R229" s="14">
        <f t="shared" si="11"/>
        <v>0</v>
      </c>
      <c r="S229" s="24">
        <f>0.445*Q229</f>
        <v>0</v>
      </c>
      <c r="T229" s="25">
        <f>0.00088*Q229</f>
        <v>0</v>
      </c>
      <c r="U229" s="26" t="s">
        <v>62</v>
      </c>
      <c r="V229" s="27" t="s">
        <v>1112</v>
      </c>
      <c r="W229" s="27" t="s">
        <v>49</v>
      </c>
      <c r="X229" s="6"/>
      <c r="Y229" s="6" t="s">
        <v>1097</v>
      </c>
      <c r="Z229" s="6" t="s">
        <v>52</v>
      </c>
      <c r="AA229" s="6"/>
      <c r="AB229" s="6"/>
      <c r="AC229" s="6" t="str">
        <f>HYPERLINK("https://knigipp.ru/api/getInfo/image/9d75a45d-13de-11f1-a28f-00155d82e908")</f>
        <v>https://knigipp.ru/api/getInfo/image/9d75a45d-13de-11f1-a28f-00155d82e908</v>
      </c>
      <c r="AD229" s="33">
        <v>20</v>
      </c>
      <c r="AE229" s="6" t="s">
        <v>54</v>
      </c>
      <c r="AF229" s="6" t="s">
        <v>136</v>
      </c>
      <c r="AG229" s="6"/>
      <c r="AH229" s="6" t="s">
        <v>56</v>
      </c>
      <c r="AI229" s="6"/>
      <c r="AJ229" s="6"/>
      <c r="AK229" s="6" t="str">
        <f>HYPERLINK("https://knigipp.ru/api/getInfo/item/9d75a45d-13de-11f1-a28f-00155d82e908")</f>
        <v>https://knigipp.ru/api/getInfo/item/9d75a45d-13de-11f1-a28f-00155d82e908</v>
      </c>
      <c r="AL229" s="6" t="s">
        <v>1032</v>
      </c>
    </row>
    <row r="230" spans="1:38" ht="23.1" customHeight="1" outlineLevel="2" x14ac:dyDescent="0.2">
      <c r="A230" s="47" t="s">
        <v>1113</v>
      </c>
      <c r="B230" s="47"/>
      <c r="C230" s="47"/>
      <c r="D230" s="47"/>
      <c r="E230" s="47"/>
      <c r="F230" s="47"/>
    </row>
    <row r="231" spans="1:38" ht="21" customHeight="1" outlineLevel="3" x14ac:dyDescent="0.2">
      <c r="A231" s="2">
        <v>169</v>
      </c>
      <c r="B231" s="3" t="s">
        <v>1114</v>
      </c>
      <c r="C231" s="49" t="s">
        <v>1115</v>
      </c>
      <c r="D231" s="49"/>
      <c r="E231" s="49"/>
      <c r="F231" s="49"/>
      <c r="G231" s="4" t="s">
        <v>1116</v>
      </c>
      <c r="H231" s="8"/>
      <c r="I231" s="9" t="s">
        <v>1117</v>
      </c>
      <c r="J231" s="10"/>
      <c r="K231" s="11">
        <v>10</v>
      </c>
      <c r="L231" s="10"/>
      <c r="M231" s="10" t="s">
        <v>47</v>
      </c>
      <c r="N231" s="10"/>
      <c r="O231" s="2">
        <v>2</v>
      </c>
      <c r="P231" s="17">
        <f>315.51*(1-S3/100)</f>
        <v>315.51</v>
      </c>
      <c r="Q231" s="18"/>
      <c r="R231" s="10">
        <f>P231*Q231</f>
        <v>0</v>
      </c>
      <c r="S231" s="19">
        <f>0.437*Q231</f>
        <v>0</v>
      </c>
      <c r="T231" s="20">
        <f>0.00051*Q231</f>
        <v>0</v>
      </c>
      <c r="U231" s="21"/>
      <c r="V231" s="22" t="s">
        <v>1118</v>
      </c>
      <c r="W231" s="22" t="s">
        <v>49</v>
      </c>
      <c r="X231" s="3"/>
      <c r="Y231" s="3"/>
      <c r="Z231" s="3" t="s">
        <v>52</v>
      </c>
      <c r="AA231" s="3"/>
      <c r="AB231" s="3"/>
      <c r="AC231" s="3" t="str">
        <f>HYPERLINK("https://knigipp.ru/api/getInfo/image/d9b35f94-3b1c-11ec-a20f-ac1f6b442185")</f>
        <v>https://knigipp.ru/api/getInfo/image/d9b35f94-3b1c-11ec-a20f-ac1f6b442185</v>
      </c>
      <c r="AD231" s="32">
        <v>20</v>
      </c>
      <c r="AE231" s="3"/>
      <c r="AF231" s="3" t="s">
        <v>1119</v>
      </c>
      <c r="AG231" s="3"/>
      <c r="AH231" s="3" t="s">
        <v>56</v>
      </c>
      <c r="AI231" s="3"/>
      <c r="AJ231" s="3"/>
      <c r="AK231" s="3" t="str">
        <f>HYPERLINK("https://knigipp.ru/api/getInfo/item/d9b35f94-3b1c-11ec-a20f-ac1f6b442185")</f>
        <v>https://knigipp.ru/api/getInfo/item/d9b35f94-3b1c-11ec-a20f-ac1f6b442185</v>
      </c>
      <c r="AL231" s="3" t="s">
        <v>1032</v>
      </c>
    </row>
    <row r="232" spans="1:38" ht="23.1" customHeight="1" outlineLevel="2" x14ac:dyDescent="0.2">
      <c r="A232" s="47" t="s">
        <v>1120</v>
      </c>
      <c r="B232" s="47"/>
      <c r="C232" s="47"/>
      <c r="D232" s="47"/>
      <c r="E232" s="47"/>
      <c r="F232" s="47"/>
    </row>
    <row r="233" spans="1:38" ht="21" customHeight="1" outlineLevel="3" x14ac:dyDescent="0.2">
      <c r="A233" s="2">
        <v>170</v>
      </c>
      <c r="B233" s="3" t="s">
        <v>1121</v>
      </c>
      <c r="C233" s="49" t="s">
        <v>1122</v>
      </c>
      <c r="D233" s="49"/>
      <c r="E233" s="49"/>
      <c r="F233" s="49"/>
      <c r="G233" s="4" t="s">
        <v>1123</v>
      </c>
      <c r="H233" s="8"/>
      <c r="I233" s="9" t="s">
        <v>1124</v>
      </c>
      <c r="J233" s="10"/>
      <c r="K233" s="11">
        <v>10</v>
      </c>
      <c r="L233" s="10"/>
      <c r="M233" s="10" t="s">
        <v>78</v>
      </c>
      <c r="N233" s="10"/>
      <c r="O233" s="2">
        <v>2</v>
      </c>
      <c r="P233" s="17">
        <f>349*(1-S3/100)</f>
        <v>349</v>
      </c>
      <c r="Q233" s="18"/>
      <c r="R233" s="10">
        <f t="shared" ref="R233:R238" si="12">P233*Q233</f>
        <v>0</v>
      </c>
      <c r="S233" s="19">
        <f>0.141*Q233</f>
        <v>0</v>
      </c>
      <c r="T233" s="20">
        <f>0.00042*Q233</f>
        <v>0</v>
      </c>
      <c r="U233" s="21"/>
      <c r="V233" s="22" t="s">
        <v>1125</v>
      </c>
      <c r="W233" s="22" t="s">
        <v>49</v>
      </c>
      <c r="X233" s="3"/>
      <c r="Y233" s="3"/>
      <c r="Z233" s="3" t="s">
        <v>52</v>
      </c>
      <c r="AA233" s="3"/>
      <c r="AB233" s="3"/>
      <c r="AC233" s="3" t="str">
        <f>HYPERLINK("https://knigipp.ru/api/getInfo/image/77fb7c29-b810-11ed-a230-00155d82e902")</f>
        <v>https://knigipp.ru/api/getInfo/image/77fb7c29-b810-11ed-a230-00155d82e902</v>
      </c>
      <c r="AD233" s="32">
        <v>32</v>
      </c>
      <c r="AE233" s="3"/>
      <c r="AF233" s="3" t="s">
        <v>136</v>
      </c>
      <c r="AG233" s="3"/>
      <c r="AH233" s="3" t="s">
        <v>56</v>
      </c>
      <c r="AI233" s="3"/>
      <c r="AJ233" s="3"/>
      <c r="AK233" s="3" t="str">
        <f>HYPERLINK("https://knigipp.ru/api/getInfo/item/77fb7c29-b810-11ed-a230-00155d82e902")</f>
        <v>https://knigipp.ru/api/getInfo/item/77fb7c29-b810-11ed-a230-00155d82e902</v>
      </c>
      <c r="AL233" s="3" t="s">
        <v>1126</v>
      </c>
    </row>
    <row r="234" spans="1:38" ht="21" customHeight="1" outlineLevel="3" x14ac:dyDescent="0.2">
      <c r="A234" s="2">
        <v>171</v>
      </c>
      <c r="B234" s="3" t="s">
        <v>1127</v>
      </c>
      <c r="C234" s="49" t="s">
        <v>1128</v>
      </c>
      <c r="D234" s="49"/>
      <c r="E234" s="49"/>
      <c r="F234" s="49"/>
      <c r="G234" s="4" t="s">
        <v>1129</v>
      </c>
      <c r="H234" s="8"/>
      <c r="I234" s="9" t="s">
        <v>1124</v>
      </c>
      <c r="J234" s="10"/>
      <c r="K234" s="11">
        <v>10</v>
      </c>
      <c r="L234" s="10"/>
      <c r="M234" s="10" t="s">
        <v>47</v>
      </c>
      <c r="N234" s="10"/>
      <c r="O234" s="2">
        <v>2</v>
      </c>
      <c r="P234" s="17">
        <f>349*(1-S3/100)</f>
        <v>349</v>
      </c>
      <c r="Q234" s="18"/>
      <c r="R234" s="10">
        <f t="shared" si="12"/>
        <v>0</v>
      </c>
      <c r="S234" s="19">
        <f>0.398*Q234</f>
        <v>0</v>
      </c>
      <c r="T234" s="20">
        <f>0.00052*Q234</f>
        <v>0</v>
      </c>
      <c r="U234" s="21"/>
      <c r="V234" s="22" t="s">
        <v>1130</v>
      </c>
      <c r="W234" s="22" t="s">
        <v>49</v>
      </c>
      <c r="X234" s="3"/>
      <c r="Y234" s="3"/>
      <c r="Z234" s="3" t="s">
        <v>52</v>
      </c>
      <c r="AA234" s="3"/>
      <c r="AB234" s="3"/>
      <c r="AC234" s="3" t="str">
        <f>HYPERLINK("https://knigipp.ru/api/getInfo/image/86aa6fb6-c39b-11eb-a206-ac1f6b442185")</f>
        <v>https://knigipp.ru/api/getInfo/image/86aa6fb6-c39b-11eb-a206-ac1f6b442185</v>
      </c>
      <c r="AD234" s="32">
        <v>32</v>
      </c>
      <c r="AE234" s="3"/>
      <c r="AF234" s="3" t="s">
        <v>136</v>
      </c>
      <c r="AG234" s="3"/>
      <c r="AH234" s="3" t="s">
        <v>56</v>
      </c>
      <c r="AI234" s="3"/>
      <c r="AJ234" s="3"/>
      <c r="AK234" s="3" t="str">
        <f>HYPERLINK("https://knigipp.ru/api/getInfo/item/86aa6fb6-c39b-11eb-a206-ac1f6b442185")</f>
        <v>https://knigipp.ru/api/getInfo/item/86aa6fb6-c39b-11eb-a206-ac1f6b442185</v>
      </c>
      <c r="AL234" s="3" t="s">
        <v>1126</v>
      </c>
    </row>
    <row r="235" spans="1:38" ht="21" customHeight="1" outlineLevel="3" x14ac:dyDescent="0.2">
      <c r="A235" s="2">
        <v>172</v>
      </c>
      <c r="B235" s="3" t="s">
        <v>1131</v>
      </c>
      <c r="C235" s="49" t="s">
        <v>1132</v>
      </c>
      <c r="D235" s="49"/>
      <c r="E235" s="49"/>
      <c r="F235" s="49"/>
      <c r="G235" s="4" t="s">
        <v>1133</v>
      </c>
      <c r="H235" s="8"/>
      <c r="I235" s="9" t="s">
        <v>1124</v>
      </c>
      <c r="J235" s="10"/>
      <c r="K235" s="11">
        <v>10</v>
      </c>
      <c r="L235" s="10"/>
      <c r="M235" s="10" t="s">
        <v>78</v>
      </c>
      <c r="N235" s="10"/>
      <c r="O235" s="2">
        <v>2</v>
      </c>
      <c r="P235" s="17">
        <f>349*(1-S3/100)</f>
        <v>349</v>
      </c>
      <c r="Q235" s="18"/>
      <c r="R235" s="10">
        <f t="shared" si="12"/>
        <v>0</v>
      </c>
      <c r="S235" s="19">
        <f>0.388*Q235</f>
        <v>0</v>
      </c>
      <c r="T235" s="20">
        <f>0.00064*Q235</f>
        <v>0</v>
      </c>
      <c r="U235" s="21"/>
      <c r="V235" s="22" t="s">
        <v>1134</v>
      </c>
      <c r="W235" s="22" t="s">
        <v>49</v>
      </c>
      <c r="X235" s="3"/>
      <c r="Y235" s="3"/>
      <c r="Z235" s="3" t="s">
        <v>52</v>
      </c>
      <c r="AA235" s="3"/>
      <c r="AB235" s="3"/>
      <c r="AC235" s="3" t="str">
        <f>HYPERLINK("https://knigipp.ru/api/getInfo/image/642a8b7d-c39b-11eb-a206-ac1f6b442185")</f>
        <v>https://knigipp.ru/api/getInfo/image/642a8b7d-c39b-11eb-a206-ac1f6b442185</v>
      </c>
      <c r="AD235" s="32">
        <v>32</v>
      </c>
      <c r="AE235" s="3"/>
      <c r="AF235" s="3" t="s">
        <v>136</v>
      </c>
      <c r="AG235" s="3"/>
      <c r="AH235" s="3" t="s">
        <v>56</v>
      </c>
      <c r="AI235" s="3"/>
      <c r="AJ235" s="3"/>
      <c r="AK235" s="3" t="str">
        <f>HYPERLINK("https://knigipp.ru/api/getInfo/item/642a8b7d-c39b-11eb-a206-ac1f6b442185")</f>
        <v>https://knigipp.ru/api/getInfo/item/642a8b7d-c39b-11eb-a206-ac1f6b442185</v>
      </c>
      <c r="AL235" s="3" t="s">
        <v>1126</v>
      </c>
    </row>
    <row r="236" spans="1:38" ht="21" customHeight="1" outlineLevel="3" x14ac:dyDescent="0.2">
      <c r="A236" s="2">
        <v>173</v>
      </c>
      <c r="B236" s="3" t="s">
        <v>1135</v>
      </c>
      <c r="C236" s="49" t="s">
        <v>1136</v>
      </c>
      <c r="D236" s="49"/>
      <c r="E236" s="49"/>
      <c r="F236" s="49"/>
      <c r="G236" s="4" t="s">
        <v>1137</v>
      </c>
      <c r="H236" s="8"/>
      <c r="I236" s="9" t="s">
        <v>1124</v>
      </c>
      <c r="J236" s="10"/>
      <c r="K236" s="11">
        <v>10</v>
      </c>
      <c r="L236" s="10"/>
      <c r="M236" s="10" t="s">
        <v>47</v>
      </c>
      <c r="N236" s="10"/>
      <c r="O236" s="2">
        <v>2</v>
      </c>
      <c r="P236" s="17">
        <f>349*(1-S3/100)</f>
        <v>349</v>
      </c>
      <c r="Q236" s="18"/>
      <c r="R236" s="10">
        <f t="shared" si="12"/>
        <v>0</v>
      </c>
      <c r="S236" s="19">
        <f>0.387*Q236</f>
        <v>0</v>
      </c>
      <c r="T236" s="20">
        <f>0.00052*Q236</f>
        <v>0</v>
      </c>
      <c r="U236" s="21"/>
      <c r="V236" s="22" t="s">
        <v>1138</v>
      </c>
      <c r="W236" s="22" t="s">
        <v>49</v>
      </c>
      <c r="X236" s="3"/>
      <c r="Y236" s="3"/>
      <c r="Z236" s="3" t="s">
        <v>52</v>
      </c>
      <c r="AA236" s="3"/>
      <c r="AB236" s="3"/>
      <c r="AC236" s="3" t="str">
        <f>HYPERLINK("https://knigipp.ru/api/getInfo/image/3333ae91-b810-11ed-a230-00155d82e902")</f>
        <v>https://knigipp.ru/api/getInfo/image/3333ae91-b810-11ed-a230-00155d82e902</v>
      </c>
      <c r="AD236" s="32">
        <v>32</v>
      </c>
      <c r="AE236" s="3"/>
      <c r="AF236" s="3" t="s">
        <v>136</v>
      </c>
      <c r="AG236" s="3"/>
      <c r="AH236" s="3" t="s">
        <v>56</v>
      </c>
      <c r="AI236" s="3"/>
      <c r="AJ236" s="3"/>
      <c r="AK236" s="3" t="str">
        <f>HYPERLINK("https://knigipp.ru/api/getInfo/item/3333ae91-b810-11ed-a230-00155d82e902")</f>
        <v>https://knigipp.ru/api/getInfo/item/3333ae91-b810-11ed-a230-00155d82e902</v>
      </c>
      <c r="AL236" s="3" t="s">
        <v>1126</v>
      </c>
    </row>
    <row r="237" spans="1:38" ht="21" customHeight="1" outlineLevel="3" x14ac:dyDescent="0.2">
      <c r="A237" s="2">
        <v>174</v>
      </c>
      <c r="B237" s="3" t="s">
        <v>1139</v>
      </c>
      <c r="C237" s="49" t="s">
        <v>1140</v>
      </c>
      <c r="D237" s="49"/>
      <c r="E237" s="49"/>
      <c r="F237" s="49"/>
      <c r="G237" s="4" t="s">
        <v>1141</v>
      </c>
      <c r="H237" s="8"/>
      <c r="I237" s="9" t="s">
        <v>1124</v>
      </c>
      <c r="J237" s="10"/>
      <c r="K237" s="11">
        <v>10</v>
      </c>
      <c r="L237" s="10"/>
      <c r="M237" s="10" t="s">
        <v>47</v>
      </c>
      <c r="N237" s="10"/>
      <c r="O237" s="2">
        <v>2</v>
      </c>
      <c r="P237" s="17">
        <f>349*(1-S3/100)</f>
        <v>349</v>
      </c>
      <c r="Q237" s="18"/>
      <c r="R237" s="10">
        <f t="shared" si="12"/>
        <v>0</v>
      </c>
      <c r="S237" s="19">
        <f>0.398*Q237</f>
        <v>0</v>
      </c>
      <c r="T237" s="20">
        <f>0.00052*Q237</f>
        <v>0</v>
      </c>
      <c r="U237" s="21"/>
      <c r="V237" s="22" t="s">
        <v>1142</v>
      </c>
      <c r="W237" s="22" t="s">
        <v>49</v>
      </c>
      <c r="X237" s="3"/>
      <c r="Y237" s="3"/>
      <c r="Z237" s="3" t="s">
        <v>757</v>
      </c>
      <c r="AA237" s="3"/>
      <c r="AB237" s="3"/>
      <c r="AC237" s="3" t="str">
        <f>HYPERLINK("https://knigipp.ru/api/getInfo/image/f79037ef-d20c-11ed-a230-00155d82e902")</f>
        <v>https://knigipp.ru/api/getInfo/image/f79037ef-d20c-11ed-a230-00155d82e902</v>
      </c>
      <c r="AD237" s="32">
        <v>32</v>
      </c>
      <c r="AE237" s="3"/>
      <c r="AF237" s="3" t="s">
        <v>136</v>
      </c>
      <c r="AG237" s="3"/>
      <c r="AH237" s="3" t="s">
        <v>56</v>
      </c>
      <c r="AI237" s="3"/>
      <c r="AJ237" s="3"/>
      <c r="AK237" s="3" t="str">
        <f>HYPERLINK("https://knigipp.ru/api/getInfo/item/f79037ef-d20c-11ed-a230-00155d82e902")</f>
        <v>https://knigipp.ru/api/getInfo/item/f79037ef-d20c-11ed-a230-00155d82e902</v>
      </c>
      <c r="AL237" s="3" t="s">
        <v>1126</v>
      </c>
    </row>
    <row r="238" spans="1:38" ht="21" customHeight="1" outlineLevel="3" x14ac:dyDescent="0.2">
      <c r="A238" s="2">
        <v>175</v>
      </c>
      <c r="B238" s="3" t="s">
        <v>1143</v>
      </c>
      <c r="C238" s="49" t="s">
        <v>1144</v>
      </c>
      <c r="D238" s="49"/>
      <c r="E238" s="49"/>
      <c r="F238" s="49"/>
      <c r="G238" s="4" t="s">
        <v>1145</v>
      </c>
      <c r="H238" s="8"/>
      <c r="I238" s="9" t="s">
        <v>1124</v>
      </c>
      <c r="J238" s="10"/>
      <c r="K238" s="11">
        <v>10</v>
      </c>
      <c r="L238" s="10"/>
      <c r="M238" s="10" t="s">
        <v>78</v>
      </c>
      <c r="N238" s="10"/>
      <c r="O238" s="2">
        <v>2</v>
      </c>
      <c r="P238" s="17">
        <f>349*(1-S3/100)</f>
        <v>349</v>
      </c>
      <c r="Q238" s="18"/>
      <c r="R238" s="10">
        <f t="shared" si="12"/>
        <v>0</v>
      </c>
      <c r="S238" s="19">
        <f>0.389*Q238</f>
        <v>0</v>
      </c>
      <c r="T238" s="20">
        <f>0.00052*Q238</f>
        <v>0</v>
      </c>
      <c r="U238" s="21"/>
      <c r="V238" s="22" t="s">
        <v>1146</v>
      </c>
      <c r="W238" s="22" t="s">
        <v>49</v>
      </c>
      <c r="X238" s="3"/>
      <c r="Y238" s="3"/>
      <c r="Z238" s="3" t="s">
        <v>757</v>
      </c>
      <c r="AA238" s="3"/>
      <c r="AB238" s="3"/>
      <c r="AC238" s="3" t="str">
        <f>HYPERLINK("https://knigipp.ru/api/getInfo/image/631c2a89-edd4-11ee-a25b-00155d82e908")</f>
        <v>https://knigipp.ru/api/getInfo/image/631c2a89-edd4-11ee-a25b-00155d82e908</v>
      </c>
      <c r="AD238" s="32">
        <v>32</v>
      </c>
      <c r="AE238" s="3"/>
      <c r="AF238" s="3" t="s">
        <v>136</v>
      </c>
      <c r="AG238" s="3"/>
      <c r="AH238" s="3" t="s">
        <v>56</v>
      </c>
      <c r="AI238" s="3"/>
      <c r="AJ238" s="3"/>
      <c r="AK238" s="3" t="str">
        <f>HYPERLINK("https://knigipp.ru/api/getInfo/item/631c2a89-edd4-11ee-a25b-00155d82e908")</f>
        <v>https://knigipp.ru/api/getInfo/item/631c2a89-edd4-11ee-a25b-00155d82e908</v>
      </c>
      <c r="AL238" s="3" t="s">
        <v>1126</v>
      </c>
    </row>
    <row r="239" spans="1:38" ht="23.1" customHeight="1" outlineLevel="1" x14ac:dyDescent="0.2">
      <c r="A239" s="46" t="s">
        <v>1147</v>
      </c>
      <c r="B239" s="46"/>
      <c r="C239" s="46"/>
      <c r="D239" s="46"/>
      <c r="E239" s="46"/>
      <c r="F239" s="46"/>
    </row>
    <row r="240" spans="1:38" ht="23.1" customHeight="1" outlineLevel="2" x14ac:dyDescent="0.2">
      <c r="A240" s="47" t="s">
        <v>1148</v>
      </c>
      <c r="B240" s="47"/>
      <c r="C240" s="47"/>
      <c r="D240" s="47"/>
      <c r="E240" s="47"/>
      <c r="F240" s="47"/>
    </row>
    <row r="241" spans="1:38" ht="23.1" customHeight="1" outlineLevel="3" x14ac:dyDescent="0.2">
      <c r="A241" s="48" t="s">
        <v>1149</v>
      </c>
      <c r="B241" s="48"/>
      <c r="C241" s="48"/>
      <c r="D241" s="48"/>
      <c r="E241" s="48"/>
      <c r="F241" s="48"/>
    </row>
    <row r="242" spans="1:38" ht="21" customHeight="1" outlineLevel="4" x14ac:dyDescent="0.2">
      <c r="A242" s="2">
        <v>176</v>
      </c>
      <c r="B242" s="3" t="s">
        <v>1150</v>
      </c>
      <c r="C242" s="49" t="s">
        <v>1151</v>
      </c>
      <c r="D242" s="49"/>
      <c r="E242" s="49"/>
      <c r="F242" s="49"/>
      <c r="G242" s="4" t="s">
        <v>1152</v>
      </c>
      <c r="H242" s="8"/>
      <c r="I242" s="9" t="s">
        <v>1153</v>
      </c>
      <c r="J242" s="10"/>
      <c r="K242" s="11">
        <v>50</v>
      </c>
      <c r="L242" s="10"/>
      <c r="M242" s="10" t="s">
        <v>47</v>
      </c>
      <c r="N242" s="10"/>
      <c r="O242" s="2">
        <v>7</v>
      </c>
      <c r="P242" s="17">
        <f>99*(1-S3/100)</f>
        <v>99</v>
      </c>
      <c r="Q242" s="18"/>
      <c r="R242" s="10">
        <f>P242*Q242</f>
        <v>0</v>
      </c>
      <c r="S242" s="19">
        <f>0.063*Q242</f>
        <v>0</v>
      </c>
      <c r="T242" s="20">
        <f>0.00039*Q242</f>
        <v>0</v>
      </c>
      <c r="U242" s="21"/>
      <c r="V242" s="22" t="s">
        <v>1154</v>
      </c>
      <c r="W242" s="22" t="s">
        <v>49</v>
      </c>
      <c r="X242" s="3"/>
      <c r="Y242" s="3"/>
      <c r="Z242" s="3" t="s">
        <v>52</v>
      </c>
      <c r="AA242" s="3"/>
      <c r="AB242" s="3"/>
      <c r="AC242" s="3" t="str">
        <f>HYPERLINK("https://knigipp.ru/api/getInfo/image/b5dfcb98-b18e-11ec-a211-ac1f6b442185")</f>
        <v>https://knigipp.ru/api/getInfo/image/b5dfcb98-b18e-11ec-a211-ac1f6b442185</v>
      </c>
      <c r="AD242" s="32">
        <v>16</v>
      </c>
      <c r="AE242" s="3"/>
      <c r="AF242" s="3" t="s">
        <v>136</v>
      </c>
      <c r="AG242" s="3"/>
      <c r="AH242" s="3" t="s">
        <v>56</v>
      </c>
      <c r="AI242" s="3"/>
      <c r="AJ242" s="3"/>
      <c r="AK242" s="3" t="str">
        <f>HYPERLINK("https://knigipp.ru/api/getInfo/item/b5dfcb98-b18e-11ec-a211-ac1f6b442185")</f>
        <v>https://knigipp.ru/api/getInfo/item/b5dfcb98-b18e-11ec-a211-ac1f6b442185</v>
      </c>
      <c r="AL242" s="3" t="s">
        <v>1155</v>
      </c>
    </row>
    <row r="243" spans="1:38" ht="21" customHeight="1" outlineLevel="4" x14ac:dyDescent="0.2">
      <c r="A243" s="2">
        <v>177</v>
      </c>
      <c r="B243" s="3" t="s">
        <v>1156</v>
      </c>
      <c r="C243" s="49" t="s">
        <v>1157</v>
      </c>
      <c r="D243" s="49"/>
      <c r="E243" s="49"/>
      <c r="F243" s="49"/>
      <c r="G243" s="4" t="s">
        <v>1158</v>
      </c>
      <c r="H243" s="8"/>
      <c r="I243" s="9" t="s">
        <v>1153</v>
      </c>
      <c r="J243" s="10"/>
      <c r="K243" s="11">
        <v>50</v>
      </c>
      <c r="L243" s="10"/>
      <c r="M243" s="10" t="s">
        <v>47</v>
      </c>
      <c r="N243" s="10"/>
      <c r="O243" s="2">
        <v>7</v>
      </c>
      <c r="P243" s="17">
        <f>99*(1-S3/100)</f>
        <v>99</v>
      </c>
      <c r="Q243" s="18"/>
      <c r="R243" s="10">
        <f>P243*Q243</f>
        <v>0</v>
      </c>
      <c r="S243" s="19">
        <f>0.066*Q243</f>
        <v>0</v>
      </c>
      <c r="T243" s="20">
        <f>0.00033*Q243</f>
        <v>0</v>
      </c>
      <c r="U243" s="21"/>
      <c r="V243" s="22" t="s">
        <v>1159</v>
      </c>
      <c r="W243" s="22" t="s">
        <v>49</v>
      </c>
      <c r="X243" s="3"/>
      <c r="Y243" s="3"/>
      <c r="Z243" s="3" t="s">
        <v>52</v>
      </c>
      <c r="AA243" s="3"/>
      <c r="AB243" s="3"/>
      <c r="AC243" s="3" t="str">
        <f>HYPERLINK("https://knigipp.ru/api/getInfo/image/e0166c8d-b18e-11ec-a211-ac1f6b442185")</f>
        <v>https://knigipp.ru/api/getInfo/image/e0166c8d-b18e-11ec-a211-ac1f6b442185</v>
      </c>
      <c r="AD243" s="32">
        <v>16</v>
      </c>
      <c r="AE243" s="3"/>
      <c r="AF243" s="3" t="s">
        <v>136</v>
      </c>
      <c r="AG243" s="3"/>
      <c r="AH243" s="3" t="s">
        <v>56</v>
      </c>
      <c r="AI243" s="3"/>
      <c r="AJ243" s="3"/>
      <c r="AK243" s="3" t="str">
        <f>HYPERLINK("https://knigipp.ru/api/getInfo/item/e0166c8d-b18e-11ec-a211-ac1f6b442185")</f>
        <v>https://knigipp.ru/api/getInfo/item/e0166c8d-b18e-11ec-a211-ac1f6b442185</v>
      </c>
      <c r="AL243" s="3" t="s">
        <v>1155</v>
      </c>
    </row>
    <row r="244" spans="1:38" ht="21" customHeight="1" outlineLevel="4" x14ac:dyDescent="0.2">
      <c r="A244" s="2">
        <v>178</v>
      </c>
      <c r="B244" s="3" t="s">
        <v>1160</v>
      </c>
      <c r="C244" s="49" t="s">
        <v>1161</v>
      </c>
      <c r="D244" s="49"/>
      <c r="E244" s="49"/>
      <c r="F244" s="49"/>
      <c r="G244" s="4" t="s">
        <v>1162</v>
      </c>
      <c r="H244" s="8"/>
      <c r="I244" s="9" t="s">
        <v>1153</v>
      </c>
      <c r="J244" s="10"/>
      <c r="K244" s="11">
        <v>50</v>
      </c>
      <c r="L244" s="10"/>
      <c r="M244" s="10" t="s">
        <v>47</v>
      </c>
      <c r="N244" s="10"/>
      <c r="O244" s="2">
        <v>7</v>
      </c>
      <c r="P244" s="17">
        <f>99*(1-S3/100)</f>
        <v>99</v>
      </c>
      <c r="Q244" s="18"/>
      <c r="R244" s="10">
        <f>P244*Q244</f>
        <v>0</v>
      </c>
      <c r="S244" s="19">
        <f>0.067*Q244</f>
        <v>0</v>
      </c>
      <c r="T244" s="20">
        <f>0.00039*Q244</f>
        <v>0</v>
      </c>
      <c r="U244" s="21"/>
      <c r="V244" s="22" t="s">
        <v>1163</v>
      </c>
      <c r="W244" s="22" t="s">
        <v>49</v>
      </c>
      <c r="X244" s="3"/>
      <c r="Y244" s="3"/>
      <c r="Z244" s="3" t="s">
        <v>52</v>
      </c>
      <c r="AA244" s="3"/>
      <c r="AB244" s="3"/>
      <c r="AC244" s="3" t="str">
        <f>HYPERLINK("https://knigipp.ru/api/getInfo/image/424e0acb-b18e-11ec-a211-ac1f6b442185")</f>
        <v>https://knigipp.ru/api/getInfo/image/424e0acb-b18e-11ec-a211-ac1f6b442185</v>
      </c>
      <c r="AD244" s="32">
        <v>16</v>
      </c>
      <c r="AE244" s="3"/>
      <c r="AF244" s="3" t="s">
        <v>136</v>
      </c>
      <c r="AG244" s="3"/>
      <c r="AH244" s="3" t="s">
        <v>56</v>
      </c>
      <c r="AI244" s="3"/>
      <c r="AJ244" s="3"/>
      <c r="AK244" s="3" t="str">
        <f>HYPERLINK("https://knigipp.ru/api/getInfo/item/424e0acb-b18e-11ec-a211-ac1f6b442185")</f>
        <v>https://knigipp.ru/api/getInfo/item/424e0acb-b18e-11ec-a211-ac1f6b442185</v>
      </c>
      <c r="AL244" s="3" t="s">
        <v>1155</v>
      </c>
    </row>
    <row r="245" spans="1:38" ht="21" customHeight="1" outlineLevel="4" x14ac:dyDescent="0.2">
      <c r="A245" s="2">
        <v>179</v>
      </c>
      <c r="B245" s="3" t="s">
        <v>1164</v>
      </c>
      <c r="C245" s="49" t="s">
        <v>1165</v>
      </c>
      <c r="D245" s="49"/>
      <c r="E245" s="49"/>
      <c r="F245" s="49"/>
      <c r="G245" s="4" t="s">
        <v>1166</v>
      </c>
      <c r="H245" s="8"/>
      <c r="I245" s="9" t="s">
        <v>1153</v>
      </c>
      <c r="J245" s="10"/>
      <c r="K245" s="11">
        <v>50</v>
      </c>
      <c r="L245" s="10"/>
      <c r="M245" s="10" t="s">
        <v>47</v>
      </c>
      <c r="N245" s="10"/>
      <c r="O245" s="2">
        <v>7</v>
      </c>
      <c r="P245" s="17">
        <f>99*(1-S3/100)</f>
        <v>99</v>
      </c>
      <c r="Q245" s="18"/>
      <c r="R245" s="10">
        <f>P245*Q245</f>
        <v>0</v>
      </c>
      <c r="S245" s="19">
        <f>0.066*Q245</f>
        <v>0</v>
      </c>
      <c r="T245" s="30">
        <f>0.0002*Q245</f>
        <v>0</v>
      </c>
      <c r="U245" s="21"/>
      <c r="V245" s="22" t="s">
        <v>1167</v>
      </c>
      <c r="W245" s="22" t="s">
        <v>49</v>
      </c>
      <c r="X245" s="3"/>
      <c r="Y245" s="3"/>
      <c r="Z245" s="3" t="s">
        <v>52</v>
      </c>
      <c r="AA245" s="3"/>
      <c r="AB245" s="3"/>
      <c r="AC245" s="3" t="str">
        <f>HYPERLINK("https://knigipp.ru/api/getInfo/image/84256d24-b18e-11ec-a211-ac1f6b442185")</f>
        <v>https://knigipp.ru/api/getInfo/image/84256d24-b18e-11ec-a211-ac1f6b442185</v>
      </c>
      <c r="AD245" s="32">
        <v>16</v>
      </c>
      <c r="AE245" s="3"/>
      <c r="AF245" s="3" t="s">
        <v>136</v>
      </c>
      <c r="AG245" s="3"/>
      <c r="AH245" s="3" t="s">
        <v>56</v>
      </c>
      <c r="AI245" s="3"/>
      <c r="AJ245" s="3"/>
      <c r="AK245" s="3" t="str">
        <f>HYPERLINK("https://knigipp.ru/api/getInfo/item/84256d24-b18e-11ec-a211-ac1f6b442185")</f>
        <v>https://knigipp.ru/api/getInfo/item/84256d24-b18e-11ec-a211-ac1f6b442185</v>
      </c>
      <c r="AL245" s="3" t="s">
        <v>1155</v>
      </c>
    </row>
    <row r="246" spans="1:38" ht="23.1" customHeight="1" outlineLevel="3" x14ac:dyDescent="0.2">
      <c r="A246" s="48" t="s">
        <v>1168</v>
      </c>
      <c r="B246" s="48"/>
      <c r="C246" s="48"/>
      <c r="D246" s="48"/>
      <c r="E246" s="48"/>
      <c r="F246" s="48"/>
    </row>
    <row r="247" spans="1:38" ht="21" customHeight="1" outlineLevel="4" x14ac:dyDescent="0.2">
      <c r="A247" s="2">
        <v>180</v>
      </c>
      <c r="B247" s="3" t="s">
        <v>1169</v>
      </c>
      <c r="C247" s="49" t="s">
        <v>1170</v>
      </c>
      <c r="D247" s="49"/>
      <c r="E247" s="49"/>
      <c r="F247" s="49"/>
      <c r="G247" s="4" t="s">
        <v>1171</v>
      </c>
      <c r="H247" s="8"/>
      <c r="I247" s="9" t="s">
        <v>1172</v>
      </c>
      <c r="J247" s="10"/>
      <c r="K247" s="11">
        <v>50</v>
      </c>
      <c r="L247" s="10"/>
      <c r="M247" s="10" t="s">
        <v>78</v>
      </c>
      <c r="N247" s="10"/>
      <c r="O247" s="2">
        <v>8</v>
      </c>
      <c r="P247" s="17">
        <f>79*(1-S3/100)</f>
        <v>79</v>
      </c>
      <c r="Q247" s="18"/>
      <c r="R247" s="10">
        <f>P247*Q247</f>
        <v>0</v>
      </c>
      <c r="S247" s="19">
        <f>0.065*Q247</f>
        <v>0</v>
      </c>
      <c r="T247" s="20">
        <f>0.00011*Q247</f>
        <v>0</v>
      </c>
      <c r="U247" s="21"/>
      <c r="V247" s="22" t="s">
        <v>1173</v>
      </c>
      <c r="W247" s="22" t="s">
        <v>49</v>
      </c>
      <c r="X247" s="3"/>
      <c r="Y247" s="3"/>
      <c r="Z247" s="3"/>
      <c r="AA247" s="3"/>
      <c r="AB247" s="3"/>
      <c r="AC247" s="3" t="str">
        <f>HYPERLINK("https://knigipp.ru/api/getInfo/image/2d7eb904-e1ae-11ec-a213-ac1f6b442185")</f>
        <v>https://knigipp.ru/api/getInfo/image/2d7eb904-e1ae-11ec-a213-ac1f6b442185</v>
      </c>
      <c r="AD247" s="32">
        <v>16</v>
      </c>
      <c r="AE247" s="3"/>
      <c r="AF247" s="3" t="s">
        <v>136</v>
      </c>
      <c r="AG247" s="3"/>
      <c r="AH247" s="3" t="s">
        <v>56</v>
      </c>
      <c r="AI247" s="3"/>
      <c r="AJ247" s="3"/>
      <c r="AK247" s="3" t="str">
        <f>HYPERLINK("https://knigipp.ru/api/getInfo/item/2d7eb904-e1ae-11ec-a213-ac1f6b442185")</f>
        <v>https://knigipp.ru/api/getInfo/item/2d7eb904-e1ae-11ec-a213-ac1f6b442185</v>
      </c>
      <c r="AL247" s="3" t="s">
        <v>935</v>
      </c>
    </row>
    <row r="248" spans="1:38" ht="21" customHeight="1" outlineLevel="4" x14ac:dyDescent="0.2">
      <c r="A248" s="2">
        <v>181</v>
      </c>
      <c r="B248" s="3" t="s">
        <v>1174</v>
      </c>
      <c r="C248" s="49" t="s">
        <v>1175</v>
      </c>
      <c r="D248" s="49"/>
      <c r="E248" s="49"/>
      <c r="F248" s="49"/>
      <c r="G248" s="4" t="s">
        <v>1176</v>
      </c>
      <c r="H248" s="8"/>
      <c r="I248" s="9" t="s">
        <v>1172</v>
      </c>
      <c r="J248" s="10"/>
      <c r="K248" s="11">
        <v>50</v>
      </c>
      <c r="L248" s="10"/>
      <c r="M248" s="10" t="s">
        <v>78</v>
      </c>
      <c r="N248" s="10"/>
      <c r="O248" s="2">
        <v>8</v>
      </c>
      <c r="P248" s="17">
        <f>79*(1-S3/100)</f>
        <v>79</v>
      </c>
      <c r="Q248" s="18"/>
      <c r="R248" s="10">
        <f>P248*Q248</f>
        <v>0</v>
      </c>
      <c r="S248" s="19">
        <f>0.065*Q248</f>
        <v>0</v>
      </c>
      <c r="T248" s="20">
        <f>0.00011*Q248</f>
        <v>0</v>
      </c>
      <c r="U248" s="21"/>
      <c r="V248" s="22" t="s">
        <v>1177</v>
      </c>
      <c r="W248" s="22" t="s">
        <v>49</v>
      </c>
      <c r="X248" s="3"/>
      <c r="Y248" s="3"/>
      <c r="Z248" s="3"/>
      <c r="AA248" s="3"/>
      <c r="AB248" s="3"/>
      <c r="AC248" s="3" t="str">
        <f>HYPERLINK("https://knigipp.ru/api/getInfo/image/78e9f0ed-e1ae-11ec-a213-ac1f6b442185")</f>
        <v>https://knigipp.ru/api/getInfo/image/78e9f0ed-e1ae-11ec-a213-ac1f6b442185</v>
      </c>
      <c r="AD248" s="32">
        <v>16</v>
      </c>
      <c r="AE248" s="3"/>
      <c r="AF248" s="3" t="s">
        <v>136</v>
      </c>
      <c r="AG248" s="3"/>
      <c r="AH248" s="3" t="s">
        <v>56</v>
      </c>
      <c r="AI248" s="3"/>
      <c r="AJ248" s="3"/>
      <c r="AK248" s="3" t="str">
        <f>HYPERLINK("https://knigipp.ru/api/getInfo/item/78e9f0ed-e1ae-11ec-a213-ac1f6b442185")</f>
        <v>https://knigipp.ru/api/getInfo/item/78e9f0ed-e1ae-11ec-a213-ac1f6b442185</v>
      </c>
      <c r="AL248" s="3" t="s">
        <v>935</v>
      </c>
    </row>
    <row r="249" spans="1:38" ht="21" customHeight="1" outlineLevel="4" x14ac:dyDescent="0.2">
      <c r="A249" s="2">
        <v>182</v>
      </c>
      <c r="B249" s="3" t="s">
        <v>1178</v>
      </c>
      <c r="C249" s="49" t="s">
        <v>1179</v>
      </c>
      <c r="D249" s="49"/>
      <c r="E249" s="49"/>
      <c r="F249" s="49"/>
      <c r="G249" s="4" t="s">
        <v>1180</v>
      </c>
      <c r="H249" s="8"/>
      <c r="I249" s="9" t="s">
        <v>1172</v>
      </c>
      <c r="J249" s="10"/>
      <c r="K249" s="11">
        <v>50</v>
      </c>
      <c r="L249" s="10"/>
      <c r="M249" s="10" t="s">
        <v>78</v>
      </c>
      <c r="N249" s="10"/>
      <c r="O249" s="2">
        <v>8</v>
      </c>
      <c r="P249" s="17">
        <f>79*(1-S3/100)</f>
        <v>79</v>
      </c>
      <c r="Q249" s="18"/>
      <c r="R249" s="10">
        <f>P249*Q249</f>
        <v>0</v>
      </c>
      <c r="S249" s="10">
        <v>0</v>
      </c>
      <c r="T249" s="10">
        <v>0</v>
      </c>
      <c r="U249" s="21"/>
      <c r="V249" s="22" t="s">
        <v>1181</v>
      </c>
      <c r="W249" s="22" t="s">
        <v>49</v>
      </c>
      <c r="X249" s="3"/>
      <c r="Y249" s="3"/>
      <c r="Z249" s="3"/>
      <c r="AA249" s="3"/>
      <c r="AB249" s="3"/>
      <c r="AC249" s="3" t="str">
        <f>HYPERLINK("https://knigipp.ru/api/getInfo/image/93da284e-e1ad-11ec-a213-ac1f6b442185")</f>
        <v>https://knigipp.ru/api/getInfo/image/93da284e-e1ad-11ec-a213-ac1f6b442185</v>
      </c>
      <c r="AD249" s="32">
        <v>16</v>
      </c>
      <c r="AE249" s="3"/>
      <c r="AF249" s="3" t="s">
        <v>136</v>
      </c>
      <c r="AG249" s="3"/>
      <c r="AH249" s="3" t="s">
        <v>56</v>
      </c>
      <c r="AI249" s="3"/>
      <c r="AJ249" s="3"/>
      <c r="AK249" s="3" t="str">
        <f>HYPERLINK("https://knigipp.ru/api/getInfo/item/93da284e-e1ad-11ec-a213-ac1f6b442185")</f>
        <v>https://knigipp.ru/api/getInfo/item/93da284e-e1ad-11ec-a213-ac1f6b442185</v>
      </c>
      <c r="AL249" s="3" t="s">
        <v>935</v>
      </c>
    </row>
    <row r="250" spans="1:38" ht="23.1" customHeight="1" outlineLevel="2" x14ac:dyDescent="0.2">
      <c r="A250" s="47" t="s">
        <v>1182</v>
      </c>
      <c r="B250" s="47"/>
      <c r="C250" s="47"/>
      <c r="D250" s="47"/>
      <c r="E250" s="47"/>
      <c r="F250" s="47"/>
    </row>
    <row r="251" spans="1:38" ht="21" customHeight="1" outlineLevel="3" x14ac:dyDescent="0.2">
      <c r="A251" s="2">
        <v>183</v>
      </c>
      <c r="B251" s="3" t="s">
        <v>1183</v>
      </c>
      <c r="C251" s="49" t="s">
        <v>1184</v>
      </c>
      <c r="D251" s="49"/>
      <c r="E251" s="49"/>
      <c r="F251" s="49"/>
      <c r="G251" s="4" t="s">
        <v>1185</v>
      </c>
      <c r="H251" s="8"/>
      <c r="I251" s="9" t="s">
        <v>1186</v>
      </c>
      <c r="J251" s="10"/>
      <c r="K251" s="11">
        <v>10</v>
      </c>
      <c r="L251" s="10"/>
      <c r="M251" s="10" t="s">
        <v>304</v>
      </c>
      <c r="N251" s="10"/>
      <c r="O251" s="2">
        <v>2</v>
      </c>
      <c r="P251" s="17">
        <f>456.8*(1-S3/100)</f>
        <v>456.8</v>
      </c>
      <c r="Q251" s="18"/>
      <c r="R251" s="10">
        <f>P251*Q251</f>
        <v>0</v>
      </c>
      <c r="S251" s="19">
        <f>0.319*Q251</f>
        <v>0</v>
      </c>
      <c r="T251" s="20">
        <f>0.00056*Q251</f>
        <v>0</v>
      </c>
      <c r="U251" s="21"/>
      <c r="V251" s="22" t="s">
        <v>1187</v>
      </c>
      <c r="W251" s="22" t="s">
        <v>49</v>
      </c>
      <c r="X251" s="3"/>
      <c r="Y251" s="3"/>
      <c r="Z251" s="3" t="s">
        <v>52</v>
      </c>
      <c r="AA251" s="3"/>
      <c r="AB251" s="3"/>
      <c r="AC251" s="3" t="str">
        <f>HYPERLINK("https://knigipp.ru/api/getInfo/image/d1a27001-66f8-11ec-a20f-ac1f6b442185")</f>
        <v>https://knigipp.ru/api/getInfo/image/d1a27001-66f8-11ec-a20f-ac1f6b442185</v>
      </c>
      <c r="AD251" s="32">
        <v>24</v>
      </c>
      <c r="AE251" s="3" t="s">
        <v>54</v>
      </c>
      <c r="AF251" s="3" t="s">
        <v>127</v>
      </c>
      <c r="AG251" s="3"/>
      <c r="AH251" s="3" t="s">
        <v>56</v>
      </c>
      <c r="AI251" s="3"/>
      <c r="AJ251" s="3"/>
      <c r="AK251" s="3" t="str">
        <f>HYPERLINK("https://knigipp.ru/api/getInfo/item/d1a27001-66f8-11ec-a20f-ac1f6b442185")</f>
        <v>https://knigipp.ru/api/getInfo/item/d1a27001-66f8-11ec-a20f-ac1f6b442185</v>
      </c>
      <c r="AL251" s="3" t="s">
        <v>377</v>
      </c>
    </row>
    <row r="252" spans="1:38" ht="21" customHeight="1" outlineLevel="3" x14ac:dyDescent="0.2">
      <c r="A252" s="2">
        <v>184</v>
      </c>
      <c r="B252" s="3" t="s">
        <v>1188</v>
      </c>
      <c r="C252" s="49" t="s">
        <v>1189</v>
      </c>
      <c r="D252" s="49"/>
      <c r="E252" s="49"/>
      <c r="F252" s="49"/>
      <c r="G252" s="4" t="s">
        <v>1190</v>
      </c>
      <c r="H252" s="8"/>
      <c r="I252" s="9" t="s">
        <v>1191</v>
      </c>
      <c r="J252" s="10"/>
      <c r="K252" s="11">
        <v>10</v>
      </c>
      <c r="L252" s="10"/>
      <c r="M252" s="10" t="s">
        <v>47</v>
      </c>
      <c r="N252" s="10"/>
      <c r="O252" s="2">
        <v>3</v>
      </c>
      <c r="P252" s="17">
        <f>249*(1-S3/100)</f>
        <v>249</v>
      </c>
      <c r="Q252" s="18"/>
      <c r="R252" s="10">
        <f>P252*Q252</f>
        <v>0</v>
      </c>
      <c r="S252" s="19">
        <f>0.319*Q252</f>
        <v>0</v>
      </c>
      <c r="T252" s="20">
        <f>0.00056*Q252</f>
        <v>0</v>
      </c>
      <c r="U252" s="21"/>
      <c r="V252" s="22" t="s">
        <v>1192</v>
      </c>
      <c r="W252" s="22" t="s">
        <v>49</v>
      </c>
      <c r="X252" s="3" t="s">
        <v>117</v>
      </c>
      <c r="Y252" s="3"/>
      <c r="Z252" s="3" t="s">
        <v>52</v>
      </c>
      <c r="AA252" s="3"/>
      <c r="AB252" s="3"/>
      <c r="AC252" s="3" t="str">
        <f>HYPERLINK("https://knigipp.ru/api/getInfo/image/b69bf12d-9109-11e9-a226-ac1f6b442184")</f>
        <v>https://knigipp.ru/api/getInfo/image/b69bf12d-9109-11e9-a226-ac1f6b442184</v>
      </c>
      <c r="AD252" s="32">
        <v>24</v>
      </c>
      <c r="AE252" s="3"/>
      <c r="AF252" s="3" t="s">
        <v>127</v>
      </c>
      <c r="AG252" s="3"/>
      <c r="AH252" s="3" t="s">
        <v>56</v>
      </c>
      <c r="AI252" s="3"/>
      <c r="AJ252" s="3"/>
      <c r="AK252" s="3" t="str">
        <f>HYPERLINK("https://knigipp.ru/api/getInfo/item/b69bf12d-9109-11e9-a226-ac1f6b442184")</f>
        <v>https://knigipp.ru/api/getInfo/item/b69bf12d-9109-11e9-a226-ac1f6b442184</v>
      </c>
      <c r="AL252" s="3" t="s">
        <v>377</v>
      </c>
    </row>
    <row r="253" spans="1:38" ht="21" customHeight="1" outlineLevel="3" x14ac:dyDescent="0.2">
      <c r="A253" s="2">
        <v>185</v>
      </c>
      <c r="B253" s="3" t="s">
        <v>1193</v>
      </c>
      <c r="C253" s="49" t="s">
        <v>1194</v>
      </c>
      <c r="D253" s="49"/>
      <c r="E253" s="49"/>
      <c r="F253" s="49"/>
      <c r="G253" s="4" t="s">
        <v>1195</v>
      </c>
      <c r="H253" s="8"/>
      <c r="I253" s="9" t="s">
        <v>1196</v>
      </c>
      <c r="J253" s="10"/>
      <c r="K253" s="11">
        <v>10</v>
      </c>
      <c r="L253" s="10"/>
      <c r="M253" s="10" t="s">
        <v>47</v>
      </c>
      <c r="N253" s="10"/>
      <c r="O253" s="2">
        <v>3</v>
      </c>
      <c r="P253" s="17">
        <f>249*(1-S3/100)</f>
        <v>249</v>
      </c>
      <c r="Q253" s="18"/>
      <c r="R253" s="10">
        <f>P253*Q253</f>
        <v>0</v>
      </c>
      <c r="S253" s="19">
        <f>0.321*Q253</f>
        <v>0</v>
      </c>
      <c r="T253" s="20">
        <f>0.00044*Q253</f>
        <v>0</v>
      </c>
      <c r="U253" s="21"/>
      <c r="V253" s="22" t="s">
        <v>1197</v>
      </c>
      <c r="W253" s="22" t="s">
        <v>49</v>
      </c>
      <c r="X253" s="3" t="s">
        <v>1198</v>
      </c>
      <c r="Y253" s="3"/>
      <c r="Z253" s="3" t="s">
        <v>52</v>
      </c>
      <c r="AA253" s="3"/>
      <c r="AB253" s="3"/>
      <c r="AC253" s="3" t="str">
        <f>HYPERLINK("https://knigipp.ru/api/getInfo/image/f617d410-e38d-11e9-a235-ac1f6b442184")</f>
        <v>https://knigipp.ru/api/getInfo/image/f617d410-e38d-11e9-a235-ac1f6b442184</v>
      </c>
      <c r="AD253" s="32">
        <v>24</v>
      </c>
      <c r="AE253" s="3"/>
      <c r="AF253" s="3" t="s">
        <v>127</v>
      </c>
      <c r="AG253" s="3"/>
      <c r="AH253" s="3" t="s">
        <v>56</v>
      </c>
      <c r="AI253" s="3"/>
      <c r="AJ253" s="3"/>
      <c r="AK253" s="3" t="str">
        <f>HYPERLINK("https://knigipp.ru/api/getInfo/item/f617d410-e38d-11e9-a235-ac1f6b442184")</f>
        <v>https://knigipp.ru/api/getInfo/item/f617d410-e38d-11e9-a235-ac1f6b442184</v>
      </c>
      <c r="AL253" s="3" t="s">
        <v>377</v>
      </c>
    </row>
    <row r="254" spans="1:38" ht="23.1" customHeight="1" outlineLevel="2" x14ac:dyDescent="0.2">
      <c r="A254" s="47" t="s">
        <v>1199</v>
      </c>
      <c r="B254" s="47"/>
      <c r="C254" s="47"/>
      <c r="D254" s="47"/>
      <c r="E254" s="47"/>
      <c r="F254" s="47"/>
    </row>
    <row r="255" spans="1:38" ht="23.1" customHeight="1" outlineLevel="3" x14ac:dyDescent="0.2">
      <c r="A255" s="48" t="s">
        <v>1200</v>
      </c>
      <c r="B255" s="48"/>
      <c r="C255" s="48"/>
      <c r="D255" s="48"/>
      <c r="E255" s="48"/>
      <c r="F255" s="48"/>
    </row>
    <row r="256" spans="1:38" ht="21" customHeight="1" outlineLevel="4" x14ac:dyDescent="0.2">
      <c r="A256" s="2">
        <v>186</v>
      </c>
      <c r="B256" s="3" t="s">
        <v>1201</v>
      </c>
      <c r="C256" s="49" t="s">
        <v>1202</v>
      </c>
      <c r="D256" s="49"/>
      <c r="E256" s="49"/>
      <c r="F256" s="49"/>
      <c r="G256" s="4" t="s">
        <v>1203</v>
      </c>
      <c r="H256" s="8"/>
      <c r="I256" s="9" t="s">
        <v>1204</v>
      </c>
      <c r="J256" s="10"/>
      <c r="K256" s="11">
        <v>50</v>
      </c>
      <c r="L256" s="10"/>
      <c r="M256" s="10" t="s">
        <v>47</v>
      </c>
      <c r="N256" s="10"/>
      <c r="O256" s="2">
        <v>10</v>
      </c>
      <c r="P256" s="17">
        <f>59*(1-S3/100)</f>
        <v>59</v>
      </c>
      <c r="Q256" s="18"/>
      <c r="R256" s="10">
        <f>P256*Q256</f>
        <v>0</v>
      </c>
      <c r="S256" s="19">
        <f>0.068*Q256</f>
        <v>0</v>
      </c>
      <c r="T256" s="20">
        <f>0.00016*Q256</f>
        <v>0</v>
      </c>
      <c r="U256" s="21"/>
      <c r="V256" s="22" t="s">
        <v>1205</v>
      </c>
      <c r="W256" s="22" t="s">
        <v>49</v>
      </c>
      <c r="X256" s="3"/>
      <c r="Y256" s="3" t="s">
        <v>1206</v>
      </c>
      <c r="Z256" s="3" t="s">
        <v>52</v>
      </c>
      <c r="AA256" s="3"/>
      <c r="AB256" s="3"/>
      <c r="AC256" s="3" t="str">
        <f>HYPERLINK("https://knigipp.ru/api/getInfo/image/75747003-2f26-11eb-a25d-ac1f6b442184")</f>
        <v>https://knigipp.ru/api/getInfo/image/75747003-2f26-11eb-a25d-ac1f6b442184</v>
      </c>
      <c r="AD256" s="32">
        <v>16</v>
      </c>
      <c r="AE256" s="3"/>
      <c r="AF256" s="3" t="s">
        <v>136</v>
      </c>
      <c r="AG256" s="3"/>
      <c r="AH256" s="3" t="s">
        <v>56</v>
      </c>
      <c r="AI256" s="3"/>
      <c r="AJ256" s="3"/>
      <c r="AK256" s="3" t="str">
        <f>HYPERLINK("https://knigipp.ru/api/getInfo/item/75747003-2f26-11eb-a25d-ac1f6b442184")</f>
        <v>https://knigipp.ru/api/getInfo/item/75747003-2f26-11eb-a25d-ac1f6b442184</v>
      </c>
      <c r="AL256" s="3" t="s">
        <v>1207</v>
      </c>
    </row>
    <row r="257" spans="1:38" ht="21" customHeight="1" outlineLevel="4" x14ac:dyDescent="0.2">
      <c r="A257" s="2">
        <v>187</v>
      </c>
      <c r="B257" s="3" t="s">
        <v>1208</v>
      </c>
      <c r="C257" s="49" t="s">
        <v>1209</v>
      </c>
      <c r="D257" s="49"/>
      <c r="E257" s="49"/>
      <c r="F257" s="49"/>
      <c r="G257" s="4" t="s">
        <v>1210</v>
      </c>
      <c r="H257" s="8"/>
      <c r="I257" s="9" t="s">
        <v>1204</v>
      </c>
      <c r="J257" s="10"/>
      <c r="K257" s="11">
        <v>50</v>
      </c>
      <c r="L257" s="10"/>
      <c r="M257" s="10" t="s">
        <v>78</v>
      </c>
      <c r="N257" s="10"/>
      <c r="O257" s="2">
        <v>10</v>
      </c>
      <c r="P257" s="17">
        <f>59*(1-S3/100)</f>
        <v>59</v>
      </c>
      <c r="Q257" s="18"/>
      <c r="R257" s="10">
        <f>P257*Q257</f>
        <v>0</v>
      </c>
      <c r="S257" s="19">
        <f>0.068*Q257</f>
        <v>0</v>
      </c>
      <c r="T257" s="20">
        <f>0.00016*Q257</f>
        <v>0</v>
      </c>
      <c r="U257" s="21"/>
      <c r="V257" s="22" t="s">
        <v>1211</v>
      </c>
      <c r="W257" s="22" t="s">
        <v>49</v>
      </c>
      <c r="X257" s="3"/>
      <c r="Y257" s="3" t="s">
        <v>1212</v>
      </c>
      <c r="Z257" s="3" t="s">
        <v>52</v>
      </c>
      <c r="AA257" s="3"/>
      <c r="AB257" s="3"/>
      <c r="AC257" s="3" t="str">
        <f>HYPERLINK("https://knigipp.ru/api/getInfo/image/915c211d-2f26-11eb-a25d-ac1f6b442184")</f>
        <v>https://knigipp.ru/api/getInfo/image/915c211d-2f26-11eb-a25d-ac1f6b442184</v>
      </c>
      <c r="AD257" s="32">
        <v>16</v>
      </c>
      <c r="AE257" s="3"/>
      <c r="AF257" s="3" t="s">
        <v>136</v>
      </c>
      <c r="AG257" s="3"/>
      <c r="AH257" s="3" t="s">
        <v>56</v>
      </c>
      <c r="AI257" s="3"/>
      <c r="AJ257" s="3"/>
      <c r="AK257" s="3" t="str">
        <f>HYPERLINK("https://knigipp.ru/api/getInfo/item/915c211d-2f26-11eb-a25d-ac1f6b442184")</f>
        <v>https://knigipp.ru/api/getInfo/item/915c211d-2f26-11eb-a25d-ac1f6b442184</v>
      </c>
      <c r="AL257" s="3" t="s">
        <v>1207</v>
      </c>
    </row>
    <row r="258" spans="1:38" ht="23.1" customHeight="1" outlineLevel="3" x14ac:dyDescent="0.2">
      <c r="A258" s="48" t="s">
        <v>1213</v>
      </c>
      <c r="B258" s="48"/>
      <c r="C258" s="48"/>
      <c r="D258" s="48"/>
      <c r="E258" s="48"/>
      <c r="F258" s="48"/>
    </row>
    <row r="259" spans="1:38" ht="21" customHeight="1" outlineLevel="4" x14ac:dyDescent="0.2">
      <c r="A259" s="2">
        <v>188</v>
      </c>
      <c r="B259" s="3" t="s">
        <v>1214</v>
      </c>
      <c r="C259" s="49" t="s">
        <v>1215</v>
      </c>
      <c r="D259" s="49"/>
      <c r="E259" s="49"/>
      <c r="F259" s="49"/>
      <c r="G259" s="4" t="s">
        <v>1216</v>
      </c>
      <c r="H259" s="8"/>
      <c r="I259" s="9" t="s">
        <v>1217</v>
      </c>
      <c r="J259" s="10"/>
      <c r="K259" s="11">
        <v>50</v>
      </c>
      <c r="L259" s="10"/>
      <c r="M259" s="10" t="s">
        <v>47</v>
      </c>
      <c r="N259" s="10"/>
      <c r="O259" s="2">
        <v>8</v>
      </c>
      <c r="P259" s="17">
        <f>79.8*(1-S3/100)</f>
        <v>79.8</v>
      </c>
      <c r="Q259" s="18"/>
      <c r="R259" s="10">
        <f>P259*Q259</f>
        <v>0</v>
      </c>
      <c r="S259" s="19">
        <f>0.066*Q259</f>
        <v>0</v>
      </c>
      <c r="T259" s="20">
        <f>0.00011*Q259</f>
        <v>0</v>
      </c>
      <c r="U259" s="21"/>
      <c r="V259" s="22" t="s">
        <v>1218</v>
      </c>
      <c r="W259" s="22" t="s">
        <v>49</v>
      </c>
      <c r="X259" s="3"/>
      <c r="Y259" s="3" t="s">
        <v>1219</v>
      </c>
      <c r="Z259" s="3" t="s">
        <v>52</v>
      </c>
      <c r="AA259" s="3"/>
      <c r="AB259" s="3"/>
      <c r="AC259" s="3" t="str">
        <f>HYPERLINK("https://knigipp.ru/api/getInfo/image/2fd61262-64be-11ec-a20f-ac1f6b442185")</f>
        <v>https://knigipp.ru/api/getInfo/image/2fd61262-64be-11ec-a20f-ac1f6b442185</v>
      </c>
      <c r="AD259" s="32">
        <v>16</v>
      </c>
      <c r="AE259" s="3"/>
      <c r="AF259" s="3" t="s">
        <v>136</v>
      </c>
      <c r="AG259" s="3"/>
      <c r="AH259" s="3" t="s">
        <v>56</v>
      </c>
      <c r="AI259" s="3"/>
      <c r="AJ259" s="3"/>
      <c r="AK259" s="3" t="str">
        <f>HYPERLINK("https://knigipp.ru/api/getInfo/item/2fd61262-64be-11ec-a20f-ac1f6b442185")</f>
        <v>https://knigipp.ru/api/getInfo/item/2fd61262-64be-11ec-a20f-ac1f6b442185</v>
      </c>
      <c r="AL259" s="3" t="s">
        <v>935</v>
      </c>
    </row>
    <row r="260" spans="1:38" ht="21" customHeight="1" outlineLevel="4" x14ac:dyDescent="0.2">
      <c r="A260" s="2">
        <v>189</v>
      </c>
      <c r="B260" s="3" t="s">
        <v>1220</v>
      </c>
      <c r="C260" s="49" t="s">
        <v>1221</v>
      </c>
      <c r="D260" s="49"/>
      <c r="E260" s="49"/>
      <c r="F260" s="49"/>
      <c r="G260" s="4" t="s">
        <v>1222</v>
      </c>
      <c r="H260" s="8"/>
      <c r="I260" s="9" t="s">
        <v>1217</v>
      </c>
      <c r="J260" s="10"/>
      <c r="K260" s="11">
        <v>50</v>
      </c>
      <c r="L260" s="10"/>
      <c r="M260" s="10" t="s">
        <v>78</v>
      </c>
      <c r="N260" s="10"/>
      <c r="O260" s="2">
        <v>8</v>
      </c>
      <c r="P260" s="17">
        <f>79.8*(1-S3/100)</f>
        <v>79.8</v>
      </c>
      <c r="Q260" s="18"/>
      <c r="R260" s="10">
        <f>P260*Q260</f>
        <v>0</v>
      </c>
      <c r="S260" s="19">
        <f>0.066*Q260</f>
        <v>0</v>
      </c>
      <c r="T260" s="20">
        <f>0.00011*Q260</f>
        <v>0</v>
      </c>
      <c r="U260" s="21"/>
      <c r="V260" s="22" t="s">
        <v>1223</v>
      </c>
      <c r="W260" s="22" t="s">
        <v>49</v>
      </c>
      <c r="X260" s="3"/>
      <c r="Y260" s="3" t="s">
        <v>1224</v>
      </c>
      <c r="Z260" s="3" t="s">
        <v>52</v>
      </c>
      <c r="AA260" s="3"/>
      <c r="AB260" s="3"/>
      <c r="AC260" s="3" t="str">
        <f>HYPERLINK("https://knigipp.ru/api/getInfo/image/edb66fef-64bd-11ec-a20f-ac1f6b442185")</f>
        <v>https://knigipp.ru/api/getInfo/image/edb66fef-64bd-11ec-a20f-ac1f6b442185</v>
      </c>
      <c r="AD260" s="32">
        <v>16</v>
      </c>
      <c r="AE260" s="3"/>
      <c r="AF260" s="3" t="s">
        <v>136</v>
      </c>
      <c r="AG260" s="3"/>
      <c r="AH260" s="3" t="s">
        <v>56</v>
      </c>
      <c r="AI260" s="3"/>
      <c r="AJ260" s="3"/>
      <c r="AK260" s="3" t="str">
        <f>HYPERLINK("https://knigipp.ru/api/getInfo/item/edb66fef-64bd-11ec-a20f-ac1f6b442185")</f>
        <v>https://knigipp.ru/api/getInfo/item/edb66fef-64bd-11ec-a20f-ac1f6b442185</v>
      </c>
      <c r="AL260" s="3" t="s">
        <v>935</v>
      </c>
    </row>
    <row r="261" spans="1:38" ht="23.1" customHeight="1" outlineLevel="2" x14ac:dyDescent="0.2">
      <c r="A261" s="47" t="s">
        <v>1225</v>
      </c>
      <c r="B261" s="47"/>
      <c r="C261" s="47"/>
      <c r="D261" s="47"/>
      <c r="E261" s="47"/>
      <c r="F261" s="47"/>
    </row>
    <row r="262" spans="1:38" ht="21" customHeight="1" outlineLevel="3" x14ac:dyDescent="0.2">
      <c r="A262" s="2">
        <v>190</v>
      </c>
      <c r="B262" s="3" t="s">
        <v>1226</v>
      </c>
      <c r="C262" s="49" t="s">
        <v>1227</v>
      </c>
      <c r="D262" s="49"/>
      <c r="E262" s="49"/>
      <c r="F262" s="49"/>
      <c r="G262" s="4" t="s">
        <v>1228</v>
      </c>
      <c r="H262" s="8"/>
      <c r="I262" s="9" t="s">
        <v>1229</v>
      </c>
      <c r="J262" s="10"/>
      <c r="K262" s="11">
        <v>10</v>
      </c>
      <c r="L262" s="10"/>
      <c r="M262" s="10" t="s">
        <v>47</v>
      </c>
      <c r="N262" s="10"/>
      <c r="O262" s="2">
        <v>2</v>
      </c>
      <c r="P262" s="17">
        <f>577*(1-S3/100)</f>
        <v>577</v>
      </c>
      <c r="Q262" s="18"/>
      <c r="R262" s="10">
        <f>P262*Q262</f>
        <v>0</v>
      </c>
      <c r="S262" s="28">
        <f>0.23*Q262</f>
        <v>0</v>
      </c>
      <c r="T262" s="30">
        <f>0.0004*Q262</f>
        <v>0</v>
      </c>
      <c r="U262" s="21"/>
      <c r="V262" s="22" t="s">
        <v>1230</v>
      </c>
      <c r="W262" s="22" t="s">
        <v>49</v>
      </c>
      <c r="X262" s="3" t="s">
        <v>982</v>
      </c>
      <c r="Y262" s="3" t="s">
        <v>1231</v>
      </c>
      <c r="Z262" s="3" t="s">
        <v>52</v>
      </c>
      <c r="AA262" s="3"/>
      <c r="AB262" s="3"/>
      <c r="AC262" s="3" t="str">
        <f>HYPERLINK("https://knigipp.ru/api/getInfo/image/0a5d19cd-b1bc-11ec-a211-ac1f6b442185")</f>
        <v>https://knigipp.ru/api/getInfo/image/0a5d19cd-b1bc-11ec-a211-ac1f6b442185</v>
      </c>
      <c r="AD262" s="32">
        <v>48</v>
      </c>
      <c r="AE262" s="3"/>
      <c r="AF262" s="3" t="s">
        <v>127</v>
      </c>
      <c r="AG262" s="3"/>
      <c r="AH262" s="3" t="s">
        <v>56</v>
      </c>
      <c r="AI262" s="3"/>
      <c r="AJ262" s="3"/>
      <c r="AK262" s="3" t="str">
        <f>HYPERLINK("https://knigipp.ru/api/getInfo/item/0a5d19cd-b1bc-11ec-a211-ac1f6b442185")</f>
        <v>https://knigipp.ru/api/getInfo/item/0a5d19cd-b1bc-11ec-a211-ac1f6b442185</v>
      </c>
      <c r="AL262" s="3" t="s">
        <v>1232</v>
      </c>
    </row>
    <row r="263" spans="1:38" ht="21" customHeight="1" outlineLevel="3" x14ac:dyDescent="0.2">
      <c r="A263" s="2">
        <v>191</v>
      </c>
      <c r="B263" s="3" t="s">
        <v>1233</v>
      </c>
      <c r="C263" s="49" t="s">
        <v>1234</v>
      </c>
      <c r="D263" s="49"/>
      <c r="E263" s="49"/>
      <c r="F263" s="49"/>
      <c r="G263" s="4" t="s">
        <v>1235</v>
      </c>
      <c r="H263" s="8"/>
      <c r="I263" s="9" t="s">
        <v>1236</v>
      </c>
      <c r="J263" s="10"/>
      <c r="K263" s="11">
        <v>10</v>
      </c>
      <c r="L263" s="10"/>
      <c r="M263" s="10" t="s">
        <v>47</v>
      </c>
      <c r="N263" s="10"/>
      <c r="O263" s="2">
        <v>2</v>
      </c>
      <c r="P263" s="17">
        <f>577*(1-S3/100)</f>
        <v>577</v>
      </c>
      <c r="Q263" s="18"/>
      <c r="R263" s="10">
        <f>P263*Q263</f>
        <v>0</v>
      </c>
      <c r="S263" s="19">
        <f>0.263*Q263</f>
        <v>0</v>
      </c>
      <c r="T263" s="20">
        <f>0.00114*Q263</f>
        <v>0</v>
      </c>
      <c r="U263" s="21"/>
      <c r="V263" s="22" t="s">
        <v>1237</v>
      </c>
      <c r="W263" s="22" t="s">
        <v>49</v>
      </c>
      <c r="X263" s="3" t="s">
        <v>982</v>
      </c>
      <c r="Y263" s="3" t="s">
        <v>1238</v>
      </c>
      <c r="Z263" s="3" t="s">
        <v>52</v>
      </c>
      <c r="AA263" s="3"/>
      <c r="AB263" s="3"/>
      <c r="AC263" s="3" t="str">
        <f>HYPERLINK("https://knigipp.ru/api/getInfo/image/5cb5d482-e574-11f0-a28c-00155d82e908")</f>
        <v>https://knigipp.ru/api/getInfo/image/5cb5d482-e574-11f0-a28c-00155d82e908</v>
      </c>
      <c r="AD263" s="32">
        <v>48</v>
      </c>
      <c r="AE263" s="3"/>
      <c r="AF263" s="3" t="s">
        <v>127</v>
      </c>
      <c r="AG263" s="3"/>
      <c r="AH263" s="3" t="s">
        <v>56</v>
      </c>
      <c r="AI263" s="3"/>
      <c r="AJ263" s="3"/>
      <c r="AK263" s="3" t="str">
        <f>HYPERLINK("https://knigipp.ru/api/getInfo/item/5cb5d482-e574-11f0-a28c-00155d82e908")</f>
        <v>https://knigipp.ru/api/getInfo/item/5cb5d482-e574-11f0-a28c-00155d82e908</v>
      </c>
      <c r="AL263" s="3" t="s">
        <v>1239</v>
      </c>
    </row>
    <row r="264" spans="1:38" ht="21" customHeight="1" outlineLevel="3" x14ac:dyDescent="0.2">
      <c r="A264" s="5">
        <v>192</v>
      </c>
      <c r="B264" s="6" t="s">
        <v>1240</v>
      </c>
      <c r="C264" s="54" t="s">
        <v>1241</v>
      </c>
      <c r="D264" s="54"/>
      <c r="E264" s="54"/>
      <c r="F264" s="54"/>
      <c r="G264" s="7" t="s">
        <v>1242</v>
      </c>
      <c r="H264" s="12"/>
      <c r="I264" s="13" t="s">
        <v>1243</v>
      </c>
      <c r="J264" s="14"/>
      <c r="K264" s="15">
        <v>10</v>
      </c>
      <c r="L264" s="14"/>
      <c r="M264" s="14" t="s">
        <v>47</v>
      </c>
      <c r="N264" s="14"/>
      <c r="O264" s="5">
        <v>2</v>
      </c>
      <c r="P264" s="37">
        <f>1477*(1-S3/100)</f>
        <v>1477</v>
      </c>
      <c r="Q264" s="18"/>
      <c r="R264" s="14">
        <f>P264*Q264</f>
        <v>0</v>
      </c>
      <c r="S264" s="36">
        <f>0.55*Q264</f>
        <v>0</v>
      </c>
      <c r="T264" s="25">
        <f>0.00081*Q264</f>
        <v>0</v>
      </c>
      <c r="U264" s="26" t="s">
        <v>62</v>
      </c>
      <c r="V264" s="27" t="s">
        <v>1244</v>
      </c>
      <c r="W264" s="27" t="s">
        <v>49</v>
      </c>
      <c r="X264" s="6" t="s">
        <v>982</v>
      </c>
      <c r="Y264" s="6" t="s">
        <v>1245</v>
      </c>
      <c r="Z264" s="6" t="s">
        <v>52</v>
      </c>
      <c r="AA264" s="6"/>
      <c r="AB264" s="6"/>
      <c r="AC264" s="6" t="str">
        <f>HYPERLINK("https://knigipp.ru/api/getInfo/image/9504a19f-2d03-11f1-a292-00155d82e908")</f>
        <v>https://knigipp.ru/api/getInfo/image/9504a19f-2d03-11f1-a292-00155d82e908</v>
      </c>
      <c r="AD264" s="33">
        <v>160</v>
      </c>
      <c r="AE264" s="6" t="s">
        <v>65</v>
      </c>
      <c r="AF264" s="6" t="s">
        <v>127</v>
      </c>
      <c r="AG264" s="6"/>
      <c r="AH264" s="6" t="s">
        <v>56</v>
      </c>
      <c r="AI264" s="6"/>
      <c r="AJ264" s="6"/>
      <c r="AK264" s="6" t="str">
        <f>HYPERLINK("https://knigipp.ru/api/getInfo/item/9504a19f-2d03-11f1-a292-00155d82e908")</f>
        <v>https://knigipp.ru/api/getInfo/item/9504a19f-2d03-11f1-a292-00155d82e908</v>
      </c>
      <c r="AL264" s="6" t="s">
        <v>1239</v>
      </c>
    </row>
    <row r="265" spans="1:38" ht="23.1" customHeight="1" outlineLevel="2" x14ac:dyDescent="0.2">
      <c r="A265" s="47" t="s">
        <v>1246</v>
      </c>
      <c r="B265" s="47"/>
      <c r="C265" s="47"/>
      <c r="D265" s="47"/>
      <c r="E265" s="47"/>
      <c r="F265" s="47"/>
    </row>
    <row r="266" spans="1:38" ht="23.1" customHeight="1" outlineLevel="3" x14ac:dyDescent="0.2">
      <c r="A266" s="48" t="s">
        <v>1247</v>
      </c>
      <c r="B266" s="48"/>
      <c r="C266" s="48"/>
      <c r="D266" s="48"/>
      <c r="E266" s="48"/>
      <c r="F266" s="48"/>
    </row>
    <row r="267" spans="1:38" ht="21" customHeight="1" outlineLevel="4" x14ac:dyDescent="0.2">
      <c r="A267" s="2">
        <v>193</v>
      </c>
      <c r="B267" s="3" t="s">
        <v>1248</v>
      </c>
      <c r="C267" s="49" t="s">
        <v>1249</v>
      </c>
      <c r="D267" s="49"/>
      <c r="E267" s="49"/>
      <c r="F267" s="49"/>
      <c r="G267" s="4" t="s">
        <v>1250</v>
      </c>
      <c r="H267" s="8"/>
      <c r="I267" s="9" t="s">
        <v>1251</v>
      </c>
      <c r="J267" s="10"/>
      <c r="K267" s="11">
        <v>10</v>
      </c>
      <c r="L267" s="10"/>
      <c r="M267" s="10" t="s">
        <v>47</v>
      </c>
      <c r="N267" s="10"/>
      <c r="O267" s="2">
        <v>2</v>
      </c>
      <c r="P267" s="17">
        <f>977*(1-S3/100)</f>
        <v>977</v>
      </c>
      <c r="Q267" s="18"/>
      <c r="R267" s="10">
        <f>P267*Q267</f>
        <v>0</v>
      </c>
      <c r="S267" s="19">
        <f>0.544*Q267</f>
        <v>0</v>
      </c>
      <c r="T267" s="20">
        <f>0.00071*Q267</f>
        <v>0</v>
      </c>
      <c r="U267" s="21"/>
      <c r="V267" s="22" t="s">
        <v>1252</v>
      </c>
      <c r="W267" s="22" t="s">
        <v>49</v>
      </c>
      <c r="X267" s="3" t="s">
        <v>982</v>
      </c>
      <c r="Y267" s="3" t="s">
        <v>1253</v>
      </c>
      <c r="Z267" s="3" t="s">
        <v>52</v>
      </c>
      <c r="AA267" s="3"/>
      <c r="AB267" s="3"/>
      <c r="AC267" s="3" t="str">
        <f>HYPERLINK("https://knigipp.ru/api/getInfo/image/8f054ff9-b668-11f0-a286-00155d82e908")</f>
        <v>https://knigipp.ru/api/getInfo/image/8f054ff9-b668-11f0-a286-00155d82e908</v>
      </c>
      <c r="AD267" s="32">
        <v>160</v>
      </c>
      <c r="AE267" s="3" t="s">
        <v>54</v>
      </c>
      <c r="AF267" s="3" t="s">
        <v>127</v>
      </c>
      <c r="AG267" s="3"/>
      <c r="AH267" s="3" t="s">
        <v>56</v>
      </c>
      <c r="AI267" s="3"/>
      <c r="AJ267" s="3"/>
      <c r="AK267" s="3" t="str">
        <f>HYPERLINK("https://knigipp.ru/api/getInfo/item/8f054ff9-b668-11f0-a286-00155d82e908")</f>
        <v>https://knigipp.ru/api/getInfo/item/8f054ff9-b668-11f0-a286-00155d82e908</v>
      </c>
      <c r="AL267" s="3" t="s">
        <v>1254</v>
      </c>
    </row>
    <row r="268" spans="1:38" ht="21" customHeight="1" outlineLevel="4" x14ac:dyDescent="0.2">
      <c r="A268" s="2">
        <v>194</v>
      </c>
      <c r="B268" s="3" t="s">
        <v>1255</v>
      </c>
      <c r="C268" s="49" t="s">
        <v>1256</v>
      </c>
      <c r="D268" s="49"/>
      <c r="E268" s="49"/>
      <c r="F268" s="49"/>
      <c r="G268" s="4" t="s">
        <v>1257</v>
      </c>
      <c r="H268" s="8"/>
      <c r="I268" s="9" t="s">
        <v>1258</v>
      </c>
      <c r="J268" s="10"/>
      <c r="K268" s="11">
        <v>10</v>
      </c>
      <c r="L268" s="10"/>
      <c r="M268" s="10" t="s">
        <v>47</v>
      </c>
      <c r="N268" s="10"/>
      <c r="O268" s="2">
        <v>2</v>
      </c>
      <c r="P268" s="17">
        <f>399*(1-S3/100)</f>
        <v>399</v>
      </c>
      <c r="Q268" s="18"/>
      <c r="R268" s="10">
        <f>P268*Q268</f>
        <v>0</v>
      </c>
      <c r="S268" s="19">
        <f>0.335*Q268</f>
        <v>0</v>
      </c>
      <c r="T268" s="20">
        <f>0.00059*Q268</f>
        <v>0</v>
      </c>
      <c r="U268" s="21"/>
      <c r="V268" s="22" t="s">
        <v>1259</v>
      </c>
      <c r="W268" s="22" t="s">
        <v>49</v>
      </c>
      <c r="X268" s="3" t="s">
        <v>982</v>
      </c>
      <c r="Y268" s="3" t="s">
        <v>1260</v>
      </c>
      <c r="Z268" s="3" t="s">
        <v>52</v>
      </c>
      <c r="AA268" s="3"/>
      <c r="AB268" s="3"/>
      <c r="AC268" s="3" t="str">
        <f>HYPERLINK("https://knigipp.ru/api/getInfo/image/9005c00a-0b06-11ec-a20e-ac1f6b442185")</f>
        <v>https://knigipp.ru/api/getInfo/image/9005c00a-0b06-11ec-a20e-ac1f6b442185</v>
      </c>
      <c r="AD268" s="32">
        <v>48</v>
      </c>
      <c r="AE268" s="3"/>
      <c r="AF268" s="3" t="s">
        <v>127</v>
      </c>
      <c r="AG268" s="3"/>
      <c r="AH268" s="3" t="s">
        <v>56</v>
      </c>
      <c r="AI268" s="3"/>
      <c r="AJ268" s="3"/>
      <c r="AK268" s="3" t="str">
        <f>HYPERLINK("https://knigipp.ru/api/getInfo/item/9005c00a-0b06-11ec-a20e-ac1f6b442185")</f>
        <v>https://knigipp.ru/api/getInfo/item/9005c00a-0b06-11ec-a20e-ac1f6b442185</v>
      </c>
      <c r="AL268" s="3" t="s">
        <v>1261</v>
      </c>
    </row>
    <row r="269" spans="1:38" ht="21" customHeight="1" outlineLevel="4" x14ac:dyDescent="0.2">
      <c r="A269" s="2">
        <v>195</v>
      </c>
      <c r="B269" s="3" t="s">
        <v>1262</v>
      </c>
      <c r="C269" s="49" t="s">
        <v>1263</v>
      </c>
      <c r="D269" s="49"/>
      <c r="E269" s="49"/>
      <c r="F269" s="49"/>
      <c r="G269" s="4" t="s">
        <v>1264</v>
      </c>
      <c r="H269" s="8"/>
      <c r="I269" s="9" t="s">
        <v>1265</v>
      </c>
      <c r="J269" s="10"/>
      <c r="K269" s="11">
        <v>10</v>
      </c>
      <c r="L269" s="10"/>
      <c r="M269" s="10" t="s">
        <v>47</v>
      </c>
      <c r="N269" s="10"/>
      <c r="O269" s="2">
        <v>2</v>
      </c>
      <c r="P269" s="17">
        <f>399*(1-S3/100)</f>
        <v>399</v>
      </c>
      <c r="Q269" s="18"/>
      <c r="R269" s="10">
        <f>P269*Q269</f>
        <v>0</v>
      </c>
      <c r="S269" s="19">
        <f>0.348*Q269</f>
        <v>0</v>
      </c>
      <c r="T269" s="20">
        <f>0.00048*Q269</f>
        <v>0</v>
      </c>
      <c r="U269" s="21"/>
      <c r="V269" s="22" t="s">
        <v>1266</v>
      </c>
      <c r="W269" s="22" t="s">
        <v>49</v>
      </c>
      <c r="X269" s="3" t="s">
        <v>982</v>
      </c>
      <c r="Y269" s="3" t="s">
        <v>1267</v>
      </c>
      <c r="Z269" s="3" t="s">
        <v>52</v>
      </c>
      <c r="AA269" s="3"/>
      <c r="AB269" s="3"/>
      <c r="AC269" s="3" t="str">
        <f>HYPERLINK("https://knigipp.ru/api/getInfo/image/bce13d03-e5e6-11ee-a25a-00155d82e908")</f>
        <v>https://knigipp.ru/api/getInfo/image/bce13d03-e5e6-11ee-a25a-00155d82e908</v>
      </c>
      <c r="AD269" s="32">
        <v>48</v>
      </c>
      <c r="AE269" s="3" t="s">
        <v>355</v>
      </c>
      <c r="AF269" s="3" t="s">
        <v>127</v>
      </c>
      <c r="AG269" s="3"/>
      <c r="AH269" s="3" t="s">
        <v>56</v>
      </c>
      <c r="AI269" s="3"/>
      <c r="AJ269" s="3"/>
      <c r="AK269" s="3" t="str">
        <f>HYPERLINK("https://knigipp.ru/api/getInfo/item/bce13d03-e5e6-11ee-a25a-00155d82e908")</f>
        <v>https://knigipp.ru/api/getInfo/item/bce13d03-e5e6-11ee-a25a-00155d82e908</v>
      </c>
      <c r="AL269" s="3" t="s">
        <v>1261</v>
      </c>
    </row>
    <row r="270" spans="1:38" ht="21" customHeight="1" outlineLevel="4" x14ac:dyDescent="0.2">
      <c r="A270" s="2">
        <v>196</v>
      </c>
      <c r="B270" s="3" t="s">
        <v>1268</v>
      </c>
      <c r="C270" s="49" t="s">
        <v>1269</v>
      </c>
      <c r="D270" s="49"/>
      <c r="E270" s="49"/>
      <c r="F270" s="49"/>
      <c r="G270" s="4" t="s">
        <v>1270</v>
      </c>
      <c r="H270" s="8"/>
      <c r="I270" s="9" t="s">
        <v>1271</v>
      </c>
      <c r="J270" s="10"/>
      <c r="K270" s="11">
        <v>10</v>
      </c>
      <c r="L270" s="10"/>
      <c r="M270" s="10" t="s">
        <v>47</v>
      </c>
      <c r="N270" s="10"/>
      <c r="O270" s="2">
        <v>2</v>
      </c>
      <c r="P270" s="17">
        <f>399*(1-S3/100)</f>
        <v>399</v>
      </c>
      <c r="Q270" s="18"/>
      <c r="R270" s="10">
        <f>P270*Q270</f>
        <v>0</v>
      </c>
      <c r="S270" s="28">
        <f>0.35*Q270</f>
        <v>0</v>
      </c>
      <c r="T270" s="30">
        <f>0.0004*Q270</f>
        <v>0</v>
      </c>
      <c r="U270" s="21"/>
      <c r="V270" s="22" t="s">
        <v>1272</v>
      </c>
      <c r="W270" s="22" t="s">
        <v>49</v>
      </c>
      <c r="X270" s="3" t="s">
        <v>982</v>
      </c>
      <c r="Y270" s="3" t="s">
        <v>1273</v>
      </c>
      <c r="Z270" s="3" t="s">
        <v>52</v>
      </c>
      <c r="AA270" s="3"/>
      <c r="AB270" s="3"/>
      <c r="AC270" s="3" t="str">
        <f>HYPERLINK("https://knigipp.ru/api/getInfo/image/b2218d36-a390-11ed-a22f-00155d82e902")</f>
        <v>https://knigipp.ru/api/getInfo/image/b2218d36-a390-11ed-a22f-00155d82e902</v>
      </c>
      <c r="AD270" s="32">
        <v>48</v>
      </c>
      <c r="AE270" s="3" t="s">
        <v>355</v>
      </c>
      <c r="AF270" s="3" t="s">
        <v>127</v>
      </c>
      <c r="AG270" s="3"/>
      <c r="AH270" s="3" t="s">
        <v>56</v>
      </c>
      <c r="AI270" s="3"/>
      <c r="AJ270" s="3"/>
      <c r="AK270" s="3" t="str">
        <f>HYPERLINK("https://knigipp.ru/api/getInfo/item/b2218d36-a390-11ed-a22f-00155d82e902")</f>
        <v>https://knigipp.ru/api/getInfo/item/b2218d36-a390-11ed-a22f-00155d82e902</v>
      </c>
      <c r="AL270" s="3" t="s">
        <v>1261</v>
      </c>
    </row>
    <row r="271" spans="1:38" ht="23.1" customHeight="1" outlineLevel="1" x14ac:dyDescent="0.2">
      <c r="A271" s="46" t="s">
        <v>1274</v>
      </c>
      <c r="B271" s="46"/>
      <c r="C271" s="46"/>
      <c r="D271" s="46"/>
      <c r="E271" s="46"/>
      <c r="F271" s="46"/>
    </row>
    <row r="272" spans="1:38" ht="23.1" customHeight="1" outlineLevel="2" x14ac:dyDescent="0.2">
      <c r="A272" s="47" t="s">
        <v>1275</v>
      </c>
      <c r="B272" s="47"/>
      <c r="C272" s="47"/>
      <c r="D272" s="47"/>
      <c r="E272" s="47"/>
      <c r="F272" s="47"/>
    </row>
    <row r="273" spans="1:38" ht="21" customHeight="1" outlineLevel="3" x14ac:dyDescent="0.2">
      <c r="A273" s="2">
        <v>197</v>
      </c>
      <c r="B273" s="3" t="s">
        <v>1276</v>
      </c>
      <c r="C273" s="49" t="s">
        <v>1277</v>
      </c>
      <c r="D273" s="49"/>
      <c r="E273" s="49"/>
      <c r="F273" s="49"/>
      <c r="G273" s="4" t="s">
        <v>1278</v>
      </c>
      <c r="H273" s="8"/>
      <c r="I273" s="9" t="s">
        <v>1279</v>
      </c>
      <c r="J273" s="10"/>
      <c r="K273" s="11">
        <v>10</v>
      </c>
      <c r="L273" s="10"/>
      <c r="M273" s="10" t="s">
        <v>304</v>
      </c>
      <c r="N273" s="10"/>
      <c r="O273" s="2">
        <v>1</v>
      </c>
      <c r="P273" s="17">
        <f>829*(1-S3/100)</f>
        <v>829</v>
      </c>
      <c r="Q273" s="18"/>
      <c r="R273" s="10">
        <f>P273*Q273</f>
        <v>0</v>
      </c>
      <c r="S273" s="19">
        <f>0.372*Q273</f>
        <v>0</v>
      </c>
      <c r="T273" s="20">
        <f>0.00065*Q273</f>
        <v>0</v>
      </c>
      <c r="U273" s="21"/>
      <c r="V273" s="22" t="s">
        <v>1280</v>
      </c>
      <c r="W273" s="22" t="s">
        <v>49</v>
      </c>
      <c r="X273" s="3" t="s">
        <v>1281</v>
      </c>
      <c r="Y273" s="3"/>
      <c r="Z273" s="3" t="s">
        <v>52</v>
      </c>
      <c r="AA273" s="3"/>
      <c r="AB273" s="3"/>
      <c r="AC273" s="3" t="str">
        <f>HYPERLINK("https://knigipp.ru/api/getInfo/image/f54385ec-529d-11ec-a20f-ac1f6b442185")</f>
        <v>https://knigipp.ru/api/getInfo/image/f54385ec-529d-11ec-a20f-ac1f6b442185</v>
      </c>
      <c r="AD273" s="32">
        <v>48</v>
      </c>
      <c r="AE273" s="3"/>
      <c r="AF273" s="3" t="s">
        <v>127</v>
      </c>
      <c r="AG273" s="3"/>
      <c r="AH273" s="3" t="s">
        <v>56</v>
      </c>
      <c r="AI273" s="3"/>
      <c r="AJ273" s="3"/>
      <c r="AK273" s="3" t="str">
        <f>HYPERLINK("https://knigipp.ru/api/getInfo/item/f54385ec-529d-11ec-a20f-ac1f6b442185")</f>
        <v>https://knigipp.ru/api/getInfo/item/f54385ec-529d-11ec-a20f-ac1f6b442185</v>
      </c>
      <c r="AL273" s="3" t="s">
        <v>1282</v>
      </c>
    </row>
    <row r="274" spans="1:38" ht="21" customHeight="1" outlineLevel="3" x14ac:dyDescent="0.2">
      <c r="A274" s="2">
        <v>198</v>
      </c>
      <c r="B274" s="3" t="s">
        <v>1283</v>
      </c>
      <c r="C274" s="49" t="s">
        <v>1284</v>
      </c>
      <c r="D274" s="49"/>
      <c r="E274" s="49"/>
      <c r="F274" s="49"/>
      <c r="G274" s="4" t="s">
        <v>1285</v>
      </c>
      <c r="H274" s="8"/>
      <c r="I274" s="9" t="s">
        <v>1286</v>
      </c>
      <c r="J274" s="10"/>
      <c r="K274" s="11">
        <v>10</v>
      </c>
      <c r="L274" s="10"/>
      <c r="M274" s="10" t="s">
        <v>304</v>
      </c>
      <c r="N274" s="10"/>
      <c r="O274" s="2">
        <v>1</v>
      </c>
      <c r="P274" s="17">
        <f>564*(1-S3/100)</f>
        <v>564</v>
      </c>
      <c r="Q274" s="18"/>
      <c r="R274" s="10">
        <f>P274*Q274</f>
        <v>0</v>
      </c>
      <c r="S274" s="19">
        <f>0.372*Q274</f>
        <v>0</v>
      </c>
      <c r="T274" s="20">
        <f>0.00065*Q274</f>
        <v>0</v>
      </c>
      <c r="U274" s="21"/>
      <c r="V274" s="22" t="s">
        <v>1287</v>
      </c>
      <c r="W274" s="22" t="s">
        <v>49</v>
      </c>
      <c r="X274" s="3" t="s">
        <v>1198</v>
      </c>
      <c r="Y274" s="3"/>
      <c r="Z274" s="3" t="s">
        <v>52</v>
      </c>
      <c r="AA274" s="3"/>
      <c r="AB274" s="3"/>
      <c r="AC274" s="3" t="str">
        <f>HYPERLINK("https://knigipp.ru/api/getInfo/image/822f181e-66f9-11ec-a20f-ac1f6b442185")</f>
        <v>https://knigipp.ru/api/getInfo/image/822f181e-66f9-11ec-a20f-ac1f6b442185</v>
      </c>
      <c r="AD274" s="32">
        <v>24</v>
      </c>
      <c r="AE274" s="3"/>
      <c r="AF274" s="3" t="s">
        <v>127</v>
      </c>
      <c r="AG274" s="3"/>
      <c r="AH274" s="3" t="s">
        <v>56</v>
      </c>
      <c r="AI274" s="3"/>
      <c r="AJ274" s="3"/>
      <c r="AK274" s="3" t="str">
        <f>HYPERLINK("https://knigipp.ru/api/getInfo/item/822f181e-66f9-11ec-a20f-ac1f6b442185")</f>
        <v>https://knigipp.ru/api/getInfo/item/822f181e-66f9-11ec-a20f-ac1f6b442185</v>
      </c>
      <c r="AL274" s="3" t="s">
        <v>377</v>
      </c>
    </row>
    <row r="275" spans="1:38" ht="21" customHeight="1" outlineLevel="3" x14ac:dyDescent="0.2">
      <c r="A275" s="2">
        <v>199</v>
      </c>
      <c r="B275" s="3" t="s">
        <v>1288</v>
      </c>
      <c r="C275" s="49" t="s">
        <v>1289</v>
      </c>
      <c r="D275" s="49"/>
      <c r="E275" s="49"/>
      <c r="F275" s="49"/>
      <c r="G275" s="4" t="s">
        <v>1290</v>
      </c>
      <c r="H275" s="8"/>
      <c r="I275" s="9" t="s">
        <v>1291</v>
      </c>
      <c r="J275" s="10"/>
      <c r="K275" s="11">
        <v>20</v>
      </c>
      <c r="L275" s="10"/>
      <c r="M275" s="10" t="s">
        <v>78</v>
      </c>
      <c r="N275" s="10"/>
      <c r="O275" s="2">
        <v>1</v>
      </c>
      <c r="P275" s="17">
        <f>399*(1-S3/100)</f>
        <v>399</v>
      </c>
      <c r="Q275" s="18"/>
      <c r="R275" s="10">
        <f>P275*Q275</f>
        <v>0</v>
      </c>
      <c r="S275" s="28">
        <f>0.39*Q275</f>
        <v>0</v>
      </c>
      <c r="T275" s="20">
        <f>0.00024*Q275</f>
        <v>0</v>
      </c>
      <c r="U275" s="21"/>
      <c r="V275" s="22" t="s">
        <v>1292</v>
      </c>
      <c r="W275" s="22" t="s">
        <v>49</v>
      </c>
      <c r="X275" s="3" t="s">
        <v>319</v>
      </c>
      <c r="Y275" s="3" t="s">
        <v>1293</v>
      </c>
      <c r="Z275" s="3" t="s">
        <v>52</v>
      </c>
      <c r="AA275" s="3"/>
      <c r="AB275" s="3"/>
      <c r="AC275" s="3" t="str">
        <f>HYPERLINK("https://knigipp.ru/api/getInfo/image/f43f0b1f-257e-11ea-a239-ac1f6b442184")</f>
        <v>https://knigipp.ru/api/getInfo/image/f43f0b1f-257e-11ea-a239-ac1f6b442184</v>
      </c>
      <c r="AD275" s="32">
        <v>24</v>
      </c>
      <c r="AE275" s="3"/>
      <c r="AF275" s="3" t="s">
        <v>127</v>
      </c>
      <c r="AG275" s="3"/>
      <c r="AH275" s="3" t="s">
        <v>56</v>
      </c>
      <c r="AI275" s="3"/>
      <c r="AJ275" s="3"/>
      <c r="AK275" s="3" t="str">
        <f>HYPERLINK("https://knigipp.ru/api/getInfo/item/f43f0b1f-257e-11ea-a239-ac1f6b442184")</f>
        <v>https://knigipp.ru/api/getInfo/item/f43f0b1f-257e-11ea-a239-ac1f6b442184</v>
      </c>
      <c r="AL275" s="3" t="s">
        <v>1294</v>
      </c>
    </row>
    <row r="276" spans="1:38" ht="21" customHeight="1" outlineLevel="3" x14ac:dyDescent="0.2">
      <c r="A276" s="2">
        <v>200</v>
      </c>
      <c r="B276" s="3" t="s">
        <v>1295</v>
      </c>
      <c r="C276" s="49" t="s">
        <v>1296</v>
      </c>
      <c r="D276" s="49"/>
      <c r="E276" s="49"/>
      <c r="F276" s="49"/>
      <c r="G276" s="4" t="s">
        <v>1297</v>
      </c>
      <c r="H276" s="8"/>
      <c r="I276" s="9" t="s">
        <v>1291</v>
      </c>
      <c r="J276" s="10"/>
      <c r="K276" s="11">
        <v>20</v>
      </c>
      <c r="L276" s="10"/>
      <c r="M276" s="10" t="s">
        <v>78</v>
      </c>
      <c r="N276" s="10"/>
      <c r="O276" s="2">
        <v>1</v>
      </c>
      <c r="P276" s="17">
        <f>399*(1-S3/100)</f>
        <v>399</v>
      </c>
      <c r="Q276" s="18"/>
      <c r="R276" s="10">
        <f>P276*Q276</f>
        <v>0</v>
      </c>
      <c r="S276" s="28">
        <f>0.39*Q276</f>
        <v>0</v>
      </c>
      <c r="T276" s="20">
        <f>0.00024*Q276</f>
        <v>0</v>
      </c>
      <c r="U276" s="21"/>
      <c r="V276" s="22" t="s">
        <v>1298</v>
      </c>
      <c r="W276" s="22" t="s">
        <v>49</v>
      </c>
      <c r="X276" s="3" t="s">
        <v>319</v>
      </c>
      <c r="Y276" s="3" t="s">
        <v>1299</v>
      </c>
      <c r="Z276" s="3" t="s">
        <v>52</v>
      </c>
      <c r="AA276" s="3"/>
      <c r="AB276" s="3"/>
      <c r="AC276" s="3" t="str">
        <f>HYPERLINK("https://knigipp.ru/api/getInfo/image/da212aa1-257e-11ea-a239-ac1f6b442184")</f>
        <v>https://knigipp.ru/api/getInfo/image/da212aa1-257e-11ea-a239-ac1f6b442184</v>
      </c>
      <c r="AD276" s="32">
        <v>24</v>
      </c>
      <c r="AE276" s="3"/>
      <c r="AF276" s="3" t="s">
        <v>127</v>
      </c>
      <c r="AG276" s="3"/>
      <c r="AH276" s="3" t="s">
        <v>56</v>
      </c>
      <c r="AI276" s="3"/>
      <c r="AJ276" s="3"/>
      <c r="AK276" s="3" t="str">
        <f>HYPERLINK("https://knigipp.ru/api/getInfo/item/da212aa1-257e-11ea-a239-ac1f6b442184")</f>
        <v>https://knigipp.ru/api/getInfo/item/da212aa1-257e-11ea-a239-ac1f6b442184</v>
      </c>
      <c r="AL276" s="3" t="s">
        <v>1294</v>
      </c>
    </row>
    <row r="277" spans="1:38" ht="21" customHeight="1" outlineLevel="3" x14ac:dyDescent="0.2">
      <c r="A277" s="2">
        <v>201</v>
      </c>
      <c r="B277" s="3" t="s">
        <v>1300</v>
      </c>
      <c r="C277" s="49" t="s">
        <v>1301</v>
      </c>
      <c r="D277" s="49"/>
      <c r="E277" s="49"/>
      <c r="F277" s="49"/>
      <c r="G277" s="4" t="s">
        <v>1302</v>
      </c>
      <c r="H277" s="8"/>
      <c r="I277" s="9" t="s">
        <v>1291</v>
      </c>
      <c r="J277" s="10"/>
      <c r="K277" s="11">
        <v>10</v>
      </c>
      <c r="L277" s="10"/>
      <c r="M277" s="10" t="s">
        <v>304</v>
      </c>
      <c r="N277" s="10"/>
      <c r="O277" s="2">
        <v>1</v>
      </c>
      <c r="P277" s="17">
        <f>564*(1-S3/100)</f>
        <v>564</v>
      </c>
      <c r="Q277" s="18"/>
      <c r="R277" s="10">
        <f>P277*Q277</f>
        <v>0</v>
      </c>
      <c r="S277" s="19">
        <f>0.372*Q277</f>
        <v>0</v>
      </c>
      <c r="T277" s="20">
        <f>0.00065*Q277</f>
        <v>0</v>
      </c>
      <c r="U277" s="21"/>
      <c r="V277" s="22" t="s">
        <v>1303</v>
      </c>
      <c r="W277" s="22" t="s">
        <v>49</v>
      </c>
      <c r="X277" s="3" t="s">
        <v>1198</v>
      </c>
      <c r="Y277" s="3"/>
      <c r="Z277" s="3" t="s">
        <v>52</v>
      </c>
      <c r="AA277" s="3"/>
      <c r="AB277" s="3"/>
      <c r="AC277" s="3" t="str">
        <f>HYPERLINK("https://knigipp.ru/api/getInfo/image/29ff014d-257e-11ea-a239-ac1f6b442184")</f>
        <v>https://knigipp.ru/api/getInfo/image/29ff014d-257e-11ea-a239-ac1f6b442184</v>
      </c>
      <c r="AD277" s="32">
        <v>24</v>
      </c>
      <c r="AE277" s="3"/>
      <c r="AF277" s="3" t="s">
        <v>127</v>
      </c>
      <c r="AG277" s="3"/>
      <c r="AH277" s="3" t="s">
        <v>56</v>
      </c>
      <c r="AI277" s="3"/>
      <c r="AJ277" s="3"/>
      <c r="AK277" s="3" t="str">
        <f>HYPERLINK("https://knigipp.ru/api/getInfo/item/29ff014d-257e-11ea-a239-ac1f6b442184")</f>
        <v>https://knigipp.ru/api/getInfo/item/29ff014d-257e-11ea-a239-ac1f6b442184</v>
      </c>
      <c r="AL277" s="3" t="s">
        <v>377</v>
      </c>
    </row>
    <row r="278" spans="1:38" ht="23.1" customHeight="1" outlineLevel="2" x14ac:dyDescent="0.2">
      <c r="A278" s="47" t="s">
        <v>1304</v>
      </c>
      <c r="B278" s="47"/>
      <c r="C278" s="47"/>
      <c r="D278" s="47"/>
      <c r="E278" s="47"/>
      <c r="F278" s="47"/>
    </row>
    <row r="279" spans="1:38" ht="21" customHeight="1" outlineLevel="3" x14ac:dyDescent="0.2">
      <c r="A279" s="2">
        <v>202</v>
      </c>
      <c r="B279" s="3" t="s">
        <v>1305</v>
      </c>
      <c r="C279" s="49" t="s">
        <v>1306</v>
      </c>
      <c r="D279" s="49"/>
      <c r="E279" s="49"/>
      <c r="F279" s="49"/>
      <c r="G279" s="4" t="s">
        <v>1307</v>
      </c>
      <c r="H279" s="8"/>
      <c r="I279" s="9" t="s">
        <v>1308</v>
      </c>
      <c r="J279" s="10"/>
      <c r="K279" s="11">
        <v>10</v>
      </c>
      <c r="L279" s="10"/>
      <c r="M279" s="10" t="s">
        <v>304</v>
      </c>
      <c r="N279" s="10"/>
      <c r="O279" s="2">
        <v>2</v>
      </c>
      <c r="P279" s="17">
        <f>299*(1-S3/100)</f>
        <v>299</v>
      </c>
      <c r="Q279" s="18"/>
      <c r="R279" s="10">
        <f>P279*Q279</f>
        <v>0</v>
      </c>
      <c r="S279" s="19">
        <f>0.268*Q279</f>
        <v>0</v>
      </c>
      <c r="T279" s="20">
        <f>0.00032*Q279</f>
        <v>0</v>
      </c>
      <c r="U279" s="21"/>
      <c r="V279" s="22" t="s">
        <v>1309</v>
      </c>
      <c r="W279" s="22" t="s">
        <v>49</v>
      </c>
      <c r="X279" s="3" t="s">
        <v>1310</v>
      </c>
      <c r="Y279" s="3"/>
      <c r="Z279" s="3" t="s">
        <v>52</v>
      </c>
      <c r="AA279" s="3"/>
      <c r="AB279" s="3"/>
      <c r="AC279" s="3" t="str">
        <f>HYPERLINK("https://knigipp.ru/api/getInfo/image/d2581299-6023-11ed-a229-00155d82e902")</f>
        <v>https://knigipp.ru/api/getInfo/image/d2581299-6023-11ed-a229-00155d82e902</v>
      </c>
      <c r="AD279" s="32">
        <v>32</v>
      </c>
      <c r="AE279" s="3" t="s">
        <v>54</v>
      </c>
      <c r="AF279" s="3" t="s">
        <v>127</v>
      </c>
      <c r="AG279" s="3"/>
      <c r="AH279" s="3" t="s">
        <v>56</v>
      </c>
      <c r="AI279" s="3"/>
      <c r="AJ279" s="3"/>
      <c r="AK279" s="3" t="str">
        <f>HYPERLINK("https://knigipp.ru/api/getInfo/item/d2581299-6023-11ed-a229-00155d82e902")</f>
        <v>https://knigipp.ru/api/getInfo/item/d2581299-6023-11ed-a229-00155d82e902</v>
      </c>
      <c r="AL279" s="3" t="s">
        <v>1311</v>
      </c>
    </row>
    <row r="280" spans="1:38" ht="23.1" customHeight="1" outlineLevel="2" x14ac:dyDescent="0.2">
      <c r="A280" s="47" t="s">
        <v>1312</v>
      </c>
      <c r="B280" s="47"/>
      <c r="C280" s="47"/>
      <c r="D280" s="47"/>
      <c r="E280" s="47"/>
      <c r="F280" s="47"/>
    </row>
    <row r="281" spans="1:38" ht="21" customHeight="1" outlineLevel="3" x14ac:dyDescent="0.2">
      <c r="A281" s="2">
        <v>203</v>
      </c>
      <c r="B281" s="3" t="s">
        <v>1313</v>
      </c>
      <c r="C281" s="49" t="s">
        <v>1314</v>
      </c>
      <c r="D281" s="49"/>
      <c r="E281" s="49"/>
      <c r="F281" s="49"/>
      <c r="G281" s="4" t="s">
        <v>1315</v>
      </c>
      <c r="H281" s="8"/>
      <c r="I281" s="9" t="s">
        <v>1316</v>
      </c>
      <c r="J281" s="10"/>
      <c r="K281" s="11">
        <v>10</v>
      </c>
      <c r="L281" s="10"/>
      <c r="M281" s="10" t="s">
        <v>78</v>
      </c>
      <c r="N281" s="10"/>
      <c r="O281" s="2">
        <v>1</v>
      </c>
      <c r="P281" s="17">
        <f>497*(1-S3/100)</f>
        <v>497</v>
      </c>
      <c r="Q281" s="18"/>
      <c r="R281" s="10">
        <f>P281*Q281</f>
        <v>0</v>
      </c>
      <c r="S281" s="19">
        <f>0.337*Q281</f>
        <v>0</v>
      </c>
      <c r="T281" s="30">
        <f>0.0005*Q281</f>
        <v>0</v>
      </c>
      <c r="U281" s="21"/>
      <c r="V281" s="22" t="s">
        <v>1317</v>
      </c>
      <c r="W281" s="22" t="s">
        <v>49</v>
      </c>
      <c r="X281" s="3" t="s">
        <v>1318</v>
      </c>
      <c r="Y281" s="3" t="s">
        <v>1319</v>
      </c>
      <c r="Z281" s="3" t="s">
        <v>52</v>
      </c>
      <c r="AA281" s="3"/>
      <c r="AB281" s="3"/>
      <c r="AC281" s="3" t="str">
        <f>HYPERLINK("https://knigipp.ru/api/getInfo/image/1090c79d-a3ec-11ee-a258-00155d82e908")</f>
        <v>https://knigipp.ru/api/getInfo/image/1090c79d-a3ec-11ee-a258-00155d82e908</v>
      </c>
      <c r="AD281" s="32">
        <v>32</v>
      </c>
      <c r="AE281" s="3" t="s">
        <v>54</v>
      </c>
      <c r="AF281" s="3" t="s">
        <v>127</v>
      </c>
      <c r="AG281" s="3"/>
      <c r="AH281" s="3" t="s">
        <v>56</v>
      </c>
      <c r="AI281" s="3"/>
      <c r="AJ281" s="3"/>
      <c r="AK281" s="3" t="str">
        <f>HYPERLINK("https://knigipp.ru/api/getInfo/item/1090c79d-a3ec-11ee-a258-00155d82e908")</f>
        <v>https://knigipp.ru/api/getInfo/item/1090c79d-a3ec-11ee-a258-00155d82e908</v>
      </c>
      <c r="AL281" s="3" t="s">
        <v>377</v>
      </c>
    </row>
    <row r="282" spans="1:38" ht="21" customHeight="1" outlineLevel="3" x14ac:dyDescent="0.2">
      <c r="A282" s="2">
        <v>204</v>
      </c>
      <c r="B282" s="3" t="s">
        <v>1320</v>
      </c>
      <c r="C282" s="49" t="s">
        <v>1321</v>
      </c>
      <c r="D282" s="49"/>
      <c r="E282" s="49"/>
      <c r="F282" s="49"/>
      <c r="G282" s="4" t="s">
        <v>1322</v>
      </c>
      <c r="H282" s="8"/>
      <c r="I282" s="9" t="s">
        <v>1323</v>
      </c>
      <c r="J282" s="10"/>
      <c r="K282" s="11">
        <v>10</v>
      </c>
      <c r="L282" s="10"/>
      <c r="M282" s="10" t="s">
        <v>78</v>
      </c>
      <c r="N282" s="10"/>
      <c r="O282" s="2">
        <v>1</v>
      </c>
      <c r="P282" s="17">
        <f>497*(1-S3/100)</f>
        <v>497</v>
      </c>
      <c r="Q282" s="18"/>
      <c r="R282" s="10">
        <f>P282*Q282</f>
        <v>0</v>
      </c>
      <c r="S282" s="19">
        <f>0.337*Q282</f>
        <v>0</v>
      </c>
      <c r="T282" s="30">
        <f>0.0005*Q282</f>
        <v>0</v>
      </c>
      <c r="U282" s="21"/>
      <c r="V282" s="22" t="s">
        <v>1324</v>
      </c>
      <c r="W282" s="22" t="s">
        <v>49</v>
      </c>
      <c r="X282" s="3" t="s">
        <v>982</v>
      </c>
      <c r="Y282" s="3" t="s">
        <v>1325</v>
      </c>
      <c r="Z282" s="3" t="s">
        <v>52</v>
      </c>
      <c r="AA282" s="3"/>
      <c r="AB282" s="3"/>
      <c r="AC282" s="3" t="str">
        <f>HYPERLINK("https://knigipp.ru/api/getInfo/image/36a5c6f5-a3ec-11ee-a258-00155d82e908")</f>
        <v>https://knigipp.ru/api/getInfo/image/36a5c6f5-a3ec-11ee-a258-00155d82e908</v>
      </c>
      <c r="AD282" s="32">
        <v>32</v>
      </c>
      <c r="AE282" s="3" t="s">
        <v>54</v>
      </c>
      <c r="AF282" s="3" t="s">
        <v>127</v>
      </c>
      <c r="AG282" s="3"/>
      <c r="AH282" s="3" t="s">
        <v>56</v>
      </c>
      <c r="AI282" s="3"/>
      <c r="AJ282" s="3"/>
      <c r="AK282" s="3" t="str">
        <f>HYPERLINK("https://knigipp.ru/api/getInfo/item/36a5c6f5-a3ec-11ee-a258-00155d82e908")</f>
        <v>https://knigipp.ru/api/getInfo/item/36a5c6f5-a3ec-11ee-a258-00155d82e908</v>
      </c>
      <c r="AL282" s="3" t="s">
        <v>377</v>
      </c>
    </row>
    <row r="283" spans="1:38" ht="21" customHeight="1" outlineLevel="3" x14ac:dyDescent="0.2">
      <c r="A283" s="2">
        <v>205</v>
      </c>
      <c r="B283" s="3" t="s">
        <v>1326</v>
      </c>
      <c r="C283" s="49" t="s">
        <v>1327</v>
      </c>
      <c r="D283" s="49"/>
      <c r="E283" s="49"/>
      <c r="F283" s="49"/>
      <c r="G283" s="4" t="s">
        <v>1328</v>
      </c>
      <c r="H283" s="8"/>
      <c r="I283" s="9" t="s">
        <v>1329</v>
      </c>
      <c r="J283" s="10"/>
      <c r="K283" s="11">
        <v>10</v>
      </c>
      <c r="L283" s="10"/>
      <c r="M283" s="10" t="s">
        <v>47</v>
      </c>
      <c r="N283" s="10"/>
      <c r="O283" s="2">
        <v>1</v>
      </c>
      <c r="P283" s="17">
        <f>497*(1-S3/100)</f>
        <v>497</v>
      </c>
      <c r="Q283" s="18"/>
      <c r="R283" s="10">
        <f>P283*Q283</f>
        <v>0</v>
      </c>
      <c r="S283" s="19">
        <f>0.337*Q283</f>
        <v>0</v>
      </c>
      <c r="T283" s="30">
        <f>0.0005*Q283</f>
        <v>0</v>
      </c>
      <c r="U283" s="21"/>
      <c r="V283" s="22" t="s">
        <v>1330</v>
      </c>
      <c r="W283" s="22" t="s">
        <v>49</v>
      </c>
      <c r="X283" s="3" t="s">
        <v>1198</v>
      </c>
      <c r="Y283" s="3" t="s">
        <v>1331</v>
      </c>
      <c r="Z283" s="3" t="s">
        <v>52</v>
      </c>
      <c r="AA283" s="3"/>
      <c r="AB283" s="3"/>
      <c r="AC283" s="3" t="str">
        <f>HYPERLINK("https://knigipp.ru/api/getInfo/image/8fde6c15-a3ec-11ee-a258-00155d82e908")</f>
        <v>https://knigipp.ru/api/getInfo/image/8fde6c15-a3ec-11ee-a258-00155d82e908</v>
      </c>
      <c r="AD283" s="32">
        <v>32</v>
      </c>
      <c r="AE283" s="3" t="s">
        <v>54</v>
      </c>
      <c r="AF283" s="3" t="s">
        <v>127</v>
      </c>
      <c r="AG283" s="3"/>
      <c r="AH283" s="3" t="s">
        <v>56</v>
      </c>
      <c r="AI283" s="3"/>
      <c r="AJ283" s="3"/>
      <c r="AK283" s="3" t="str">
        <f>HYPERLINK("https://knigipp.ru/api/getInfo/item/8fde6c15-a3ec-11ee-a258-00155d82e908")</f>
        <v>https://knigipp.ru/api/getInfo/item/8fde6c15-a3ec-11ee-a258-00155d82e908</v>
      </c>
      <c r="AL283" s="3" t="s">
        <v>377</v>
      </c>
    </row>
    <row r="284" spans="1:38" ht="21" customHeight="1" outlineLevel="3" x14ac:dyDescent="0.2">
      <c r="A284" s="2">
        <v>206</v>
      </c>
      <c r="B284" s="3" t="s">
        <v>1332</v>
      </c>
      <c r="C284" s="49" t="s">
        <v>1333</v>
      </c>
      <c r="D284" s="49"/>
      <c r="E284" s="49"/>
      <c r="F284" s="49"/>
      <c r="G284" s="4" t="s">
        <v>1334</v>
      </c>
      <c r="H284" s="8"/>
      <c r="I284" s="9" t="s">
        <v>1335</v>
      </c>
      <c r="J284" s="10"/>
      <c r="K284" s="11">
        <v>10</v>
      </c>
      <c r="L284" s="10"/>
      <c r="M284" s="10" t="s">
        <v>78</v>
      </c>
      <c r="N284" s="10"/>
      <c r="O284" s="2">
        <v>1</v>
      </c>
      <c r="P284" s="17">
        <f>497*(1-S3/100)</f>
        <v>497</v>
      </c>
      <c r="Q284" s="18"/>
      <c r="R284" s="10">
        <f>P284*Q284</f>
        <v>0</v>
      </c>
      <c r="S284" s="19">
        <f>0.337*Q284</f>
        <v>0</v>
      </c>
      <c r="T284" s="30">
        <f>0.0005*Q284</f>
        <v>0</v>
      </c>
      <c r="U284" s="21"/>
      <c r="V284" s="22" t="s">
        <v>1336</v>
      </c>
      <c r="W284" s="22" t="s">
        <v>49</v>
      </c>
      <c r="X284" s="3" t="s">
        <v>1337</v>
      </c>
      <c r="Y284" s="3" t="s">
        <v>1338</v>
      </c>
      <c r="Z284" s="3" t="s">
        <v>52</v>
      </c>
      <c r="AA284" s="3"/>
      <c r="AB284" s="3"/>
      <c r="AC284" s="3" t="str">
        <f>HYPERLINK("https://knigipp.ru/api/getInfo/image/6db067ff-a3ec-11ee-a258-00155d82e908")</f>
        <v>https://knigipp.ru/api/getInfo/image/6db067ff-a3ec-11ee-a258-00155d82e908</v>
      </c>
      <c r="AD284" s="32">
        <v>32</v>
      </c>
      <c r="AE284" s="3" t="s">
        <v>54</v>
      </c>
      <c r="AF284" s="3" t="s">
        <v>127</v>
      </c>
      <c r="AG284" s="3"/>
      <c r="AH284" s="3" t="s">
        <v>56</v>
      </c>
      <c r="AI284" s="3"/>
      <c r="AJ284" s="3"/>
      <c r="AK284" s="3" t="str">
        <f>HYPERLINK("https://knigipp.ru/api/getInfo/item/6db067ff-a3ec-11ee-a258-00155d82e908")</f>
        <v>https://knigipp.ru/api/getInfo/item/6db067ff-a3ec-11ee-a258-00155d82e908</v>
      </c>
      <c r="AL284" s="3" t="s">
        <v>377</v>
      </c>
    </row>
    <row r="285" spans="1:38" ht="23.1" customHeight="1" outlineLevel="1" x14ac:dyDescent="0.2">
      <c r="A285" s="46" t="s">
        <v>1339</v>
      </c>
      <c r="B285" s="46"/>
      <c r="C285" s="46"/>
      <c r="D285" s="46"/>
      <c r="E285" s="46"/>
      <c r="F285" s="46"/>
    </row>
    <row r="286" spans="1:38" ht="23.1" customHeight="1" outlineLevel="2" x14ac:dyDescent="0.2">
      <c r="A286" s="47" t="s">
        <v>1340</v>
      </c>
      <c r="B286" s="47"/>
      <c r="C286" s="47"/>
      <c r="D286" s="47"/>
      <c r="E286" s="47"/>
      <c r="F286" s="47"/>
    </row>
    <row r="287" spans="1:38" ht="23.1" customHeight="1" outlineLevel="3" x14ac:dyDescent="0.2">
      <c r="A287" s="48" t="s">
        <v>1341</v>
      </c>
      <c r="B287" s="48"/>
      <c r="C287" s="48"/>
      <c r="D287" s="48"/>
      <c r="E287" s="48"/>
      <c r="F287" s="48"/>
    </row>
    <row r="288" spans="1:38" ht="21" customHeight="1" outlineLevel="4" x14ac:dyDescent="0.2">
      <c r="A288" s="2">
        <v>207</v>
      </c>
      <c r="B288" s="3" t="s">
        <v>1342</v>
      </c>
      <c r="C288" s="49" t="s">
        <v>1343</v>
      </c>
      <c r="D288" s="49"/>
      <c r="E288" s="49"/>
      <c r="F288" s="49"/>
      <c r="G288" s="4" t="s">
        <v>1344</v>
      </c>
      <c r="H288" s="8"/>
      <c r="I288" s="9" t="s">
        <v>1345</v>
      </c>
      <c r="J288" s="10"/>
      <c r="K288" s="11">
        <v>10</v>
      </c>
      <c r="L288" s="10"/>
      <c r="M288" s="10" t="s">
        <v>47</v>
      </c>
      <c r="N288" s="10"/>
      <c r="O288" s="2">
        <v>2</v>
      </c>
      <c r="P288" s="17">
        <f>349*(1-S3/100)</f>
        <v>349</v>
      </c>
      <c r="Q288" s="18"/>
      <c r="R288" s="10">
        <f>P288*Q288</f>
        <v>0</v>
      </c>
      <c r="S288" s="19">
        <f>0.543*Q288</f>
        <v>0</v>
      </c>
      <c r="T288" s="20">
        <f>0.00093*Q288</f>
        <v>0</v>
      </c>
      <c r="U288" s="21"/>
      <c r="V288" s="22" t="s">
        <v>1346</v>
      </c>
      <c r="W288" s="22" t="s">
        <v>191</v>
      </c>
      <c r="X288" s="3"/>
      <c r="Y288" s="3" t="s">
        <v>1347</v>
      </c>
      <c r="Z288" s="3" t="s">
        <v>52</v>
      </c>
      <c r="AA288" s="3"/>
      <c r="AB288" s="3"/>
      <c r="AC288" s="3" t="str">
        <f>HYPERLINK("https://knigipp.ru/api/getInfo/image/acbf5044-e8e2-11ed-a233-00155d82e902")</f>
        <v>https://knigipp.ru/api/getInfo/image/acbf5044-e8e2-11ed-a233-00155d82e902</v>
      </c>
      <c r="AD288" s="32">
        <v>128</v>
      </c>
      <c r="AE288" s="3" t="s">
        <v>355</v>
      </c>
      <c r="AF288" s="3" t="s">
        <v>127</v>
      </c>
      <c r="AG288" s="3"/>
      <c r="AH288" s="3" t="s">
        <v>56</v>
      </c>
      <c r="AI288" s="3"/>
      <c r="AJ288" s="3"/>
      <c r="AK288" s="3" t="str">
        <f>HYPERLINK("https://knigipp.ru/api/getInfo/item/acbf5044-e8e2-11ed-a233-00155d82e902")</f>
        <v>https://knigipp.ru/api/getInfo/item/acbf5044-e8e2-11ed-a233-00155d82e902</v>
      </c>
      <c r="AL288" s="3" t="s">
        <v>1348</v>
      </c>
    </row>
    <row r="289" spans="1:38" ht="21" customHeight="1" outlineLevel="4" x14ac:dyDescent="0.2">
      <c r="A289" s="2">
        <v>208</v>
      </c>
      <c r="B289" s="3" t="s">
        <v>1349</v>
      </c>
      <c r="C289" s="49" t="s">
        <v>1350</v>
      </c>
      <c r="D289" s="49"/>
      <c r="E289" s="49"/>
      <c r="F289" s="49"/>
      <c r="G289" s="4" t="s">
        <v>1351</v>
      </c>
      <c r="H289" s="8"/>
      <c r="I289" s="9" t="s">
        <v>1352</v>
      </c>
      <c r="J289" s="10"/>
      <c r="K289" s="11">
        <v>10</v>
      </c>
      <c r="L289" s="10"/>
      <c r="M289" s="10" t="s">
        <v>47</v>
      </c>
      <c r="N289" s="10"/>
      <c r="O289" s="2">
        <v>2</v>
      </c>
      <c r="P289" s="17">
        <f>349*(1-S3/100)</f>
        <v>349</v>
      </c>
      <c r="Q289" s="18"/>
      <c r="R289" s="10">
        <f>P289*Q289</f>
        <v>0</v>
      </c>
      <c r="S289" s="19">
        <f>0.543*Q289</f>
        <v>0</v>
      </c>
      <c r="T289" s="20">
        <f>0.00093*Q289</f>
        <v>0</v>
      </c>
      <c r="U289" s="21"/>
      <c r="V289" s="22" t="s">
        <v>1353</v>
      </c>
      <c r="W289" s="22" t="s">
        <v>191</v>
      </c>
      <c r="X289" s="3"/>
      <c r="Y289" s="3" t="s">
        <v>1354</v>
      </c>
      <c r="Z289" s="3" t="s">
        <v>52</v>
      </c>
      <c r="AA289" s="3"/>
      <c r="AB289" s="3"/>
      <c r="AC289" s="3" t="str">
        <f>HYPERLINK("https://knigipp.ru/api/getInfo/image/e8c49168-e8e1-11ed-a233-00155d82e902")</f>
        <v>https://knigipp.ru/api/getInfo/image/e8c49168-e8e1-11ed-a233-00155d82e902</v>
      </c>
      <c r="AD289" s="32">
        <v>128</v>
      </c>
      <c r="AE289" s="3" t="s">
        <v>355</v>
      </c>
      <c r="AF289" s="3" t="s">
        <v>127</v>
      </c>
      <c r="AG289" s="3"/>
      <c r="AH289" s="3" t="s">
        <v>56</v>
      </c>
      <c r="AI289" s="3"/>
      <c r="AJ289" s="3"/>
      <c r="AK289" s="3" t="str">
        <f>HYPERLINK("https://knigipp.ru/api/getInfo/item/e8c49168-e8e1-11ed-a233-00155d82e902")</f>
        <v>https://knigipp.ru/api/getInfo/item/e8c49168-e8e1-11ed-a233-00155d82e902</v>
      </c>
      <c r="AL289" s="3" t="s">
        <v>1348</v>
      </c>
    </row>
    <row r="290" spans="1:38" ht="21" customHeight="1" outlineLevel="4" x14ac:dyDescent="0.2">
      <c r="A290" s="2">
        <v>209</v>
      </c>
      <c r="B290" s="3" t="s">
        <v>1355</v>
      </c>
      <c r="C290" s="49" t="s">
        <v>1356</v>
      </c>
      <c r="D290" s="49"/>
      <c r="E290" s="49"/>
      <c r="F290" s="49"/>
      <c r="G290" s="4" t="s">
        <v>1357</v>
      </c>
      <c r="H290" s="8"/>
      <c r="I290" s="9" t="s">
        <v>1352</v>
      </c>
      <c r="J290" s="10"/>
      <c r="K290" s="11">
        <v>10</v>
      </c>
      <c r="L290" s="10"/>
      <c r="M290" s="10" t="s">
        <v>47</v>
      </c>
      <c r="N290" s="10"/>
      <c r="O290" s="2">
        <v>2</v>
      </c>
      <c r="P290" s="17">
        <f>349*(1-S3/100)</f>
        <v>349</v>
      </c>
      <c r="Q290" s="18"/>
      <c r="R290" s="10">
        <f>P290*Q290</f>
        <v>0</v>
      </c>
      <c r="S290" s="19">
        <f>0.543*Q290</f>
        <v>0</v>
      </c>
      <c r="T290" s="20">
        <f>0.00093*Q290</f>
        <v>0</v>
      </c>
      <c r="U290" s="21"/>
      <c r="V290" s="22" t="s">
        <v>1358</v>
      </c>
      <c r="W290" s="22" t="s">
        <v>191</v>
      </c>
      <c r="X290" s="3"/>
      <c r="Y290" s="3" t="s">
        <v>1359</v>
      </c>
      <c r="Z290" s="3" t="s">
        <v>52</v>
      </c>
      <c r="AA290" s="3"/>
      <c r="AB290" s="3"/>
      <c r="AC290" s="3" t="str">
        <f>HYPERLINK("https://knigipp.ru/api/getInfo/image/493e81a5-e8e2-11ed-a233-00155d82e902")</f>
        <v>https://knigipp.ru/api/getInfo/image/493e81a5-e8e2-11ed-a233-00155d82e902</v>
      </c>
      <c r="AD290" s="32">
        <v>128</v>
      </c>
      <c r="AE290" s="3" t="s">
        <v>355</v>
      </c>
      <c r="AF290" s="3" t="s">
        <v>127</v>
      </c>
      <c r="AG290" s="3"/>
      <c r="AH290" s="3" t="s">
        <v>56</v>
      </c>
      <c r="AI290" s="3"/>
      <c r="AJ290" s="3"/>
      <c r="AK290" s="3" t="str">
        <f>HYPERLINK("https://knigipp.ru/api/getInfo/item/493e81a5-e8e2-11ed-a233-00155d82e902")</f>
        <v>https://knigipp.ru/api/getInfo/item/493e81a5-e8e2-11ed-a233-00155d82e902</v>
      </c>
      <c r="AL290" s="3" t="s">
        <v>1348</v>
      </c>
    </row>
    <row r="291" spans="1:38" ht="21" customHeight="1" outlineLevel="4" x14ac:dyDescent="0.2">
      <c r="A291" s="2">
        <v>210</v>
      </c>
      <c r="B291" s="3" t="s">
        <v>1360</v>
      </c>
      <c r="C291" s="49" t="s">
        <v>1361</v>
      </c>
      <c r="D291" s="49"/>
      <c r="E291" s="49"/>
      <c r="F291" s="49"/>
      <c r="G291" s="4" t="s">
        <v>1362</v>
      </c>
      <c r="H291" s="8"/>
      <c r="I291" s="9" t="s">
        <v>1352</v>
      </c>
      <c r="J291" s="10"/>
      <c r="K291" s="11">
        <v>10</v>
      </c>
      <c r="L291" s="10"/>
      <c r="M291" s="10" t="s">
        <v>47</v>
      </c>
      <c r="N291" s="10"/>
      <c r="O291" s="2">
        <v>2</v>
      </c>
      <c r="P291" s="17">
        <f>349*(1-S3/100)</f>
        <v>349</v>
      </c>
      <c r="Q291" s="18"/>
      <c r="R291" s="10">
        <f>P291*Q291</f>
        <v>0</v>
      </c>
      <c r="S291" s="19">
        <f>0.543*Q291</f>
        <v>0</v>
      </c>
      <c r="T291" s="20">
        <f>0.00093*Q291</f>
        <v>0</v>
      </c>
      <c r="U291" s="21"/>
      <c r="V291" s="22" t="s">
        <v>1363</v>
      </c>
      <c r="W291" s="22" t="s">
        <v>191</v>
      </c>
      <c r="X291" s="3"/>
      <c r="Y291" s="3" t="s">
        <v>1364</v>
      </c>
      <c r="Z291" s="3" t="s">
        <v>52</v>
      </c>
      <c r="AA291" s="3"/>
      <c r="AB291" s="3"/>
      <c r="AC291" s="3" t="str">
        <f>HYPERLINK("https://knigipp.ru/api/getInfo/image/255e9086-e8e2-11ed-a233-00155d82e902")</f>
        <v>https://knigipp.ru/api/getInfo/image/255e9086-e8e2-11ed-a233-00155d82e902</v>
      </c>
      <c r="AD291" s="32">
        <v>128</v>
      </c>
      <c r="AE291" s="3" t="s">
        <v>355</v>
      </c>
      <c r="AF291" s="3" t="s">
        <v>127</v>
      </c>
      <c r="AG291" s="3"/>
      <c r="AH291" s="3" t="s">
        <v>56</v>
      </c>
      <c r="AI291" s="3"/>
      <c r="AJ291" s="3"/>
      <c r="AK291" s="3" t="str">
        <f>HYPERLINK("https://knigipp.ru/api/getInfo/item/255e9086-e8e2-11ed-a233-00155d82e902")</f>
        <v>https://knigipp.ru/api/getInfo/item/255e9086-e8e2-11ed-a233-00155d82e902</v>
      </c>
      <c r="AL291" s="3" t="s">
        <v>1348</v>
      </c>
    </row>
    <row r="292" spans="1:38" ht="21" customHeight="1" outlineLevel="4" x14ac:dyDescent="0.2">
      <c r="A292" s="2">
        <v>211</v>
      </c>
      <c r="B292" s="3" t="s">
        <v>1365</v>
      </c>
      <c r="C292" s="49" t="s">
        <v>1366</v>
      </c>
      <c r="D292" s="49"/>
      <c r="E292" s="49"/>
      <c r="F292" s="49"/>
      <c r="G292" s="4" t="s">
        <v>1367</v>
      </c>
      <c r="H292" s="8"/>
      <c r="I292" s="9" t="s">
        <v>1352</v>
      </c>
      <c r="J292" s="10"/>
      <c r="K292" s="11">
        <v>10</v>
      </c>
      <c r="L292" s="10"/>
      <c r="M292" s="10" t="s">
        <v>47</v>
      </c>
      <c r="N292" s="10"/>
      <c r="O292" s="2">
        <v>2</v>
      </c>
      <c r="P292" s="17">
        <f>349*(1-S3/100)</f>
        <v>349</v>
      </c>
      <c r="Q292" s="18"/>
      <c r="R292" s="10">
        <f>P292*Q292</f>
        <v>0</v>
      </c>
      <c r="S292" s="19">
        <f>0.543*Q292</f>
        <v>0</v>
      </c>
      <c r="T292" s="20">
        <f>0.00093*Q292</f>
        <v>0</v>
      </c>
      <c r="U292" s="21"/>
      <c r="V292" s="22" t="s">
        <v>1368</v>
      </c>
      <c r="W292" s="22" t="s">
        <v>191</v>
      </c>
      <c r="X292" s="3"/>
      <c r="Y292" s="3" t="s">
        <v>1369</v>
      </c>
      <c r="Z292" s="3" t="s">
        <v>52</v>
      </c>
      <c r="AA292" s="3"/>
      <c r="AB292" s="3"/>
      <c r="AC292" s="3" t="str">
        <f>HYPERLINK("https://knigipp.ru/api/getInfo/image/8be63bb7-e8e2-11ed-a233-00155d82e902")</f>
        <v>https://knigipp.ru/api/getInfo/image/8be63bb7-e8e2-11ed-a233-00155d82e902</v>
      </c>
      <c r="AD292" s="32">
        <v>128</v>
      </c>
      <c r="AE292" s="3" t="s">
        <v>355</v>
      </c>
      <c r="AF292" s="3" t="s">
        <v>127</v>
      </c>
      <c r="AG292" s="3"/>
      <c r="AH292" s="3" t="s">
        <v>56</v>
      </c>
      <c r="AI292" s="3"/>
      <c r="AJ292" s="3"/>
      <c r="AK292" s="3" t="str">
        <f>HYPERLINK("https://knigipp.ru/api/getInfo/item/8be63bb7-e8e2-11ed-a233-00155d82e902")</f>
        <v>https://knigipp.ru/api/getInfo/item/8be63bb7-e8e2-11ed-a233-00155d82e902</v>
      </c>
      <c r="AL292" s="3" t="s">
        <v>1348</v>
      </c>
    </row>
    <row r="293" spans="1:38" ht="23.1" customHeight="1" outlineLevel="3" x14ac:dyDescent="0.2">
      <c r="A293" s="48" t="s">
        <v>1370</v>
      </c>
      <c r="B293" s="48"/>
      <c r="C293" s="48"/>
      <c r="D293" s="48"/>
      <c r="E293" s="48"/>
      <c r="F293" s="48"/>
    </row>
    <row r="294" spans="1:38" ht="21" customHeight="1" outlineLevel="4" x14ac:dyDescent="0.2">
      <c r="A294" s="2">
        <v>212</v>
      </c>
      <c r="B294" s="3" t="s">
        <v>1371</v>
      </c>
      <c r="C294" s="49" t="s">
        <v>1372</v>
      </c>
      <c r="D294" s="49"/>
      <c r="E294" s="49"/>
      <c r="F294" s="49"/>
      <c r="G294" s="4" t="s">
        <v>1373</v>
      </c>
      <c r="H294" s="8"/>
      <c r="I294" s="9" t="s">
        <v>1374</v>
      </c>
      <c r="J294" s="10"/>
      <c r="K294" s="11">
        <v>10</v>
      </c>
      <c r="L294" s="10"/>
      <c r="M294" s="10" t="s">
        <v>78</v>
      </c>
      <c r="N294" s="10"/>
      <c r="O294" s="2">
        <v>2</v>
      </c>
      <c r="P294" s="17">
        <f>337*(1-S3/100)</f>
        <v>337</v>
      </c>
      <c r="Q294" s="18"/>
      <c r="R294" s="10">
        <f>P294*Q294</f>
        <v>0</v>
      </c>
      <c r="S294" s="19">
        <f>0.448*Q294</f>
        <v>0</v>
      </c>
      <c r="T294" s="20">
        <f>0.00072*Q294</f>
        <v>0</v>
      </c>
      <c r="U294" s="21"/>
      <c r="V294" s="22" t="s">
        <v>1375</v>
      </c>
      <c r="W294" s="22" t="s">
        <v>191</v>
      </c>
      <c r="X294" s="3"/>
      <c r="Y294" s="3" t="s">
        <v>1376</v>
      </c>
      <c r="Z294" s="3" t="s">
        <v>52</v>
      </c>
      <c r="AA294" s="3"/>
      <c r="AB294" s="3"/>
      <c r="AC294" s="3" t="str">
        <f>HYPERLINK("https://knigipp.ru/api/getInfo/image/4d8d4e71-f5d8-11ef-a274-00155d82e908")</f>
        <v>https://knigipp.ru/api/getInfo/image/4d8d4e71-f5d8-11ef-a274-00155d82e908</v>
      </c>
      <c r="AD294" s="32">
        <v>256</v>
      </c>
      <c r="AE294" s="3" t="s">
        <v>1377</v>
      </c>
      <c r="AF294" s="3" t="s">
        <v>127</v>
      </c>
      <c r="AG294" s="3"/>
      <c r="AH294" s="3" t="s">
        <v>56</v>
      </c>
      <c r="AI294" s="3"/>
      <c r="AJ294" s="3"/>
      <c r="AK294" s="3" t="str">
        <f>HYPERLINK("https://knigipp.ru/api/getInfo/item/4d8d4e71-f5d8-11ef-a274-00155d82e908")</f>
        <v>https://knigipp.ru/api/getInfo/item/4d8d4e71-f5d8-11ef-a274-00155d82e908</v>
      </c>
      <c r="AL294" s="3" t="s">
        <v>1378</v>
      </c>
    </row>
    <row r="295" spans="1:38" ht="23.1" customHeight="1" outlineLevel="3" x14ac:dyDescent="0.2">
      <c r="A295" s="48" t="s">
        <v>1379</v>
      </c>
      <c r="B295" s="48"/>
      <c r="C295" s="48"/>
      <c r="D295" s="48"/>
      <c r="E295" s="48"/>
      <c r="F295" s="48"/>
    </row>
    <row r="296" spans="1:38" ht="21" customHeight="1" outlineLevel="4" x14ac:dyDescent="0.2">
      <c r="A296" s="2">
        <v>213</v>
      </c>
      <c r="B296" s="3" t="s">
        <v>1380</v>
      </c>
      <c r="C296" s="49" t="s">
        <v>1381</v>
      </c>
      <c r="D296" s="49"/>
      <c r="E296" s="49"/>
      <c r="F296" s="49"/>
      <c r="G296" s="4" t="s">
        <v>1382</v>
      </c>
      <c r="H296" s="8"/>
      <c r="I296" s="9" t="s">
        <v>1383</v>
      </c>
      <c r="J296" s="10"/>
      <c r="K296" s="11">
        <v>10</v>
      </c>
      <c r="L296" s="10"/>
      <c r="M296" s="10" t="s">
        <v>47</v>
      </c>
      <c r="N296" s="10"/>
      <c r="O296" s="2">
        <v>7</v>
      </c>
      <c r="P296" s="17">
        <f>89*(1-S3/100)</f>
        <v>89</v>
      </c>
      <c r="Q296" s="18"/>
      <c r="R296" s="10">
        <f>P296*Q296</f>
        <v>0</v>
      </c>
      <c r="S296" s="28">
        <f>0.11*Q296</f>
        <v>0</v>
      </c>
      <c r="T296" s="20">
        <f>0.00014*Q296</f>
        <v>0</v>
      </c>
      <c r="U296" s="21"/>
      <c r="V296" s="22" t="s">
        <v>1384</v>
      </c>
      <c r="W296" s="22" t="s">
        <v>191</v>
      </c>
      <c r="X296" s="3"/>
      <c r="Y296" s="3"/>
      <c r="Z296" s="3" t="s">
        <v>52</v>
      </c>
      <c r="AA296" s="3"/>
      <c r="AB296" s="3"/>
      <c r="AC296" s="3" t="str">
        <f>HYPERLINK("https://knigipp.ru/api/getInfo/image/e7309ee3-d1fd-11ed-a230-00155d82e902")</f>
        <v>https://knigipp.ru/api/getInfo/image/e7309ee3-d1fd-11ed-a230-00155d82e902</v>
      </c>
      <c r="AD296" s="32">
        <v>80</v>
      </c>
      <c r="AE296" s="3" t="s">
        <v>481</v>
      </c>
      <c r="AF296" s="3" t="s">
        <v>136</v>
      </c>
      <c r="AG296" s="3"/>
      <c r="AH296" s="3" t="s">
        <v>56</v>
      </c>
      <c r="AI296" s="3"/>
      <c r="AJ296" s="3"/>
      <c r="AK296" s="3" t="str">
        <f>HYPERLINK("https://knigipp.ru/api/getInfo/item/e7309ee3-d1fd-11ed-a230-00155d82e902")</f>
        <v>https://knigipp.ru/api/getInfo/item/e7309ee3-d1fd-11ed-a230-00155d82e902</v>
      </c>
      <c r="AL296" s="3" t="s">
        <v>1385</v>
      </c>
    </row>
    <row r="297" spans="1:38" ht="21" customHeight="1" outlineLevel="4" x14ac:dyDescent="0.2">
      <c r="A297" s="2">
        <v>214</v>
      </c>
      <c r="B297" s="3" t="s">
        <v>1386</v>
      </c>
      <c r="C297" s="49" t="s">
        <v>1387</v>
      </c>
      <c r="D297" s="49"/>
      <c r="E297" s="49"/>
      <c r="F297" s="49"/>
      <c r="G297" s="4" t="s">
        <v>1388</v>
      </c>
      <c r="H297" s="8"/>
      <c r="I297" s="9" t="s">
        <v>1383</v>
      </c>
      <c r="J297" s="10"/>
      <c r="K297" s="11">
        <v>10</v>
      </c>
      <c r="L297" s="10"/>
      <c r="M297" s="10" t="s">
        <v>47</v>
      </c>
      <c r="N297" s="10"/>
      <c r="O297" s="2">
        <v>7</v>
      </c>
      <c r="P297" s="17">
        <f>89*(1-S3/100)</f>
        <v>89</v>
      </c>
      <c r="Q297" s="18"/>
      <c r="R297" s="10">
        <f>P297*Q297</f>
        <v>0</v>
      </c>
      <c r="S297" s="35">
        <f>0.1*Q297</f>
        <v>0</v>
      </c>
      <c r="T297" s="20">
        <f>0.00032*Q297</f>
        <v>0</v>
      </c>
      <c r="U297" s="21"/>
      <c r="V297" s="22" t="s">
        <v>1389</v>
      </c>
      <c r="W297" s="22" t="s">
        <v>191</v>
      </c>
      <c r="X297" s="3"/>
      <c r="Y297" s="3"/>
      <c r="Z297" s="3" t="s">
        <v>52</v>
      </c>
      <c r="AA297" s="3"/>
      <c r="AB297" s="3"/>
      <c r="AC297" s="3" t="str">
        <f>HYPERLINK("https://knigipp.ru/api/getInfo/image/7aff2dde-d1fd-11ed-a230-00155d82e902")</f>
        <v>https://knigipp.ru/api/getInfo/image/7aff2dde-d1fd-11ed-a230-00155d82e902</v>
      </c>
      <c r="AD297" s="32">
        <v>80</v>
      </c>
      <c r="AE297" s="3" t="s">
        <v>481</v>
      </c>
      <c r="AF297" s="3" t="s">
        <v>136</v>
      </c>
      <c r="AG297" s="3"/>
      <c r="AH297" s="3" t="s">
        <v>56</v>
      </c>
      <c r="AI297" s="3"/>
      <c r="AJ297" s="3"/>
      <c r="AK297" s="3" t="str">
        <f>HYPERLINK("https://knigipp.ru/api/getInfo/item/7aff2dde-d1fd-11ed-a230-00155d82e902")</f>
        <v>https://knigipp.ru/api/getInfo/item/7aff2dde-d1fd-11ed-a230-00155d82e902</v>
      </c>
      <c r="AL297" s="3" t="s">
        <v>1385</v>
      </c>
    </row>
    <row r="298" spans="1:38" ht="21" customHeight="1" outlineLevel="4" x14ac:dyDescent="0.2">
      <c r="A298" s="2">
        <v>215</v>
      </c>
      <c r="B298" s="3" t="s">
        <v>1390</v>
      </c>
      <c r="C298" s="49" t="s">
        <v>1391</v>
      </c>
      <c r="D298" s="49"/>
      <c r="E298" s="49"/>
      <c r="F298" s="49"/>
      <c r="G298" s="4" t="s">
        <v>1392</v>
      </c>
      <c r="H298" s="8"/>
      <c r="I298" s="9" t="s">
        <v>1383</v>
      </c>
      <c r="J298" s="10"/>
      <c r="K298" s="11">
        <v>10</v>
      </c>
      <c r="L298" s="10"/>
      <c r="M298" s="10" t="s">
        <v>47</v>
      </c>
      <c r="N298" s="10"/>
      <c r="O298" s="2">
        <v>7</v>
      </c>
      <c r="P298" s="17">
        <f>89*(1-S3/100)</f>
        <v>89</v>
      </c>
      <c r="Q298" s="18"/>
      <c r="R298" s="10">
        <f>P298*Q298</f>
        <v>0</v>
      </c>
      <c r="S298" s="19">
        <f>0.105*Q298</f>
        <v>0</v>
      </c>
      <c r="T298" s="20">
        <f>0.00045*Q298</f>
        <v>0</v>
      </c>
      <c r="U298" s="21"/>
      <c r="V298" s="22" t="s">
        <v>1393</v>
      </c>
      <c r="W298" s="22" t="s">
        <v>191</v>
      </c>
      <c r="X298" s="3"/>
      <c r="Y298" s="3"/>
      <c r="Z298" s="3" t="s">
        <v>52</v>
      </c>
      <c r="AA298" s="3"/>
      <c r="AB298" s="3"/>
      <c r="AC298" s="3" t="str">
        <f>HYPERLINK("https://knigipp.ru/api/getInfo/image/116d0ad7-d1fe-11ed-a230-00155d82e902")</f>
        <v>https://knigipp.ru/api/getInfo/image/116d0ad7-d1fe-11ed-a230-00155d82e902</v>
      </c>
      <c r="AD298" s="32">
        <v>80</v>
      </c>
      <c r="AE298" s="3" t="s">
        <v>481</v>
      </c>
      <c r="AF298" s="3" t="s">
        <v>136</v>
      </c>
      <c r="AG298" s="3"/>
      <c r="AH298" s="3" t="s">
        <v>56</v>
      </c>
      <c r="AI298" s="3"/>
      <c r="AJ298" s="3"/>
      <c r="AK298" s="3" t="str">
        <f>HYPERLINK("https://knigipp.ru/api/getInfo/item/116d0ad7-d1fe-11ed-a230-00155d82e902")</f>
        <v>https://knigipp.ru/api/getInfo/item/116d0ad7-d1fe-11ed-a230-00155d82e902</v>
      </c>
      <c r="AL298" s="3" t="s">
        <v>1385</v>
      </c>
    </row>
    <row r="299" spans="1:38" ht="21" customHeight="1" outlineLevel="4" x14ac:dyDescent="0.2">
      <c r="A299" s="2">
        <v>216</v>
      </c>
      <c r="B299" s="3" t="s">
        <v>1394</v>
      </c>
      <c r="C299" s="49" t="s">
        <v>1395</v>
      </c>
      <c r="D299" s="49"/>
      <c r="E299" s="49"/>
      <c r="F299" s="49"/>
      <c r="G299" s="4" t="s">
        <v>1396</v>
      </c>
      <c r="H299" s="8"/>
      <c r="I299" s="9" t="s">
        <v>1383</v>
      </c>
      <c r="J299" s="10"/>
      <c r="K299" s="11">
        <v>10</v>
      </c>
      <c r="L299" s="10"/>
      <c r="M299" s="10" t="s">
        <v>47</v>
      </c>
      <c r="N299" s="10"/>
      <c r="O299" s="2">
        <v>7</v>
      </c>
      <c r="P299" s="17">
        <f>89*(1-S3/100)</f>
        <v>89</v>
      </c>
      <c r="Q299" s="18"/>
      <c r="R299" s="10">
        <f>P299*Q299</f>
        <v>0</v>
      </c>
      <c r="S299" s="28">
        <f>0.11*Q299</f>
        <v>0</v>
      </c>
      <c r="T299" s="20">
        <f>0.00014*Q299</f>
        <v>0</v>
      </c>
      <c r="U299" s="21"/>
      <c r="V299" s="22" t="s">
        <v>1397</v>
      </c>
      <c r="W299" s="22" t="s">
        <v>191</v>
      </c>
      <c r="X299" s="3"/>
      <c r="Y299" s="3"/>
      <c r="Z299" s="3" t="s">
        <v>52</v>
      </c>
      <c r="AA299" s="3"/>
      <c r="AB299" s="3"/>
      <c r="AC299" s="3" t="str">
        <f>HYPERLINK("https://knigipp.ru/api/getInfo/image/b98b938f-d1fd-11ed-a230-00155d82e902")</f>
        <v>https://knigipp.ru/api/getInfo/image/b98b938f-d1fd-11ed-a230-00155d82e902</v>
      </c>
      <c r="AD299" s="32">
        <v>80</v>
      </c>
      <c r="AE299" s="3" t="s">
        <v>481</v>
      </c>
      <c r="AF299" s="3" t="s">
        <v>136</v>
      </c>
      <c r="AG299" s="3"/>
      <c r="AH299" s="3" t="s">
        <v>56</v>
      </c>
      <c r="AI299" s="3"/>
      <c r="AJ299" s="3"/>
      <c r="AK299" s="3" t="str">
        <f>HYPERLINK("https://knigipp.ru/api/getInfo/item/b98b938f-d1fd-11ed-a230-00155d82e902")</f>
        <v>https://knigipp.ru/api/getInfo/item/b98b938f-d1fd-11ed-a230-00155d82e902</v>
      </c>
      <c r="AL299" s="3" t="s">
        <v>1385</v>
      </c>
    </row>
    <row r="300" spans="1:38" ht="23.1" customHeight="1" outlineLevel="3" x14ac:dyDescent="0.2">
      <c r="A300" s="48" t="s">
        <v>1398</v>
      </c>
      <c r="B300" s="48"/>
      <c r="C300" s="48"/>
      <c r="D300" s="48"/>
      <c r="E300" s="48"/>
      <c r="F300" s="48"/>
    </row>
    <row r="301" spans="1:38" ht="21" customHeight="1" outlineLevel="4" x14ac:dyDescent="0.2">
      <c r="A301" s="2">
        <v>217</v>
      </c>
      <c r="B301" s="3" t="s">
        <v>1399</v>
      </c>
      <c r="C301" s="49" t="s">
        <v>1400</v>
      </c>
      <c r="D301" s="49"/>
      <c r="E301" s="49"/>
      <c r="F301" s="49"/>
      <c r="G301" s="4" t="s">
        <v>1401</v>
      </c>
      <c r="H301" s="8"/>
      <c r="I301" s="9" t="s">
        <v>1402</v>
      </c>
      <c r="J301" s="10"/>
      <c r="K301" s="11">
        <v>10</v>
      </c>
      <c r="L301" s="10"/>
      <c r="M301" s="10" t="s">
        <v>47</v>
      </c>
      <c r="N301" s="10"/>
      <c r="O301" s="2">
        <v>6</v>
      </c>
      <c r="P301" s="17">
        <f>107*(1-S3/100)</f>
        <v>107</v>
      </c>
      <c r="Q301" s="18"/>
      <c r="R301" s="10">
        <f>P301*Q301</f>
        <v>0</v>
      </c>
      <c r="S301" s="19">
        <f>0.096*Q301</f>
        <v>0</v>
      </c>
      <c r="T301" s="20">
        <f>0.00014*Q301</f>
        <v>0</v>
      </c>
      <c r="U301" s="21"/>
      <c r="V301" s="22" t="s">
        <v>1403</v>
      </c>
      <c r="W301" s="22" t="s">
        <v>191</v>
      </c>
      <c r="X301" s="3"/>
      <c r="Y301" s="3" t="s">
        <v>1404</v>
      </c>
      <c r="Z301" s="3" t="s">
        <v>52</v>
      </c>
      <c r="AA301" s="3" t="s">
        <v>1405</v>
      </c>
      <c r="AB301" s="3"/>
      <c r="AC301" s="3" t="str">
        <f>HYPERLINK("https://knigipp.ru/api/getInfo/image/cf20db10-903e-11ee-a250-00155d82e908")</f>
        <v>https://knigipp.ru/api/getInfo/image/cf20db10-903e-11ee-a250-00155d82e908</v>
      </c>
      <c r="AD301" s="32">
        <v>80</v>
      </c>
      <c r="AE301" s="3" t="s">
        <v>1406</v>
      </c>
      <c r="AF301" s="3" t="s">
        <v>136</v>
      </c>
      <c r="AG301" s="3"/>
      <c r="AH301" s="3" t="s">
        <v>56</v>
      </c>
      <c r="AI301" s="3"/>
      <c r="AJ301" s="3"/>
      <c r="AK301" s="3" t="str">
        <f>HYPERLINK("https://knigipp.ru/api/getInfo/item/cf20db10-903e-11ee-a250-00155d82e908")</f>
        <v>https://knigipp.ru/api/getInfo/item/cf20db10-903e-11ee-a250-00155d82e908</v>
      </c>
      <c r="AL301" s="3" t="s">
        <v>1407</v>
      </c>
    </row>
    <row r="302" spans="1:38" ht="21" customHeight="1" outlineLevel="4" x14ac:dyDescent="0.2">
      <c r="A302" s="2">
        <v>218</v>
      </c>
      <c r="B302" s="3" t="s">
        <v>1408</v>
      </c>
      <c r="C302" s="49" t="s">
        <v>1409</v>
      </c>
      <c r="D302" s="49"/>
      <c r="E302" s="49"/>
      <c r="F302" s="49"/>
      <c r="G302" s="4" t="s">
        <v>1410</v>
      </c>
      <c r="H302" s="8"/>
      <c r="I302" s="9" t="s">
        <v>1402</v>
      </c>
      <c r="J302" s="10"/>
      <c r="K302" s="11">
        <v>10</v>
      </c>
      <c r="L302" s="10"/>
      <c r="M302" s="10" t="s">
        <v>47</v>
      </c>
      <c r="N302" s="10"/>
      <c r="O302" s="2">
        <v>6</v>
      </c>
      <c r="P302" s="17">
        <f>107*(1-S3/100)</f>
        <v>107</v>
      </c>
      <c r="Q302" s="18"/>
      <c r="R302" s="10">
        <f>P302*Q302</f>
        <v>0</v>
      </c>
      <c r="S302" s="19">
        <f>0.096*Q302</f>
        <v>0</v>
      </c>
      <c r="T302" s="20">
        <f>0.00014*Q302</f>
        <v>0</v>
      </c>
      <c r="U302" s="21"/>
      <c r="V302" s="22" t="s">
        <v>1411</v>
      </c>
      <c r="W302" s="22" t="s">
        <v>191</v>
      </c>
      <c r="X302" s="3"/>
      <c r="Y302" s="3" t="s">
        <v>1412</v>
      </c>
      <c r="Z302" s="3" t="s">
        <v>52</v>
      </c>
      <c r="AA302" s="3" t="s">
        <v>1413</v>
      </c>
      <c r="AB302" s="3"/>
      <c r="AC302" s="3" t="str">
        <f>HYPERLINK("https://knigipp.ru/api/getInfo/image/88420f05-903f-11ee-a250-00155d82e908")</f>
        <v>https://knigipp.ru/api/getInfo/image/88420f05-903f-11ee-a250-00155d82e908</v>
      </c>
      <c r="AD302" s="32">
        <v>80</v>
      </c>
      <c r="AE302" s="3" t="s">
        <v>1406</v>
      </c>
      <c r="AF302" s="3" t="s">
        <v>136</v>
      </c>
      <c r="AG302" s="3"/>
      <c r="AH302" s="3" t="s">
        <v>56</v>
      </c>
      <c r="AI302" s="3"/>
      <c r="AJ302" s="3"/>
      <c r="AK302" s="3" t="str">
        <f>HYPERLINK("https://knigipp.ru/api/getInfo/item/88420f05-903f-11ee-a250-00155d82e908")</f>
        <v>https://knigipp.ru/api/getInfo/item/88420f05-903f-11ee-a250-00155d82e908</v>
      </c>
      <c r="AL302" s="3" t="s">
        <v>1407</v>
      </c>
    </row>
    <row r="303" spans="1:38" ht="21" customHeight="1" outlineLevel="4" x14ac:dyDescent="0.2">
      <c r="A303" s="2">
        <v>219</v>
      </c>
      <c r="B303" s="3" t="s">
        <v>1414</v>
      </c>
      <c r="C303" s="49" t="s">
        <v>1415</v>
      </c>
      <c r="D303" s="49"/>
      <c r="E303" s="49"/>
      <c r="F303" s="49"/>
      <c r="G303" s="4" t="s">
        <v>1416</v>
      </c>
      <c r="H303" s="8"/>
      <c r="I303" s="9" t="s">
        <v>1402</v>
      </c>
      <c r="J303" s="10"/>
      <c r="K303" s="11">
        <v>10</v>
      </c>
      <c r="L303" s="10"/>
      <c r="M303" s="10" t="s">
        <v>47</v>
      </c>
      <c r="N303" s="10"/>
      <c r="O303" s="2">
        <v>6</v>
      </c>
      <c r="P303" s="17">
        <f>107*(1-S3/100)</f>
        <v>107</v>
      </c>
      <c r="Q303" s="18"/>
      <c r="R303" s="10">
        <f>P303*Q303</f>
        <v>0</v>
      </c>
      <c r="S303" s="19">
        <f>0.096*Q303</f>
        <v>0</v>
      </c>
      <c r="T303" s="20">
        <f>0.00014*Q303</f>
        <v>0</v>
      </c>
      <c r="U303" s="21"/>
      <c r="V303" s="22" t="s">
        <v>1417</v>
      </c>
      <c r="W303" s="22" t="s">
        <v>191</v>
      </c>
      <c r="X303" s="3"/>
      <c r="Y303" s="3" t="s">
        <v>1418</v>
      </c>
      <c r="Z303" s="3" t="s">
        <v>52</v>
      </c>
      <c r="AA303" s="3"/>
      <c r="AB303" s="3"/>
      <c r="AC303" s="3" t="str">
        <f>HYPERLINK("https://knigipp.ru/api/getInfo/image/1f50fa96-903f-11ee-a250-00155d82e908")</f>
        <v>https://knigipp.ru/api/getInfo/image/1f50fa96-903f-11ee-a250-00155d82e908</v>
      </c>
      <c r="AD303" s="32">
        <v>80</v>
      </c>
      <c r="AE303" s="3" t="s">
        <v>1406</v>
      </c>
      <c r="AF303" s="3" t="s">
        <v>136</v>
      </c>
      <c r="AG303" s="3"/>
      <c r="AH303" s="3" t="s">
        <v>56</v>
      </c>
      <c r="AI303" s="3"/>
      <c r="AJ303" s="3"/>
      <c r="AK303" s="3" t="str">
        <f>HYPERLINK("https://knigipp.ru/api/getInfo/item/1f50fa96-903f-11ee-a250-00155d82e908")</f>
        <v>https://knigipp.ru/api/getInfo/item/1f50fa96-903f-11ee-a250-00155d82e908</v>
      </c>
      <c r="AL303" s="3" t="s">
        <v>1407</v>
      </c>
    </row>
    <row r="304" spans="1:38" ht="21" customHeight="1" outlineLevel="4" x14ac:dyDescent="0.2">
      <c r="A304" s="2">
        <v>220</v>
      </c>
      <c r="B304" s="3" t="s">
        <v>1419</v>
      </c>
      <c r="C304" s="49" t="s">
        <v>1420</v>
      </c>
      <c r="D304" s="49"/>
      <c r="E304" s="49"/>
      <c r="F304" s="49"/>
      <c r="G304" s="4" t="s">
        <v>1421</v>
      </c>
      <c r="H304" s="8"/>
      <c r="I304" s="9" t="s">
        <v>1402</v>
      </c>
      <c r="J304" s="10"/>
      <c r="K304" s="11">
        <v>10</v>
      </c>
      <c r="L304" s="10"/>
      <c r="M304" s="10" t="s">
        <v>47</v>
      </c>
      <c r="N304" s="10"/>
      <c r="O304" s="2">
        <v>6</v>
      </c>
      <c r="P304" s="17">
        <f>107*(1-S3/100)</f>
        <v>107</v>
      </c>
      <c r="Q304" s="18"/>
      <c r="R304" s="10">
        <f>P304*Q304</f>
        <v>0</v>
      </c>
      <c r="S304" s="19">
        <f>0.096*Q304</f>
        <v>0</v>
      </c>
      <c r="T304" s="20">
        <f>0.00014*Q304</f>
        <v>0</v>
      </c>
      <c r="U304" s="21"/>
      <c r="V304" s="22" t="s">
        <v>1422</v>
      </c>
      <c r="W304" s="22" t="s">
        <v>191</v>
      </c>
      <c r="X304" s="3"/>
      <c r="Y304" s="3" t="s">
        <v>1423</v>
      </c>
      <c r="Z304" s="3" t="s">
        <v>52</v>
      </c>
      <c r="AA304" s="3" t="s">
        <v>1413</v>
      </c>
      <c r="AB304" s="3"/>
      <c r="AC304" s="3" t="str">
        <f>HYPERLINK("https://knigipp.ru/api/getInfo/image/be953103-903f-11ee-a250-00155d82e908")</f>
        <v>https://knigipp.ru/api/getInfo/image/be953103-903f-11ee-a250-00155d82e908</v>
      </c>
      <c r="AD304" s="32">
        <v>80</v>
      </c>
      <c r="AE304" s="3" t="s">
        <v>1406</v>
      </c>
      <c r="AF304" s="3" t="s">
        <v>136</v>
      </c>
      <c r="AG304" s="3"/>
      <c r="AH304" s="3" t="s">
        <v>56</v>
      </c>
      <c r="AI304" s="3"/>
      <c r="AJ304" s="3"/>
      <c r="AK304" s="3" t="str">
        <f>HYPERLINK("https://knigipp.ru/api/getInfo/item/be953103-903f-11ee-a250-00155d82e908")</f>
        <v>https://knigipp.ru/api/getInfo/item/be953103-903f-11ee-a250-00155d82e908</v>
      </c>
      <c r="AL304" s="3" t="s">
        <v>1407</v>
      </c>
    </row>
    <row r="305" spans="1:38" ht="23.1" customHeight="1" outlineLevel="3" x14ac:dyDescent="0.2">
      <c r="A305" s="48" t="s">
        <v>1424</v>
      </c>
      <c r="B305" s="48"/>
      <c r="C305" s="48"/>
      <c r="D305" s="48"/>
      <c r="E305" s="48"/>
      <c r="F305" s="48"/>
    </row>
    <row r="306" spans="1:38" ht="21" customHeight="1" outlineLevel="4" x14ac:dyDescent="0.2">
      <c r="A306" s="2">
        <v>221</v>
      </c>
      <c r="B306" s="3" t="s">
        <v>1425</v>
      </c>
      <c r="C306" s="49" t="s">
        <v>1426</v>
      </c>
      <c r="D306" s="49"/>
      <c r="E306" s="49"/>
      <c r="F306" s="49"/>
      <c r="G306" s="4" t="s">
        <v>1427</v>
      </c>
      <c r="H306" s="8"/>
      <c r="I306" s="9" t="s">
        <v>1428</v>
      </c>
      <c r="J306" s="10"/>
      <c r="K306" s="11">
        <v>10</v>
      </c>
      <c r="L306" s="10"/>
      <c r="M306" s="10" t="s">
        <v>47</v>
      </c>
      <c r="N306" s="10"/>
      <c r="O306" s="2">
        <v>6</v>
      </c>
      <c r="P306" s="17">
        <f>107*(1-S3/100)</f>
        <v>107</v>
      </c>
      <c r="Q306" s="18"/>
      <c r="R306" s="10">
        <f>P306*Q306</f>
        <v>0</v>
      </c>
      <c r="S306" s="19">
        <f>0.098*Q306</f>
        <v>0</v>
      </c>
      <c r="T306" s="20">
        <f>0.00014*Q306</f>
        <v>0</v>
      </c>
      <c r="U306" s="21"/>
      <c r="V306" s="22" t="s">
        <v>1429</v>
      </c>
      <c r="W306" s="22" t="s">
        <v>191</v>
      </c>
      <c r="X306" s="3"/>
      <c r="Y306" s="3" t="s">
        <v>1430</v>
      </c>
      <c r="Z306" s="3" t="s">
        <v>52</v>
      </c>
      <c r="AA306" s="3" t="s">
        <v>1431</v>
      </c>
      <c r="AB306" s="3"/>
      <c r="AC306" s="3" t="str">
        <f>HYPERLINK("https://knigipp.ru/api/getInfo/image/6c314e52-903d-11ee-a250-00155d82e908")</f>
        <v>https://knigipp.ru/api/getInfo/image/6c314e52-903d-11ee-a250-00155d82e908</v>
      </c>
      <c r="AD306" s="32">
        <v>80</v>
      </c>
      <c r="AE306" s="3" t="s">
        <v>355</v>
      </c>
      <c r="AF306" s="3" t="s">
        <v>136</v>
      </c>
      <c r="AG306" s="3"/>
      <c r="AH306" s="3" t="s">
        <v>56</v>
      </c>
      <c r="AI306" s="3"/>
      <c r="AJ306" s="3"/>
      <c r="AK306" s="3" t="str">
        <f>HYPERLINK("https://knigipp.ru/api/getInfo/item/6c314e52-903d-11ee-a250-00155d82e908")</f>
        <v>https://knigipp.ru/api/getInfo/item/6c314e52-903d-11ee-a250-00155d82e908</v>
      </c>
      <c r="AL306" s="3" t="s">
        <v>1385</v>
      </c>
    </row>
    <row r="307" spans="1:38" ht="21" customHeight="1" outlineLevel="4" x14ac:dyDescent="0.2">
      <c r="A307" s="2">
        <v>222</v>
      </c>
      <c r="B307" s="3" t="s">
        <v>1432</v>
      </c>
      <c r="C307" s="49" t="s">
        <v>1433</v>
      </c>
      <c r="D307" s="49"/>
      <c r="E307" s="49"/>
      <c r="F307" s="49"/>
      <c r="G307" s="4" t="s">
        <v>1434</v>
      </c>
      <c r="H307" s="8"/>
      <c r="I307" s="9" t="s">
        <v>1428</v>
      </c>
      <c r="J307" s="10"/>
      <c r="K307" s="11">
        <v>10</v>
      </c>
      <c r="L307" s="10"/>
      <c r="M307" s="10" t="s">
        <v>47</v>
      </c>
      <c r="N307" s="10"/>
      <c r="O307" s="2">
        <v>6</v>
      </c>
      <c r="P307" s="17">
        <f>107*(1-S3/100)</f>
        <v>107</v>
      </c>
      <c r="Q307" s="18"/>
      <c r="R307" s="10">
        <f>P307*Q307</f>
        <v>0</v>
      </c>
      <c r="S307" s="19">
        <f>0.098*Q307</f>
        <v>0</v>
      </c>
      <c r="T307" s="20">
        <f>0.00014*Q307</f>
        <v>0</v>
      </c>
      <c r="U307" s="21"/>
      <c r="V307" s="22" t="s">
        <v>1435</v>
      </c>
      <c r="W307" s="22" t="s">
        <v>191</v>
      </c>
      <c r="X307" s="3"/>
      <c r="Y307" s="3" t="s">
        <v>1436</v>
      </c>
      <c r="Z307" s="3" t="s">
        <v>52</v>
      </c>
      <c r="AA307" s="3" t="s">
        <v>1431</v>
      </c>
      <c r="AB307" s="3"/>
      <c r="AC307" s="3" t="str">
        <f>HYPERLINK("https://knigipp.ru/api/getInfo/image/34788a3c-903d-11ee-a250-00155d82e908")</f>
        <v>https://knigipp.ru/api/getInfo/image/34788a3c-903d-11ee-a250-00155d82e908</v>
      </c>
      <c r="AD307" s="32">
        <v>80</v>
      </c>
      <c r="AE307" s="3" t="s">
        <v>355</v>
      </c>
      <c r="AF307" s="3" t="s">
        <v>136</v>
      </c>
      <c r="AG307" s="3"/>
      <c r="AH307" s="3" t="s">
        <v>56</v>
      </c>
      <c r="AI307" s="3"/>
      <c r="AJ307" s="3"/>
      <c r="AK307" s="3" t="str">
        <f>HYPERLINK("https://knigipp.ru/api/getInfo/item/34788a3c-903d-11ee-a250-00155d82e908")</f>
        <v>https://knigipp.ru/api/getInfo/item/34788a3c-903d-11ee-a250-00155d82e908</v>
      </c>
      <c r="AL307" s="3" t="s">
        <v>1385</v>
      </c>
    </row>
    <row r="308" spans="1:38" ht="21" customHeight="1" outlineLevel="4" x14ac:dyDescent="0.2">
      <c r="A308" s="2">
        <v>223</v>
      </c>
      <c r="B308" s="3" t="s">
        <v>1437</v>
      </c>
      <c r="C308" s="49" t="s">
        <v>1438</v>
      </c>
      <c r="D308" s="49"/>
      <c r="E308" s="49"/>
      <c r="F308" s="49"/>
      <c r="G308" s="4" t="s">
        <v>1439</v>
      </c>
      <c r="H308" s="8"/>
      <c r="I308" s="9" t="s">
        <v>1428</v>
      </c>
      <c r="J308" s="10"/>
      <c r="K308" s="11">
        <v>10</v>
      </c>
      <c r="L308" s="10"/>
      <c r="M308" s="10" t="s">
        <v>78</v>
      </c>
      <c r="N308" s="10"/>
      <c r="O308" s="2">
        <v>6</v>
      </c>
      <c r="P308" s="17">
        <f>107*(1-S3/100)</f>
        <v>107</v>
      </c>
      <c r="Q308" s="18"/>
      <c r="R308" s="10">
        <f>P308*Q308</f>
        <v>0</v>
      </c>
      <c r="S308" s="19">
        <f>0.098*Q308</f>
        <v>0</v>
      </c>
      <c r="T308" s="20">
        <f>0.00014*Q308</f>
        <v>0</v>
      </c>
      <c r="U308" s="21"/>
      <c r="V308" s="22" t="s">
        <v>1440</v>
      </c>
      <c r="W308" s="22" t="s">
        <v>191</v>
      </c>
      <c r="X308" s="3"/>
      <c r="Y308" s="3" t="s">
        <v>1441</v>
      </c>
      <c r="Z308" s="3" t="s">
        <v>52</v>
      </c>
      <c r="AA308" s="3" t="s">
        <v>1431</v>
      </c>
      <c r="AB308" s="3"/>
      <c r="AC308" s="3" t="str">
        <f>HYPERLINK("https://knigipp.ru/api/getInfo/image/90577f1f-903c-11ee-a250-00155d82e908")</f>
        <v>https://knigipp.ru/api/getInfo/image/90577f1f-903c-11ee-a250-00155d82e908</v>
      </c>
      <c r="AD308" s="32">
        <v>80</v>
      </c>
      <c r="AE308" s="3" t="s">
        <v>355</v>
      </c>
      <c r="AF308" s="3" t="s">
        <v>136</v>
      </c>
      <c r="AG308" s="3"/>
      <c r="AH308" s="3" t="s">
        <v>56</v>
      </c>
      <c r="AI308" s="3"/>
      <c r="AJ308" s="3"/>
      <c r="AK308" s="3" t="str">
        <f>HYPERLINK("https://knigipp.ru/api/getInfo/item/90577f1f-903c-11ee-a250-00155d82e908")</f>
        <v>https://knigipp.ru/api/getInfo/item/90577f1f-903c-11ee-a250-00155d82e908</v>
      </c>
      <c r="AL308" s="3" t="s">
        <v>1385</v>
      </c>
    </row>
    <row r="309" spans="1:38" ht="21" customHeight="1" outlineLevel="4" x14ac:dyDescent="0.2">
      <c r="A309" s="2">
        <v>224</v>
      </c>
      <c r="B309" s="3" t="s">
        <v>1442</v>
      </c>
      <c r="C309" s="49" t="s">
        <v>1443</v>
      </c>
      <c r="D309" s="49"/>
      <c r="E309" s="49"/>
      <c r="F309" s="49"/>
      <c r="G309" s="4" t="s">
        <v>1444</v>
      </c>
      <c r="H309" s="8"/>
      <c r="I309" s="9" t="s">
        <v>1428</v>
      </c>
      <c r="J309" s="10"/>
      <c r="K309" s="11">
        <v>10</v>
      </c>
      <c r="L309" s="10"/>
      <c r="M309" s="10" t="s">
        <v>47</v>
      </c>
      <c r="N309" s="10"/>
      <c r="O309" s="2">
        <v>6</v>
      </c>
      <c r="P309" s="17">
        <f>107*(1-S3/100)</f>
        <v>107</v>
      </c>
      <c r="Q309" s="18"/>
      <c r="R309" s="10">
        <f>P309*Q309</f>
        <v>0</v>
      </c>
      <c r="S309" s="19">
        <f>0.098*Q309</f>
        <v>0</v>
      </c>
      <c r="T309" s="20">
        <f>0.00014*Q309</f>
        <v>0</v>
      </c>
      <c r="U309" s="21"/>
      <c r="V309" s="22" t="s">
        <v>1445</v>
      </c>
      <c r="W309" s="22" t="s">
        <v>191</v>
      </c>
      <c r="X309" s="3"/>
      <c r="Y309" s="3" t="s">
        <v>1446</v>
      </c>
      <c r="Z309" s="3" t="s">
        <v>52</v>
      </c>
      <c r="AA309" s="3" t="s">
        <v>1431</v>
      </c>
      <c r="AB309" s="3"/>
      <c r="AC309" s="3" t="str">
        <f>HYPERLINK("https://knigipp.ru/api/getInfo/image/f5c5ff0f-903c-11ee-a250-00155d82e908")</f>
        <v>https://knigipp.ru/api/getInfo/image/f5c5ff0f-903c-11ee-a250-00155d82e908</v>
      </c>
      <c r="AD309" s="32">
        <v>80</v>
      </c>
      <c r="AE309" s="3" t="s">
        <v>355</v>
      </c>
      <c r="AF309" s="3" t="s">
        <v>136</v>
      </c>
      <c r="AG309" s="3"/>
      <c r="AH309" s="3" t="s">
        <v>56</v>
      </c>
      <c r="AI309" s="3"/>
      <c r="AJ309" s="3"/>
      <c r="AK309" s="3" t="str">
        <f>HYPERLINK("https://knigipp.ru/api/getInfo/item/f5c5ff0f-903c-11ee-a250-00155d82e908")</f>
        <v>https://knigipp.ru/api/getInfo/item/f5c5ff0f-903c-11ee-a250-00155d82e908</v>
      </c>
      <c r="AL309" s="3" t="s">
        <v>1385</v>
      </c>
    </row>
    <row r="310" spans="1:38" ht="23.1" customHeight="1" outlineLevel="3" x14ac:dyDescent="0.2">
      <c r="A310" s="48" t="s">
        <v>1447</v>
      </c>
      <c r="B310" s="48"/>
      <c r="C310" s="48"/>
      <c r="D310" s="48"/>
      <c r="E310" s="48"/>
      <c r="F310" s="48"/>
    </row>
    <row r="311" spans="1:38" ht="21" customHeight="1" outlineLevel="4" x14ac:dyDescent="0.2">
      <c r="A311" s="2">
        <v>225</v>
      </c>
      <c r="B311" s="3" t="s">
        <v>1448</v>
      </c>
      <c r="C311" s="49" t="s">
        <v>1449</v>
      </c>
      <c r="D311" s="49"/>
      <c r="E311" s="49"/>
      <c r="F311" s="49"/>
      <c r="G311" s="4" t="s">
        <v>1450</v>
      </c>
      <c r="H311" s="8"/>
      <c r="I311" s="9" t="s">
        <v>1451</v>
      </c>
      <c r="J311" s="10"/>
      <c r="K311" s="11">
        <v>28</v>
      </c>
      <c r="L311" s="10"/>
      <c r="M311" s="10" t="s">
        <v>47</v>
      </c>
      <c r="N311" s="10"/>
      <c r="O311" s="2">
        <v>3</v>
      </c>
      <c r="P311" s="17">
        <f>249*(1-S3/100)</f>
        <v>249</v>
      </c>
      <c r="Q311" s="18"/>
      <c r="R311" s="10">
        <f>P311*Q311</f>
        <v>0</v>
      </c>
      <c r="S311" s="10">
        <v>0</v>
      </c>
      <c r="T311" s="10">
        <v>0</v>
      </c>
      <c r="U311" s="21"/>
      <c r="V311" s="22" t="s">
        <v>1452</v>
      </c>
      <c r="W311" s="22" t="s">
        <v>191</v>
      </c>
      <c r="X311" s="3"/>
      <c r="Y311" s="3" t="s">
        <v>1453</v>
      </c>
      <c r="Z311" s="3" t="s">
        <v>52</v>
      </c>
      <c r="AA311" s="3"/>
      <c r="AB311" s="3"/>
      <c r="AC311" s="3" t="str">
        <f>HYPERLINK("https://knigipp.ru/api/getInfo/image/b0c08e34-78ac-11ee-a248-00155d82e902")</f>
        <v>https://knigipp.ru/api/getInfo/image/b0c08e34-78ac-11ee-a248-00155d82e902</v>
      </c>
      <c r="AD311" s="3"/>
      <c r="AE311" s="3"/>
      <c r="AF311" s="3" t="s">
        <v>1454</v>
      </c>
      <c r="AG311" s="3"/>
      <c r="AH311" s="3" t="s">
        <v>56</v>
      </c>
      <c r="AI311" s="3"/>
      <c r="AJ311" s="3"/>
      <c r="AK311" s="3" t="str">
        <f>HYPERLINK("https://knigipp.ru/api/getInfo/item/b0c08e34-78ac-11ee-a248-00155d82e902")</f>
        <v>https://knigipp.ru/api/getInfo/item/b0c08e34-78ac-11ee-a248-00155d82e902</v>
      </c>
      <c r="AL311" s="3" t="s">
        <v>1455</v>
      </c>
    </row>
    <row r="312" spans="1:38" ht="23.1" customHeight="1" outlineLevel="3" x14ac:dyDescent="0.2">
      <c r="A312" s="48" t="s">
        <v>1456</v>
      </c>
      <c r="B312" s="48"/>
      <c r="C312" s="48"/>
      <c r="D312" s="48"/>
      <c r="E312" s="48"/>
      <c r="F312" s="48"/>
    </row>
    <row r="313" spans="1:38" ht="21" customHeight="1" outlineLevel="4" x14ac:dyDescent="0.2">
      <c r="A313" s="2">
        <v>226</v>
      </c>
      <c r="B313" s="3" t="s">
        <v>1457</v>
      </c>
      <c r="C313" s="49" t="s">
        <v>1458</v>
      </c>
      <c r="D313" s="49"/>
      <c r="E313" s="49"/>
      <c r="F313" s="49"/>
      <c r="G313" s="4" t="s">
        <v>1459</v>
      </c>
      <c r="H313" s="8"/>
      <c r="I313" s="9" t="s">
        <v>1460</v>
      </c>
      <c r="J313" s="10"/>
      <c r="K313" s="11">
        <v>30</v>
      </c>
      <c r="L313" s="10"/>
      <c r="M313" s="10" t="s">
        <v>47</v>
      </c>
      <c r="N313" s="10"/>
      <c r="O313" s="2">
        <v>3</v>
      </c>
      <c r="P313" s="17">
        <f>197*(1-S3/100)</f>
        <v>197</v>
      </c>
      <c r="Q313" s="18"/>
      <c r="R313" s="10">
        <f>P313*Q313</f>
        <v>0</v>
      </c>
      <c r="S313" s="19">
        <f>0.098*Q313</f>
        <v>0</v>
      </c>
      <c r="T313" s="20">
        <f>0.00201*Q313</f>
        <v>0</v>
      </c>
      <c r="U313" s="21"/>
      <c r="V313" s="22" t="s">
        <v>1461</v>
      </c>
      <c r="W313" s="22" t="s">
        <v>191</v>
      </c>
      <c r="X313" s="3"/>
      <c r="Y313" s="3"/>
      <c r="Z313" s="3" t="s">
        <v>52</v>
      </c>
      <c r="AA313" s="3"/>
      <c r="AB313" s="3"/>
      <c r="AC313" s="3" t="str">
        <f>HYPERLINK("https://knigipp.ru/api/getInfo/image/8756de78-c03d-11ee-a25a-00155d82e908")</f>
        <v>https://knigipp.ru/api/getInfo/image/8756de78-c03d-11ee-a25a-00155d82e908</v>
      </c>
      <c r="AD313" s="3"/>
      <c r="AE313" s="3" t="s">
        <v>54</v>
      </c>
      <c r="AF313" s="3" t="s">
        <v>1454</v>
      </c>
      <c r="AG313" s="3"/>
      <c r="AH313" s="3" t="s">
        <v>56</v>
      </c>
      <c r="AI313" s="3"/>
      <c r="AJ313" s="3"/>
      <c r="AK313" s="3" t="str">
        <f>HYPERLINK("https://knigipp.ru/api/getInfo/item/8756de78-c03d-11ee-a25a-00155d82e908")</f>
        <v>https://knigipp.ru/api/getInfo/item/8756de78-c03d-11ee-a25a-00155d82e908</v>
      </c>
      <c r="AL313" s="3" t="s">
        <v>1462</v>
      </c>
    </row>
    <row r="314" spans="1:38" ht="21" customHeight="1" outlineLevel="4" x14ac:dyDescent="0.2">
      <c r="A314" s="2">
        <v>227</v>
      </c>
      <c r="B314" s="3" t="s">
        <v>1463</v>
      </c>
      <c r="C314" s="49" t="s">
        <v>1464</v>
      </c>
      <c r="D314" s="49"/>
      <c r="E314" s="49"/>
      <c r="F314" s="49"/>
      <c r="G314" s="4" t="s">
        <v>1465</v>
      </c>
      <c r="H314" s="8"/>
      <c r="I314" s="9" t="s">
        <v>1466</v>
      </c>
      <c r="J314" s="10"/>
      <c r="K314" s="11">
        <v>30</v>
      </c>
      <c r="L314" s="10"/>
      <c r="M314" s="10" t="s">
        <v>304</v>
      </c>
      <c r="N314" s="10"/>
      <c r="O314" s="2">
        <v>3</v>
      </c>
      <c r="P314" s="17">
        <f>197*(1-S3/100)</f>
        <v>197</v>
      </c>
      <c r="Q314" s="18"/>
      <c r="R314" s="10">
        <f>P314*Q314</f>
        <v>0</v>
      </c>
      <c r="S314" s="19">
        <f>0.098*Q314</f>
        <v>0</v>
      </c>
      <c r="T314" s="20">
        <f>0.00201*Q314</f>
        <v>0</v>
      </c>
      <c r="U314" s="21"/>
      <c r="V314" s="22" t="s">
        <v>1467</v>
      </c>
      <c r="W314" s="22" t="s">
        <v>191</v>
      </c>
      <c r="X314" s="3"/>
      <c r="Y314" s="3"/>
      <c r="Z314" s="3" t="s">
        <v>52</v>
      </c>
      <c r="AA314" s="3"/>
      <c r="AB314" s="3"/>
      <c r="AC314" s="3" t="str">
        <f>HYPERLINK("https://knigipp.ru/api/getInfo/image/b7760d50-c03d-11ee-a25a-00155d82e908")</f>
        <v>https://knigipp.ru/api/getInfo/image/b7760d50-c03d-11ee-a25a-00155d82e908</v>
      </c>
      <c r="AD314" s="3"/>
      <c r="AE314" s="3" t="s">
        <v>54</v>
      </c>
      <c r="AF314" s="3" t="s">
        <v>1454</v>
      </c>
      <c r="AG314" s="3"/>
      <c r="AH314" s="3" t="s">
        <v>56</v>
      </c>
      <c r="AI314" s="3"/>
      <c r="AJ314" s="3"/>
      <c r="AK314" s="3" t="str">
        <f>HYPERLINK("https://knigipp.ru/api/getInfo/item/b7760d50-c03d-11ee-a25a-00155d82e908")</f>
        <v>https://knigipp.ru/api/getInfo/item/b7760d50-c03d-11ee-a25a-00155d82e908</v>
      </c>
      <c r="AL314" s="3" t="s">
        <v>1462</v>
      </c>
    </row>
    <row r="315" spans="1:38" ht="23.1" customHeight="1" outlineLevel="3" x14ac:dyDescent="0.2">
      <c r="A315" s="48" t="s">
        <v>1468</v>
      </c>
      <c r="B315" s="48"/>
      <c r="C315" s="48"/>
      <c r="D315" s="48"/>
      <c r="E315" s="48"/>
      <c r="F315" s="48"/>
    </row>
    <row r="316" spans="1:38" ht="21" customHeight="1" outlineLevel="4" x14ac:dyDescent="0.2">
      <c r="A316" s="2">
        <v>228</v>
      </c>
      <c r="B316" s="3" t="s">
        <v>1469</v>
      </c>
      <c r="C316" s="49" t="s">
        <v>1470</v>
      </c>
      <c r="D316" s="49"/>
      <c r="E316" s="49"/>
      <c r="F316" s="49"/>
      <c r="G316" s="4" t="s">
        <v>1471</v>
      </c>
      <c r="H316" s="8"/>
      <c r="I316" s="9" t="s">
        <v>1472</v>
      </c>
      <c r="J316" s="10"/>
      <c r="K316" s="11">
        <v>20</v>
      </c>
      <c r="L316" s="10"/>
      <c r="M316" s="10" t="s">
        <v>47</v>
      </c>
      <c r="N316" s="10"/>
      <c r="O316" s="2">
        <v>5</v>
      </c>
      <c r="P316" s="17">
        <f>139*(1-S3/100)</f>
        <v>139</v>
      </c>
      <c r="Q316" s="18"/>
      <c r="R316" s="10">
        <f>P316*Q316</f>
        <v>0</v>
      </c>
      <c r="S316" s="19">
        <f>0.078*Q316</f>
        <v>0</v>
      </c>
      <c r="T316" s="20">
        <f>0.00018*Q316</f>
        <v>0</v>
      </c>
      <c r="U316" s="21"/>
      <c r="V316" s="22" t="s">
        <v>1473</v>
      </c>
      <c r="W316" s="22" t="s">
        <v>49</v>
      </c>
      <c r="X316" s="3"/>
      <c r="Y316" s="3" t="s">
        <v>1474</v>
      </c>
      <c r="Z316" s="3" t="s">
        <v>52</v>
      </c>
      <c r="AA316" s="3"/>
      <c r="AB316" s="3"/>
      <c r="AC316" s="3" t="str">
        <f>HYPERLINK("https://knigipp.ru/api/getInfo/image/0b6ca140-0460-11ef-a25d-00155d82e908")</f>
        <v>https://knigipp.ru/api/getInfo/image/0b6ca140-0460-11ef-a25d-00155d82e908</v>
      </c>
      <c r="AD316" s="32">
        <v>32</v>
      </c>
      <c r="AE316" s="3" t="s">
        <v>54</v>
      </c>
      <c r="AF316" s="3" t="s">
        <v>55</v>
      </c>
      <c r="AG316" s="3"/>
      <c r="AH316" s="3" t="s">
        <v>56</v>
      </c>
      <c r="AI316" s="3"/>
      <c r="AJ316" s="3"/>
      <c r="AK316" s="3" t="str">
        <f>HYPERLINK("https://knigipp.ru/api/getInfo/item/0b6ca140-0460-11ef-a25d-00155d82e908")</f>
        <v>https://knigipp.ru/api/getInfo/item/0b6ca140-0460-11ef-a25d-00155d82e908</v>
      </c>
      <c r="AL316" s="3" t="s">
        <v>1475</v>
      </c>
    </row>
    <row r="317" spans="1:38" ht="21" customHeight="1" outlineLevel="4" x14ac:dyDescent="0.2">
      <c r="A317" s="2">
        <v>229</v>
      </c>
      <c r="B317" s="3" t="s">
        <v>1476</v>
      </c>
      <c r="C317" s="49" t="s">
        <v>1477</v>
      </c>
      <c r="D317" s="49"/>
      <c r="E317" s="49"/>
      <c r="F317" s="49"/>
      <c r="G317" s="4" t="s">
        <v>1478</v>
      </c>
      <c r="H317" s="8"/>
      <c r="I317" s="9" t="s">
        <v>1472</v>
      </c>
      <c r="J317" s="10"/>
      <c r="K317" s="11">
        <v>20</v>
      </c>
      <c r="L317" s="10"/>
      <c r="M317" s="10" t="s">
        <v>47</v>
      </c>
      <c r="N317" s="10"/>
      <c r="O317" s="2">
        <v>5</v>
      </c>
      <c r="P317" s="17">
        <f>139*(1-S3/100)</f>
        <v>139</v>
      </c>
      <c r="Q317" s="18"/>
      <c r="R317" s="10">
        <f>P317*Q317</f>
        <v>0</v>
      </c>
      <c r="S317" s="19">
        <f>0.091*Q317</f>
        <v>0</v>
      </c>
      <c r="T317" s="20">
        <f>0.00054*Q317</f>
        <v>0</v>
      </c>
      <c r="U317" s="21"/>
      <c r="V317" s="22" t="s">
        <v>1479</v>
      </c>
      <c r="W317" s="22" t="s">
        <v>49</v>
      </c>
      <c r="X317" s="3"/>
      <c r="Y317" s="3" t="s">
        <v>1480</v>
      </c>
      <c r="Z317" s="3" t="s">
        <v>52</v>
      </c>
      <c r="AA317" s="3"/>
      <c r="AB317" s="3"/>
      <c r="AC317" s="3" t="str">
        <f>HYPERLINK("https://knigipp.ru/api/getInfo/image/c9fd200c-045f-11ef-a25d-00155d82e908")</f>
        <v>https://knigipp.ru/api/getInfo/image/c9fd200c-045f-11ef-a25d-00155d82e908</v>
      </c>
      <c r="AD317" s="32">
        <v>32</v>
      </c>
      <c r="AE317" s="3" t="s">
        <v>54</v>
      </c>
      <c r="AF317" s="3" t="s">
        <v>55</v>
      </c>
      <c r="AG317" s="3"/>
      <c r="AH317" s="3" t="s">
        <v>56</v>
      </c>
      <c r="AI317" s="3"/>
      <c r="AJ317" s="3"/>
      <c r="AK317" s="3" t="str">
        <f>HYPERLINK("https://knigipp.ru/api/getInfo/item/c9fd200c-045f-11ef-a25d-00155d82e908")</f>
        <v>https://knigipp.ru/api/getInfo/item/c9fd200c-045f-11ef-a25d-00155d82e908</v>
      </c>
      <c r="AL317" s="3" t="s">
        <v>1475</v>
      </c>
    </row>
    <row r="318" spans="1:38" ht="23.1" customHeight="1" outlineLevel="3" x14ac:dyDescent="0.2">
      <c r="A318" s="48" t="s">
        <v>1481</v>
      </c>
      <c r="B318" s="48"/>
      <c r="C318" s="48"/>
      <c r="D318" s="48"/>
      <c r="E318" s="48"/>
      <c r="F318" s="48"/>
    </row>
    <row r="319" spans="1:38" ht="21" customHeight="1" outlineLevel="4" x14ac:dyDescent="0.2">
      <c r="A319" s="2">
        <v>230</v>
      </c>
      <c r="B319" s="3" t="s">
        <v>1482</v>
      </c>
      <c r="C319" s="49" t="s">
        <v>1483</v>
      </c>
      <c r="D319" s="49"/>
      <c r="E319" s="49"/>
      <c r="F319" s="49"/>
      <c r="G319" s="4" t="s">
        <v>1484</v>
      </c>
      <c r="H319" s="8"/>
      <c r="I319" s="9" t="s">
        <v>1485</v>
      </c>
      <c r="J319" s="10"/>
      <c r="K319" s="11">
        <v>20</v>
      </c>
      <c r="L319" s="10"/>
      <c r="M319" s="10" t="s">
        <v>78</v>
      </c>
      <c r="N319" s="10"/>
      <c r="O319" s="2">
        <v>3</v>
      </c>
      <c r="P319" s="17">
        <f>249*(1-S3/100)</f>
        <v>249</v>
      </c>
      <c r="Q319" s="18"/>
      <c r="R319" s="10">
        <f>P319*Q319</f>
        <v>0</v>
      </c>
      <c r="S319" s="19">
        <f>0.341*Q319</f>
        <v>0</v>
      </c>
      <c r="T319" s="30">
        <f>0.0005*Q319</f>
        <v>0</v>
      </c>
      <c r="U319" s="21"/>
      <c r="V319" s="22" t="s">
        <v>1486</v>
      </c>
      <c r="W319" s="22" t="s">
        <v>191</v>
      </c>
      <c r="X319" s="3"/>
      <c r="Y319" s="3"/>
      <c r="Z319" s="3" t="s">
        <v>52</v>
      </c>
      <c r="AA319" s="3"/>
      <c r="AB319" s="3"/>
      <c r="AC319" s="3" t="str">
        <f>HYPERLINK("https://knigipp.ru/api/getInfo/image/bbe7127d-d1ff-11ed-a230-00155d82e902")</f>
        <v>https://knigipp.ru/api/getInfo/image/bbe7127d-d1ff-11ed-a230-00155d82e902</v>
      </c>
      <c r="AD319" s="32">
        <v>160</v>
      </c>
      <c r="AE319" s="3" t="s">
        <v>355</v>
      </c>
      <c r="AF319" s="3" t="s">
        <v>127</v>
      </c>
      <c r="AG319" s="3"/>
      <c r="AH319" s="3" t="s">
        <v>56</v>
      </c>
      <c r="AI319" s="3"/>
      <c r="AJ319" s="3"/>
      <c r="AK319" s="3" t="str">
        <f>HYPERLINK("https://knigipp.ru/api/getInfo/item/bbe7127d-d1ff-11ed-a230-00155d82e902")</f>
        <v>https://knigipp.ru/api/getInfo/item/bbe7127d-d1ff-11ed-a230-00155d82e902</v>
      </c>
      <c r="AL319" s="3" t="s">
        <v>356</v>
      </c>
    </row>
    <row r="320" spans="1:38" ht="23.1" customHeight="1" outlineLevel="2" x14ac:dyDescent="0.2">
      <c r="A320" s="47" t="s">
        <v>1487</v>
      </c>
      <c r="B320" s="47"/>
      <c r="C320" s="47"/>
      <c r="D320" s="47"/>
      <c r="E320" s="47"/>
      <c r="F320" s="47"/>
    </row>
    <row r="321" spans="1:38" ht="23.1" customHeight="1" outlineLevel="3" x14ac:dyDescent="0.2">
      <c r="A321" s="48" t="s">
        <v>1488</v>
      </c>
      <c r="B321" s="48"/>
      <c r="C321" s="48"/>
      <c r="D321" s="48"/>
      <c r="E321" s="48"/>
      <c r="F321" s="48"/>
    </row>
    <row r="322" spans="1:38" ht="23.1" customHeight="1" outlineLevel="4" x14ac:dyDescent="0.2">
      <c r="A322" s="55" t="s">
        <v>1489</v>
      </c>
      <c r="B322" s="55"/>
      <c r="C322" s="55"/>
      <c r="D322" s="55"/>
      <c r="E322" s="55"/>
      <c r="F322" s="55"/>
    </row>
    <row r="323" spans="1:38" ht="23.1" customHeight="1" outlineLevel="5" x14ac:dyDescent="0.2">
      <c r="A323" s="56" t="s">
        <v>1490</v>
      </c>
      <c r="B323" s="56"/>
      <c r="C323" s="56"/>
      <c r="D323" s="56"/>
      <c r="E323" s="56"/>
      <c r="F323" s="56"/>
    </row>
    <row r="324" spans="1:38" ht="21" customHeight="1" outlineLevel="6" x14ac:dyDescent="0.2">
      <c r="A324" s="2">
        <v>231</v>
      </c>
      <c r="B324" s="3" t="s">
        <v>1491</v>
      </c>
      <c r="C324" s="49" t="s">
        <v>1492</v>
      </c>
      <c r="D324" s="49"/>
      <c r="E324" s="49"/>
      <c r="F324" s="49"/>
      <c r="G324" s="4" t="s">
        <v>1493</v>
      </c>
      <c r="H324" s="8"/>
      <c r="I324" s="9" t="s">
        <v>1494</v>
      </c>
      <c r="J324" s="10"/>
      <c r="K324" s="11">
        <v>10</v>
      </c>
      <c r="L324" s="10"/>
      <c r="M324" s="10" t="s">
        <v>47</v>
      </c>
      <c r="N324" s="10"/>
      <c r="O324" s="2">
        <v>2</v>
      </c>
      <c r="P324" s="17">
        <f>397*(1-S3/100)</f>
        <v>397</v>
      </c>
      <c r="Q324" s="18"/>
      <c r="R324" s="10">
        <f>P324*Q324</f>
        <v>0</v>
      </c>
      <c r="S324" s="19">
        <f>0.448*Q324</f>
        <v>0</v>
      </c>
      <c r="T324" s="30">
        <f>0.0007*Q324</f>
        <v>0</v>
      </c>
      <c r="U324" s="21"/>
      <c r="V324" s="22" t="s">
        <v>1495</v>
      </c>
      <c r="W324" s="22" t="s">
        <v>191</v>
      </c>
      <c r="X324" s="3"/>
      <c r="Y324" s="3" t="s">
        <v>1496</v>
      </c>
      <c r="Z324" s="3" t="s">
        <v>52</v>
      </c>
      <c r="AA324" s="3"/>
      <c r="AB324" s="3"/>
      <c r="AC324" s="3" t="str">
        <f>HYPERLINK("https://knigipp.ru/api/getInfo/image/da362062-0461-11ef-a25d-00155d82e908")</f>
        <v>https://knigipp.ru/api/getInfo/image/da362062-0461-11ef-a25d-00155d82e908</v>
      </c>
      <c r="AD324" s="32">
        <v>336</v>
      </c>
      <c r="AE324" s="3" t="s">
        <v>355</v>
      </c>
      <c r="AF324" s="3" t="s">
        <v>127</v>
      </c>
      <c r="AG324" s="3"/>
      <c r="AH324" s="3" t="s">
        <v>56</v>
      </c>
      <c r="AI324" s="3"/>
      <c r="AJ324" s="3"/>
      <c r="AK324" s="3" t="str">
        <f>HYPERLINK("https://knigipp.ru/api/getInfo/item/da362062-0461-11ef-a25d-00155d82e908")</f>
        <v>https://knigipp.ru/api/getInfo/item/da362062-0461-11ef-a25d-00155d82e908</v>
      </c>
      <c r="AL324" s="3" t="s">
        <v>1497</v>
      </c>
    </row>
    <row r="325" spans="1:38" ht="21" customHeight="1" outlineLevel="6" x14ac:dyDescent="0.2">
      <c r="A325" s="2">
        <v>232</v>
      </c>
      <c r="B325" s="3" t="s">
        <v>1498</v>
      </c>
      <c r="C325" s="49" t="s">
        <v>1499</v>
      </c>
      <c r="D325" s="49"/>
      <c r="E325" s="49"/>
      <c r="F325" s="49"/>
      <c r="G325" s="4" t="s">
        <v>1500</v>
      </c>
      <c r="H325" s="8"/>
      <c r="I325" s="9" t="s">
        <v>1494</v>
      </c>
      <c r="J325" s="10"/>
      <c r="K325" s="11">
        <v>10</v>
      </c>
      <c r="L325" s="10"/>
      <c r="M325" s="10" t="s">
        <v>47</v>
      </c>
      <c r="N325" s="10"/>
      <c r="O325" s="2">
        <v>2</v>
      </c>
      <c r="P325" s="17">
        <f>397*(1-S3/100)</f>
        <v>397</v>
      </c>
      <c r="Q325" s="18"/>
      <c r="R325" s="10">
        <f>P325*Q325</f>
        <v>0</v>
      </c>
      <c r="S325" s="19">
        <f>0.448*Q325</f>
        <v>0</v>
      </c>
      <c r="T325" s="20">
        <f>0.00074*Q325</f>
        <v>0</v>
      </c>
      <c r="U325" s="21"/>
      <c r="V325" s="22" t="s">
        <v>1501</v>
      </c>
      <c r="W325" s="22" t="s">
        <v>191</v>
      </c>
      <c r="X325" s="3"/>
      <c r="Y325" s="3" t="s">
        <v>1502</v>
      </c>
      <c r="Z325" s="3" t="s">
        <v>52</v>
      </c>
      <c r="AA325" s="3"/>
      <c r="AB325" s="3"/>
      <c r="AC325" s="3" t="str">
        <f>HYPERLINK("https://knigipp.ru/api/getInfo/image/282c6761-0462-11ef-a25d-00155d82e908")</f>
        <v>https://knigipp.ru/api/getInfo/image/282c6761-0462-11ef-a25d-00155d82e908</v>
      </c>
      <c r="AD325" s="32">
        <v>336</v>
      </c>
      <c r="AE325" s="3" t="s">
        <v>355</v>
      </c>
      <c r="AF325" s="3" t="s">
        <v>127</v>
      </c>
      <c r="AG325" s="3"/>
      <c r="AH325" s="3" t="s">
        <v>56</v>
      </c>
      <c r="AI325" s="3"/>
      <c r="AJ325" s="3"/>
      <c r="AK325" s="3" t="str">
        <f>HYPERLINK("https://knigipp.ru/api/getInfo/item/282c6761-0462-11ef-a25d-00155d82e908")</f>
        <v>https://knigipp.ru/api/getInfo/item/282c6761-0462-11ef-a25d-00155d82e908</v>
      </c>
      <c r="AL325" s="3" t="s">
        <v>1497</v>
      </c>
    </row>
    <row r="326" spans="1:38" ht="23.1" customHeight="1" outlineLevel="4" x14ac:dyDescent="0.2">
      <c r="A326" s="55" t="s">
        <v>1503</v>
      </c>
      <c r="B326" s="55"/>
      <c r="C326" s="55"/>
      <c r="D326" s="55"/>
      <c r="E326" s="55"/>
      <c r="F326" s="55"/>
    </row>
    <row r="327" spans="1:38" ht="21" customHeight="1" outlineLevel="5" x14ac:dyDescent="0.2">
      <c r="A327" s="2">
        <v>233</v>
      </c>
      <c r="B327" s="3" t="s">
        <v>1504</v>
      </c>
      <c r="C327" s="49" t="s">
        <v>1505</v>
      </c>
      <c r="D327" s="49"/>
      <c r="E327" s="49"/>
      <c r="F327" s="49"/>
      <c r="G327" s="4" t="s">
        <v>1506</v>
      </c>
      <c r="H327" s="8"/>
      <c r="I327" s="9" t="s">
        <v>1507</v>
      </c>
      <c r="J327" s="10"/>
      <c r="K327" s="11">
        <v>10</v>
      </c>
      <c r="L327" s="10"/>
      <c r="M327" s="10" t="s">
        <v>304</v>
      </c>
      <c r="N327" s="10"/>
      <c r="O327" s="2">
        <v>1</v>
      </c>
      <c r="P327" s="17">
        <f>279.8*(1-S3/100)</f>
        <v>279.8</v>
      </c>
      <c r="Q327" s="18"/>
      <c r="R327" s="10">
        <f>P327*Q327</f>
        <v>0</v>
      </c>
      <c r="S327" s="28">
        <f>0.38*Q327</f>
        <v>0</v>
      </c>
      <c r="T327" s="20">
        <f>0.00029*Q327</f>
        <v>0</v>
      </c>
      <c r="U327" s="21"/>
      <c r="V327" s="22" t="s">
        <v>1508</v>
      </c>
      <c r="W327" s="22" t="s">
        <v>191</v>
      </c>
      <c r="X327" s="3"/>
      <c r="Y327" s="3"/>
      <c r="Z327" s="3" t="s">
        <v>52</v>
      </c>
      <c r="AA327" s="3"/>
      <c r="AB327" s="3"/>
      <c r="AC327" s="3" t="str">
        <f>HYPERLINK("https://knigipp.ru/api/getInfo/image/35056537-c384-11eb-a206-ac1f6b442185")</f>
        <v>https://knigipp.ru/api/getInfo/image/35056537-c384-11eb-a206-ac1f6b442185</v>
      </c>
      <c r="AD327" s="32">
        <v>160</v>
      </c>
      <c r="AE327" s="3"/>
      <c r="AF327" s="3" t="s">
        <v>741</v>
      </c>
      <c r="AG327" s="32">
        <v>120</v>
      </c>
      <c r="AH327" s="3" t="s">
        <v>56</v>
      </c>
      <c r="AI327" s="3"/>
      <c r="AJ327" s="3"/>
      <c r="AK327" s="3" t="str">
        <f>HYPERLINK("https://knigipp.ru/api/getInfo/item/35056537-c384-11eb-a206-ac1f6b442185")</f>
        <v>https://knigipp.ru/api/getInfo/item/35056537-c384-11eb-a206-ac1f6b442185</v>
      </c>
      <c r="AL327" s="3" t="s">
        <v>1509</v>
      </c>
    </row>
    <row r="328" spans="1:38" ht="23.1" customHeight="1" outlineLevel="4" x14ac:dyDescent="0.2">
      <c r="A328" s="55" t="s">
        <v>1510</v>
      </c>
      <c r="B328" s="55"/>
      <c r="C328" s="55"/>
      <c r="D328" s="55"/>
      <c r="E328" s="55"/>
      <c r="F328" s="55"/>
    </row>
    <row r="329" spans="1:38" ht="21" customHeight="1" outlineLevel="5" x14ac:dyDescent="0.2">
      <c r="A329" s="2">
        <v>234</v>
      </c>
      <c r="B329" s="3" t="s">
        <v>1511</v>
      </c>
      <c r="C329" s="49" t="s">
        <v>1512</v>
      </c>
      <c r="D329" s="49"/>
      <c r="E329" s="49"/>
      <c r="F329" s="49"/>
      <c r="G329" s="4" t="s">
        <v>1513</v>
      </c>
      <c r="H329" s="8"/>
      <c r="I329" s="9" t="s">
        <v>1514</v>
      </c>
      <c r="J329" s="10"/>
      <c r="K329" s="11">
        <v>20</v>
      </c>
      <c r="L329" s="10"/>
      <c r="M329" s="10" t="s">
        <v>304</v>
      </c>
      <c r="N329" s="10"/>
      <c r="O329" s="2">
        <v>5</v>
      </c>
      <c r="P329" s="17">
        <f>129*(1-S3/100)</f>
        <v>129</v>
      </c>
      <c r="Q329" s="18"/>
      <c r="R329" s="10">
        <f>P329*Q329</f>
        <v>0</v>
      </c>
      <c r="S329" s="19">
        <f>0.117*Q329</f>
        <v>0</v>
      </c>
      <c r="T329" s="20">
        <f>0.00014*Q329</f>
        <v>0</v>
      </c>
      <c r="U329" s="21"/>
      <c r="V329" s="22" t="s">
        <v>1515</v>
      </c>
      <c r="W329" s="22" t="s">
        <v>191</v>
      </c>
      <c r="X329" s="3"/>
      <c r="Y329" s="3" t="s">
        <v>1516</v>
      </c>
      <c r="Z329" s="3" t="s">
        <v>52</v>
      </c>
      <c r="AA329" s="3"/>
      <c r="AB329" s="3"/>
      <c r="AC329" s="3" t="str">
        <f>HYPERLINK("https://knigipp.ru/api/getInfo/image/badc5044-0e3f-11f0-a279-00155d82e908")</f>
        <v>https://knigipp.ru/api/getInfo/image/badc5044-0e3f-11f0-a279-00155d82e908</v>
      </c>
      <c r="AD329" s="32">
        <v>160</v>
      </c>
      <c r="AE329" s="3" t="s">
        <v>355</v>
      </c>
      <c r="AF329" s="3" t="s">
        <v>55</v>
      </c>
      <c r="AG329" s="3"/>
      <c r="AH329" s="3" t="s">
        <v>56</v>
      </c>
      <c r="AI329" s="3"/>
      <c r="AJ329" s="3"/>
      <c r="AK329" s="3" t="str">
        <f>HYPERLINK("https://knigipp.ru/api/getInfo/item/badc5044-0e3f-11f0-a279-00155d82e908")</f>
        <v>https://knigipp.ru/api/getInfo/item/badc5044-0e3f-11f0-a279-00155d82e908</v>
      </c>
      <c r="AL329" s="3" t="s">
        <v>1517</v>
      </c>
    </row>
    <row r="330" spans="1:38" ht="23.1" customHeight="1" outlineLevel="4" x14ac:dyDescent="0.2">
      <c r="A330" s="55" t="s">
        <v>1518</v>
      </c>
      <c r="B330" s="55"/>
      <c r="C330" s="55"/>
      <c r="D330" s="55"/>
      <c r="E330" s="55"/>
      <c r="F330" s="55"/>
    </row>
    <row r="331" spans="1:38" ht="21" customHeight="1" outlineLevel="5" x14ac:dyDescent="0.2">
      <c r="A331" s="2">
        <v>235</v>
      </c>
      <c r="B331" s="3" t="s">
        <v>1519</v>
      </c>
      <c r="C331" s="49" t="s">
        <v>1520</v>
      </c>
      <c r="D331" s="49"/>
      <c r="E331" s="49"/>
      <c r="F331" s="49"/>
      <c r="G331" s="4" t="s">
        <v>1521</v>
      </c>
      <c r="H331" s="8"/>
      <c r="I331" s="9" t="s">
        <v>1522</v>
      </c>
      <c r="J331" s="10"/>
      <c r="K331" s="11">
        <v>20</v>
      </c>
      <c r="L331" s="10"/>
      <c r="M331" s="10" t="s">
        <v>47</v>
      </c>
      <c r="N331" s="10"/>
      <c r="O331" s="2">
        <v>10</v>
      </c>
      <c r="P331" s="17">
        <f>67*(1-S3/100)</f>
        <v>67</v>
      </c>
      <c r="Q331" s="18"/>
      <c r="R331" s="10">
        <f>P331*Q331</f>
        <v>0</v>
      </c>
      <c r="S331" s="19">
        <f>0.051*Q331</f>
        <v>0</v>
      </c>
      <c r="T331" s="20">
        <f>0.00009*Q331</f>
        <v>0</v>
      </c>
      <c r="U331" s="21"/>
      <c r="V331" s="22" t="s">
        <v>1523</v>
      </c>
      <c r="W331" s="22" t="s">
        <v>191</v>
      </c>
      <c r="X331" s="3"/>
      <c r="Y331" s="3" t="s">
        <v>1524</v>
      </c>
      <c r="Z331" s="3" t="s">
        <v>52</v>
      </c>
      <c r="AA331" s="3" t="s">
        <v>1525</v>
      </c>
      <c r="AB331" s="3"/>
      <c r="AC331" s="3" t="str">
        <f>HYPERLINK("https://knigipp.ru/api/getInfo/image/bd8cc75d-8771-11ee-a248-00155d82e902")</f>
        <v>https://knigipp.ru/api/getInfo/image/bd8cc75d-8771-11ee-a248-00155d82e902</v>
      </c>
      <c r="AD331" s="32">
        <v>64</v>
      </c>
      <c r="AE331" s="3" t="s">
        <v>355</v>
      </c>
      <c r="AF331" s="3" t="s">
        <v>136</v>
      </c>
      <c r="AG331" s="3"/>
      <c r="AH331" s="3" t="s">
        <v>56</v>
      </c>
      <c r="AI331" s="3"/>
      <c r="AJ331" s="3"/>
      <c r="AK331" s="3" t="str">
        <f>HYPERLINK("https://knigipp.ru/api/getInfo/item/bd8cc75d-8771-11ee-a248-00155d82e902")</f>
        <v>https://knigipp.ru/api/getInfo/item/bd8cc75d-8771-11ee-a248-00155d82e902</v>
      </c>
      <c r="AL331" s="3" t="s">
        <v>1526</v>
      </c>
    </row>
    <row r="332" spans="1:38" ht="21" customHeight="1" outlineLevel="5" x14ac:dyDescent="0.2">
      <c r="A332" s="2">
        <v>236</v>
      </c>
      <c r="B332" s="3" t="s">
        <v>1527</v>
      </c>
      <c r="C332" s="49" t="s">
        <v>1528</v>
      </c>
      <c r="D332" s="49"/>
      <c r="E332" s="49"/>
      <c r="F332" s="49"/>
      <c r="G332" s="4" t="s">
        <v>1529</v>
      </c>
      <c r="H332" s="8"/>
      <c r="I332" s="9" t="s">
        <v>1522</v>
      </c>
      <c r="J332" s="10"/>
      <c r="K332" s="11">
        <v>20</v>
      </c>
      <c r="L332" s="10"/>
      <c r="M332" s="10" t="s">
        <v>47</v>
      </c>
      <c r="N332" s="10"/>
      <c r="O332" s="2">
        <v>10</v>
      </c>
      <c r="P332" s="17">
        <f>67*(1-S3/100)</f>
        <v>67</v>
      </c>
      <c r="Q332" s="18"/>
      <c r="R332" s="10">
        <f>P332*Q332</f>
        <v>0</v>
      </c>
      <c r="S332" s="19">
        <f>0.051*Q332</f>
        <v>0</v>
      </c>
      <c r="T332" s="20">
        <f>0.00009*Q332</f>
        <v>0</v>
      </c>
      <c r="U332" s="21"/>
      <c r="V332" s="22" t="s">
        <v>1530</v>
      </c>
      <c r="W332" s="22" t="s">
        <v>191</v>
      </c>
      <c r="X332" s="3"/>
      <c r="Y332" s="3" t="s">
        <v>1531</v>
      </c>
      <c r="Z332" s="3" t="s">
        <v>52</v>
      </c>
      <c r="AA332" s="3" t="s">
        <v>1525</v>
      </c>
      <c r="AB332" s="3"/>
      <c r="AC332" s="3" t="str">
        <f>HYPERLINK("https://knigipp.ru/api/getInfo/image/def77f9f-8776-11ee-a248-00155d82e902")</f>
        <v>https://knigipp.ru/api/getInfo/image/def77f9f-8776-11ee-a248-00155d82e902</v>
      </c>
      <c r="AD332" s="32">
        <v>64</v>
      </c>
      <c r="AE332" s="3" t="s">
        <v>355</v>
      </c>
      <c r="AF332" s="3" t="s">
        <v>136</v>
      </c>
      <c r="AG332" s="3"/>
      <c r="AH332" s="3" t="s">
        <v>56</v>
      </c>
      <c r="AI332" s="3"/>
      <c r="AJ332" s="3"/>
      <c r="AK332" s="3" t="str">
        <f>HYPERLINK("https://knigipp.ru/api/getInfo/item/def77f9f-8776-11ee-a248-00155d82e902")</f>
        <v>https://knigipp.ru/api/getInfo/item/def77f9f-8776-11ee-a248-00155d82e902</v>
      </c>
      <c r="AL332" s="3" t="s">
        <v>1526</v>
      </c>
    </row>
    <row r="333" spans="1:38" ht="21" customHeight="1" outlineLevel="5" x14ac:dyDescent="0.2">
      <c r="A333" s="2">
        <v>237</v>
      </c>
      <c r="B333" s="3" t="s">
        <v>1532</v>
      </c>
      <c r="C333" s="49" t="s">
        <v>1533</v>
      </c>
      <c r="D333" s="49"/>
      <c r="E333" s="49"/>
      <c r="F333" s="49"/>
      <c r="G333" s="4" t="s">
        <v>1534</v>
      </c>
      <c r="H333" s="8"/>
      <c r="I333" s="9" t="s">
        <v>1522</v>
      </c>
      <c r="J333" s="10"/>
      <c r="K333" s="11">
        <v>20</v>
      </c>
      <c r="L333" s="10"/>
      <c r="M333" s="10" t="s">
        <v>47</v>
      </c>
      <c r="N333" s="10"/>
      <c r="O333" s="2">
        <v>10</v>
      </c>
      <c r="P333" s="17">
        <f>67*(1-S3/100)</f>
        <v>67</v>
      </c>
      <c r="Q333" s="18"/>
      <c r="R333" s="10">
        <f>P333*Q333</f>
        <v>0</v>
      </c>
      <c r="S333" s="19">
        <f>0.051*Q333</f>
        <v>0</v>
      </c>
      <c r="T333" s="20">
        <f>0.00009*Q333</f>
        <v>0</v>
      </c>
      <c r="U333" s="21"/>
      <c r="V333" s="22" t="s">
        <v>1535</v>
      </c>
      <c r="W333" s="22" t="s">
        <v>191</v>
      </c>
      <c r="X333" s="3"/>
      <c r="Y333" s="3" t="s">
        <v>1536</v>
      </c>
      <c r="Z333" s="3" t="s">
        <v>52</v>
      </c>
      <c r="AA333" s="3" t="s">
        <v>1525</v>
      </c>
      <c r="AB333" s="3"/>
      <c r="AC333" s="3" t="str">
        <f>HYPERLINK("https://knigipp.ru/api/getInfo/image/02f6716a-8777-11ee-a248-00155d82e902")</f>
        <v>https://knigipp.ru/api/getInfo/image/02f6716a-8777-11ee-a248-00155d82e902</v>
      </c>
      <c r="AD333" s="32">
        <v>64</v>
      </c>
      <c r="AE333" s="3" t="s">
        <v>355</v>
      </c>
      <c r="AF333" s="3" t="s">
        <v>136</v>
      </c>
      <c r="AG333" s="3"/>
      <c r="AH333" s="3" t="s">
        <v>56</v>
      </c>
      <c r="AI333" s="3"/>
      <c r="AJ333" s="3"/>
      <c r="AK333" s="3" t="str">
        <f>HYPERLINK("https://knigipp.ru/api/getInfo/item/02f6716a-8777-11ee-a248-00155d82e902")</f>
        <v>https://knigipp.ru/api/getInfo/item/02f6716a-8777-11ee-a248-00155d82e902</v>
      </c>
      <c r="AL333" s="3" t="s">
        <v>1526</v>
      </c>
    </row>
    <row r="334" spans="1:38" ht="21" customHeight="1" outlineLevel="5" x14ac:dyDescent="0.2">
      <c r="A334" s="2">
        <v>238</v>
      </c>
      <c r="B334" s="3" t="s">
        <v>1537</v>
      </c>
      <c r="C334" s="49" t="s">
        <v>1538</v>
      </c>
      <c r="D334" s="49"/>
      <c r="E334" s="49"/>
      <c r="F334" s="49"/>
      <c r="G334" s="4" t="s">
        <v>1539</v>
      </c>
      <c r="H334" s="8"/>
      <c r="I334" s="9" t="s">
        <v>1522</v>
      </c>
      <c r="J334" s="10"/>
      <c r="K334" s="11">
        <v>20</v>
      </c>
      <c r="L334" s="10"/>
      <c r="M334" s="10" t="s">
        <v>47</v>
      </c>
      <c r="N334" s="10"/>
      <c r="O334" s="2">
        <v>10</v>
      </c>
      <c r="P334" s="17">
        <f>67*(1-S3/100)</f>
        <v>67</v>
      </c>
      <c r="Q334" s="18"/>
      <c r="R334" s="10">
        <f>P334*Q334</f>
        <v>0</v>
      </c>
      <c r="S334" s="19">
        <f>0.051*Q334</f>
        <v>0</v>
      </c>
      <c r="T334" s="20">
        <f>0.00009*Q334</f>
        <v>0</v>
      </c>
      <c r="U334" s="21"/>
      <c r="V334" s="22" t="s">
        <v>1540</v>
      </c>
      <c r="W334" s="22" t="s">
        <v>191</v>
      </c>
      <c r="X334" s="3"/>
      <c r="Y334" s="3" t="s">
        <v>1541</v>
      </c>
      <c r="Z334" s="3" t="s">
        <v>52</v>
      </c>
      <c r="AA334" s="3" t="s">
        <v>1525</v>
      </c>
      <c r="AB334" s="3"/>
      <c r="AC334" s="3" t="str">
        <f>HYPERLINK("https://knigipp.ru/api/getInfo/image/28969ef8-8777-11ee-a248-00155d82e902")</f>
        <v>https://knigipp.ru/api/getInfo/image/28969ef8-8777-11ee-a248-00155d82e902</v>
      </c>
      <c r="AD334" s="32">
        <v>64</v>
      </c>
      <c r="AE334" s="3" t="s">
        <v>355</v>
      </c>
      <c r="AF334" s="3" t="s">
        <v>136</v>
      </c>
      <c r="AG334" s="3"/>
      <c r="AH334" s="3" t="s">
        <v>56</v>
      </c>
      <c r="AI334" s="3"/>
      <c r="AJ334" s="3"/>
      <c r="AK334" s="3" t="str">
        <f>HYPERLINK("https://knigipp.ru/api/getInfo/item/28969ef8-8777-11ee-a248-00155d82e902")</f>
        <v>https://knigipp.ru/api/getInfo/item/28969ef8-8777-11ee-a248-00155d82e902</v>
      </c>
      <c r="AL334" s="3" t="s">
        <v>1526</v>
      </c>
    </row>
    <row r="335" spans="1:38" ht="23.1" customHeight="1" outlineLevel="4" x14ac:dyDescent="0.2">
      <c r="A335" s="55" t="s">
        <v>1542</v>
      </c>
      <c r="B335" s="55"/>
      <c r="C335" s="55"/>
      <c r="D335" s="55"/>
      <c r="E335" s="55"/>
      <c r="F335" s="55"/>
    </row>
    <row r="336" spans="1:38" ht="21" customHeight="1" outlineLevel="5" x14ac:dyDescent="0.2">
      <c r="A336" s="2">
        <v>239</v>
      </c>
      <c r="B336" s="3" t="s">
        <v>1543</v>
      </c>
      <c r="C336" s="49" t="s">
        <v>1544</v>
      </c>
      <c r="D336" s="49"/>
      <c r="E336" s="49"/>
      <c r="F336" s="49"/>
      <c r="G336" s="4" t="s">
        <v>1545</v>
      </c>
      <c r="H336" s="8"/>
      <c r="I336" s="9" t="s">
        <v>1546</v>
      </c>
      <c r="J336" s="10"/>
      <c r="K336" s="11">
        <v>20</v>
      </c>
      <c r="L336" s="10"/>
      <c r="M336" s="10" t="s">
        <v>47</v>
      </c>
      <c r="N336" s="10"/>
      <c r="O336" s="2">
        <v>2</v>
      </c>
      <c r="P336" s="17">
        <f>477*(1-S3/100)</f>
        <v>477</v>
      </c>
      <c r="Q336" s="18"/>
      <c r="R336" s="10">
        <f>P336*Q336</f>
        <v>0</v>
      </c>
      <c r="S336" s="28">
        <f>0.22*Q336</f>
        <v>0</v>
      </c>
      <c r="T336" s="20">
        <f>0.00032*Q336</f>
        <v>0</v>
      </c>
      <c r="U336" s="21"/>
      <c r="V336" s="22" t="s">
        <v>1547</v>
      </c>
      <c r="W336" s="22" t="s">
        <v>191</v>
      </c>
      <c r="X336" s="3"/>
      <c r="Y336" s="3"/>
      <c r="Z336" s="3" t="s">
        <v>757</v>
      </c>
      <c r="AA336" s="3"/>
      <c r="AB336" s="3"/>
      <c r="AC336" s="3" t="str">
        <f>HYPERLINK("https://knigipp.ru/api/getInfo/image/b494be5e-a1a3-11ea-a248-ac1f6b442184")</f>
        <v>https://knigipp.ru/api/getInfo/image/b494be5e-a1a3-11ea-a248-ac1f6b442184</v>
      </c>
      <c r="AD336" s="32">
        <v>128</v>
      </c>
      <c r="AE336" s="3"/>
      <c r="AF336" s="3" t="s">
        <v>55</v>
      </c>
      <c r="AG336" s="3"/>
      <c r="AH336" s="3" t="s">
        <v>56</v>
      </c>
      <c r="AI336" s="3"/>
      <c r="AJ336" s="3"/>
      <c r="AK336" s="3" t="str">
        <f>HYPERLINK("https://knigipp.ru/api/getInfo/item/b494be5e-a1a3-11ea-a248-ac1f6b442184")</f>
        <v>https://knigipp.ru/api/getInfo/item/b494be5e-a1a3-11ea-a248-ac1f6b442184</v>
      </c>
      <c r="AL336" s="3" t="s">
        <v>1548</v>
      </c>
    </row>
    <row r="337" spans="1:38" ht="23.1" customHeight="1" outlineLevel="4" x14ac:dyDescent="0.2">
      <c r="A337" s="55" t="s">
        <v>1549</v>
      </c>
      <c r="B337" s="55"/>
      <c r="C337" s="55"/>
      <c r="D337" s="55"/>
      <c r="E337" s="55"/>
      <c r="F337" s="55"/>
    </row>
    <row r="338" spans="1:38" ht="21" customHeight="1" outlineLevel="5" x14ac:dyDescent="0.2">
      <c r="A338" s="2">
        <v>240</v>
      </c>
      <c r="B338" s="3" t="s">
        <v>1550</v>
      </c>
      <c r="C338" s="49" t="s">
        <v>1551</v>
      </c>
      <c r="D338" s="49"/>
      <c r="E338" s="49"/>
      <c r="F338" s="49"/>
      <c r="G338" s="4" t="s">
        <v>1552</v>
      </c>
      <c r="H338" s="8"/>
      <c r="I338" s="9" t="s">
        <v>1553</v>
      </c>
      <c r="J338" s="10"/>
      <c r="K338" s="11">
        <v>20</v>
      </c>
      <c r="L338" s="10"/>
      <c r="M338" s="10" t="s">
        <v>304</v>
      </c>
      <c r="N338" s="10"/>
      <c r="O338" s="2">
        <v>10</v>
      </c>
      <c r="P338" s="17">
        <f>64.9*(1-S3/100)</f>
        <v>64.900000000000006</v>
      </c>
      <c r="Q338" s="18"/>
      <c r="R338" s="10">
        <f>P338*Q338</f>
        <v>0</v>
      </c>
      <c r="S338" s="28">
        <f>1.25*Q338</f>
        <v>0</v>
      </c>
      <c r="T338" s="19">
        <f>0.003*Q338</f>
        <v>0</v>
      </c>
      <c r="U338" s="21"/>
      <c r="V338" s="22" t="s">
        <v>1554</v>
      </c>
      <c r="W338" s="22" t="s">
        <v>191</v>
      </c>
      <c r="X338" s="3"/>
      <c r="Y338" s="3" t="s">
        <v>1555</v>
      </c>
      <c r="Z338" s="3" t="s">
        <v>52</v>
      </c>
      <c r="AA338" s="3"/>
      <c r="AB338" s="3"/>
      <c r="AC338" s="3" t="str">
        <f>HYPERLINK("https://knigipp.ru/api/getInfo/image/0df4f0d9-19a2-11ee-a23b-00155d82e902")</f>
        <v>https://knigipp.ru/api/getInfo/image/0df4f0d9-19a2-11ee-a23b-00155d82e902</v>
      </c>
      <c r="AD338" s="32">
        <v>64</v>
      </c>
      <c r="AE338" s="3" t="s">
        <v>481</v>
      </c>
      <c r="AF338" s="3" t="s">
        <v>136</v>
      </c>
      <c r="AG338" s="3"/>
      <c r="AH338" s="3" t="s">
        <v>56</v>
      </c>
      <c r="AI338" s="3"/>
      <c r="AJ338" s="3"/>
      <c r="AK338" s="3" t="str">
        <f>HYPERLINK("https://knigipp.ru/api/getInfo/item/0df4f0d9-19a2-11ee-a23b-00155d82e902")</f>
        <v>https://knigipp.ru/api/getInfo/item/0df4f0d9-19a2-11ee-a23b-00155d82e902</v>
      </c>
      <c r="AL338" s="3" t="s">
        <v>1556</v>
      </c>
    </row>
    <row r="339" spans="1:38" ht="23.1" customHeight="1" outlineLevel="4" x14ac:dyDescent="0.2">
      <c r="A339" s="55" t="s">
        <v>1557</v>
      </c>
      <c r="B339" s="55"/>
      <c r="C339" s="55"/>
      <c r="D339" s="55"/>
      <c r="E339" s="55"/>
      <c r="F339" s="55"/>
    </row>
    <row r="340" spans="1:38" ht="21" customHeight="1" outlineLevel="5" x14ac:dyDescent="0.2">
      <c r="A340" s="2">
        <v>241</v>
      </c>
      <c r="B340" s="3" t="s">
        <v>1558</v>
      </c>
      <c r="C340" s="49" t="s">
        <v>1559</v>
      </c>
      <c r="D340" s="49"/>
      <c r="E340" s="49"/>
      <c r="F340" s="49"/>
      <c r="G340" s="4" t="s">
        <v>1560</v>
      </c>
      <c r="H340" s="8"/>
      <c r="I340" s="9" t="s">
        <v>1561</v>
      </c>
      <c r="J340" s="10"/>
      <c r="K340" s="11">
        <v>20</v>
      </c>
      <c r="L340" s="10"/>
      <c r="M340" s="10" t="s">
        <v>78</v>
      </c>
      <c r="N340" s="10"/>
      <c r="O340" s="2">
        <v>3</v>
      </c>
      <c r="P340" s="17">
        <f>249*(1-S3/100)</f>
        <v>249</v>
      </c>
      <c r="Q340" s="18"/>
      <c r="R340" s="10">
        <f>P340*Q340</f>
        <v>0</v>
      </c>
      <c r="S340" s="19">
        <f>0.288*Q340</f>
        <v>0</v>
      </c>
      <c r="T340" s="20">
        <f>0.00051*Q340</f>
        <v>0</v>
      </c>
      <c r="U340" s="21"/>
      <c r="V340" s="22" t="s">
        <v>1562</v>
      </c>
      <c r="W340" s="22" t="s">
        <v>191</v>
      </c>
      <c r="X340" s="3"/>
      <c r="Y340" s="3" t="s">
        <v>1563</v>
      </c>
      <c r="Z340" s="3" t="s">
        <v>52</v>
      </c>
      <c r="AA340" s="3"/>
      <c r="AB340" s="3"/>
      <c r="AC340" s="3" t="str">
        <f>HYPERLINK("https://knigipp.ru/api/getInfo/image/4db833b0-e8b6-11ed-a233-00155d82e902")</f>
        <v>https://knigipp.ru/api/getInfo/image/4db833b0-e8b6-11ed-a233-00155d82e902</v>
      </c>
      <c r="AD340" s="32">
        <v>192</v>
      </c>
      <c r="AE340" s="3" t="s">
        <v>481</v>
      </c>
      <c r="AF340" s="3" t="s">
        <v>127</v>
      </c>
      <c r="AG340" s="3"/>
      <c r="AH340" s="3" t="s">
        <v>56</v>
      </c>
      <c r="AI340" s="3"/>
      <c r="AJ340" s="3"/>
      <c r="AK340" s="3" t="str">
        <f>HYPERLINK("https://knigipp.ru/api/getInfo/item/4db833b0-e8b6-11ed-a233-00155d82e902")</f>
        <v>https://knigipp.ru/api/getInfo/item/4db833b0-e8b6-11ed-a233-00155d82e902</v>
      </c>
      <c r="AL340" s="3" t="s">
        <v>784</v>
      </c>
    </row>
    <row r="341" spans="1:38" ht="21" customHeight="1" outlineLevel="5" x14ac:dyDescent="0.2">
      <c r="A341" s="2">
        <v>242</v>
      </c>
      <c r="B341" s="3" t="s">
        <v>1564</v>
      </c>
      <c r="C341" s="49" t="s">
        <v>1565</v>
      </c>
      <c r="D341" s="49"/>
      <c r="E341" s="49"/>
      <c r="F341" s="49"/>
      <c r="G341" s="4" t="s">
        <v>1566</v>
      </c>
      <c r="H341" s="8"/>
      <c r="I341" s="9" t="s">
        <v>1561</v>
      </c>
      <c r="J341" s="10"/>
      <c r="K341" s="11">
        <v>20</v>
      </c>
      <c r="L341" s="10"/>
      <c r="M341" s="10" t="s">
        <v>47</v>
      </c>
      <c r="N341" s="10"/>
      <c r="O341" s="2">
        <v>3</v>
      </c>
      <c r="P341" s="17">
        <f>249*(1-S3/100)</f>
        <v>249</v>
      </c>
      <c r="Q341" s="18"/>
      <c r="R341" s="10">
        <f>P341*Q341</f>
        <v>0</v>
      </c>
      <c r="S341" s="19">
        <f>0.288*Q341</f>
        <v>0</v>
      </c>
      <c r="T341" s="20">
        <f>0.00045*Q341</f>
        <v>0</v>
      </c>
      <c r="U341" s="21"/>
      <c r="V341" s="22" t="s">
        <v>1567</v>
      </c>
      <c r="W341" s="22" t="s">
        <v>191</v>
      </c>
      <c r="X341" s="3"/>
      <c r="Y341" s="3" t="s">
        <v>1568</v>
      </c>
      <c r="Z341" s="3" t="s">
        <v>52</v>
      </c>
      <c r="AA341" s="3"/>
      <c r="AB341" s="3"/>
      <c r="AC341" s="3" t="str">
        <f>HYPERLINK("https://knigipp.ru/api/getInfo/image/a97e432b-e8b6-11ed-a233-00155d82e902")</f>
        <v>https://knigipp.ru/api/getInfo/image/a97e432b-e8b6-11ed-a233-00155d82e902</v>
      </c>
      <c r="AD341" s="32">
        <v>192</v>
      </c>
      <c r="AE341" s="3" t="s">
        <v>481</v>
      </c>
      <c r="AF341" s="3" t="s">
        <v>127</v>
      </c>
      <c r="AG341" s="3"/>
      <c r="AH341" s="3" t="s">
        <v>56</v>
      </c>
      <c r="AI341" s="3"/>
      <c r="AJ341" s="3"/>
      <c r="AK341" s="3" t="str">
        <f>HYPERLINK("https://knigipp.ru/api/getInfo/item/a97e432b-e8b6-11ed-a233-00155d82e902")</f>
        <v>https://knigipp.ru/api/getInfo/item/a97e432b-e8b6-11ed-a233-00155d82e902</v>
      </c>
      <c r="AL341" s="3" t="s">
        <v>784</v>
      </c>
    </row>
    <row r="342" spans="1:38" ht="23.1" customHeight="1" outlineLevel="3" x14ac:dyDescent="0.2">
      <c r="A342" s="48" t="s">
        <v>1569</v>
      </c>
      <c r="B342" s="48"/>
      <c r="C342" s="48"/>
      <c r="D342" s="48"/>
      <c r="E342" s="48"/>
      <c r="F342" s="48"/>
    </row>
    <row r="343" spans="1:38" ht="23.1" customHeight="1" outlineLevel="4" x14ac:dyDescent="0.2">
      <c r="A343" s="55" t="s">
        <v>1570</v>
      </c>
      <c r="B343" s="55"/>
      <c r="C343" s="55"/>
      <c r="D343" s="55"/>
      <c r="E343" s="55"/>
      <c r="F343" s="55"/>
    </row>
    <row r="344" spans="1:38" ht="21" customHeight="1" outlineLevel="5" x14ac:dyDescent="0.2">
      <c r="A344" s="2">
        <v>243</v>
      </c>
      <c r="B344" s="3" t="s">
        <v>1571</v>
      </c>
      <c r="C344" s="49" t="s">
        <v>1572</v>
      </c>
      <c r="D344" s="49"/>
      <c r="E344" s="49"/>
      <c r="F344" s="49"/>
      <c r="G344" s="4" t="s">
        <v>1573</v>
      </c>
      <c r="H344" s="8"/>
      <c r="I344" s="9"/>
      <c r="J344" s="10"/>
      <c r="K344" s="11">
        <v>10</v>
      </c>
      <c r="L344" s="10"/>
      <c r="M344" s="10" t="s">
        <v>47</v>
      </c>
      <c r="N344" s="10"/>
      <c r="O344" s="2">
        <v>2</v>
      </c>
      <c r="P344" s="17">
        <f>377*(1-S3/100)</f>
        <v>377</v>
      </c>
      <c r="Q344" s="18"/>
      <c r="R344" s="10">
        <f>P344*Q344</f>
        <v>0</v>
      </c>
      <c r="S344" s="19">
        <f>0.425*Q344</f>
        <v>0</v>
      </c>
      <c r="T344" s="20">
        <f>0.00042*Q344</f>
        <v>0</v>
      </c>
      <c r="U344" s="21"/>
      <c r="V344" s="22" t="s">
        <v>1574</v>
      </c>
      <c r="W344" s="22" t="s">
        <v>191</v>
      </c>
      <c r="X344" s="3"/>
      <c r="Y344" s="3" t="s">
        <v>1575</v>
      </c>
      <c r="Z344" s="3" t="s">
        <v>52</v>
      </c>
      <c r="AA344" s="3" t="s">
        <v>1576</v>
      </c>
      <c r="AB344" s="3"/>
      <c r="AC344" s="3" t="str">
        <f>HYPERLINK("https://knigipp.ru/api/getInfo/image/75122e7c-0c41-11ef-a25d-00155d82e908")</f>
        <v>https://knigipp.ru/api/getInfo/image/75122e7c-0c41-11ef-a25d-00155d82e908</v>
      </c>
      <c r="AD344" s="32">
        <v>320</v>
      </c>
      <c r="AE344" s="3" t="s">
        <v>54</v>
      </c>
      <c r="AF344" s="3" t="s">
        <v>127</v>
      </c>
      <c r="AG344" s="3"/>
      <c r="AH344" s="3" t="s">
        <v>56</v>
      </c>
      <c r="AI344" s="3"/>
      <c r="AJ344" s="3"/>
      <c r="AK344" s="3" t="str">
        <f>HYPERLINK("https://knigipp.ru/api/getInfo/item/75122e7c-0c41-11ef-a25d-00155d82e908")</f>
        <v>https://knigipp.ru/api/getInfo/item/75122e7c-0c41-11ef-a25d-00155d82e908</v>
      </c>
      <c r="AL344" s="3" t="s">
        <v>1577</v>
      </c>
    </row>
    <row r="345" spans="1:38" ht="21" customHeight="1" outlineLevel="5" x14ac:dyDescent="0.2">
      <c r="A345" s="2">
        <v>244</v>
      </c>
      <c r="B345" s="3" t="s">
        <v>1578</v>
      </c>
      <c r="C345" s="49" t="s">
        <v>1579</v>
      </c>
      <c r="D345" s="49"/>
      <c r="E345" s="49"/>
      <c r="F345" s="49"/>
      <c r="G345" s="4" t="s">
        <v>1580</v>
      </c>
      <c r="H345" s="8"/>
      <c r="I345" s="9"/>
      <c r="J345" s="10"/>
      <c r="K345" s="11">
        <v>10</v>
      </c>
      <c r="L345" s="10"/>
      <c r="M345" s="10" t="s">
        <v>47</v>
      </c>
      <c r="N345" s="10"/>
      <c r="O345" s="2">
        <v>2</v>
      </c>
      <c r="P345" s="17">
        <f>377*(1-S3/100)</f>
        <v>377</v>
      </c>
      <c r="Q345" s="18"/>
      <c r="R345" s="10">
        <f>P345*Q345</f>
        <v>0</v>
      </c>
      <c r="S345" s="19">
        <f>0.425*Q345</f>
        <v>0</v>
      </c>
      <c r="T345" s="20">
        <f>0.00042*Q345</f>
        <v>0</v>
      </c>
      <c r="U345" s="21"/>
      <c r="V345" s="22" t="s">
        <v>1581</v>
      </c>
      <c r="W345" s="22" t="s">
        <v>191</v>
      </c>
      <c r="X345" s="3"/>
      <c r="Y345" s="3" t="s">
        <v>1582</v>
      </c>
      <c r="Z345" s="3" t="s">
        <v>52</v>
      </c>
      <c r="AA345" s="3" t="s">
        <v>1576</v>
      </c>
      <c r="AB345" s="3"/>
      <c r="AC345" s="3" t="str">
        <f>HYPERLINK("https://knigipp.ru/api/getInfo/image/2db3fbcf-0c41-11ef-a25d-00155d82e908")</f>
        <v>https://knigipp.ru/api/getInfo/image/2db3fbcf-0c41-11ef-a25d-00155d82e908</v>
      </c>
      <c r="AD345" s="32">
        <v>320</v>
      </c>
      <c r="AE345" s="3" t="s">
        <v>54</v>
      </c>
      <c r="AF345" s="3" t="s">
        <v>127</v>
      </c>
      <c r="AG345" s="3"/>
      <c r="AH345" s="3" t="s">
        <v>56</v>
      </c>
      <c r="AI345" s="3"/>
      <c r="AJ345" s="3"/>
      <c r="AK345" s="3" t="str">
        <f>HYPERLINK("https://knigipp.ru/api/getInfo/item/2db3fbcf-0c41-11ef-a25d-00155d82e908")</f>
        <v>https://knigipp.ru/api/getInfo/item/2db3fbcf-0c41-11ef-a25d-00155d82e908</v>
      </c>
      <c r="AL345" s="3" t="s">
        <v>1577</v>
      </c>
    </row>
    <row r="346" spans="1:38" ht="21" customHeight="1" outlineLevel="5" x14ac:dyDescent="0.2">
      <c r="A346" s="2">
        <v>245</v>
      </c>
      <c r="B346" s="3" t="s">
        <v>1583</v>
      </c>
      <c r="C346" s="49" t="s">
        <v>1584</v>
      </c>
      <c r="D346" s="49"/>
      <c r="E346" s="49"/>
      <c r="F346" s="49"/>
      <c r="G346" s="4" t="s">
        <v>1585</v>
      </c>
      <c r="H346" s="8"/>
      <c r="I346" s="9"/>
      <c r="J346" s="10"/>
      <c r="K346" s="11">
        <v>10</v>
      </c>
      <c r="L346" s="10"/>
      <c r="M346" s="10" t="s">
        <v>47</v>
      </c>
      <c r="N346" s="10"/>
      <c r="O346" s="2">
        <v>2</v>
      </c>
      <c r="P346" s="17">
        <f>377*(1-S3/100)</f>
        <v>377</v>
      </c>
      <c r="Q346" s="18"/>
      <c r="R346" s="10">
        <f>P346*Q346</f>
        <v>0</v>
      </c>
      <c r="S346" s="19">
        <f>0.421*Q346</f>
        <v>0</v>
      </c>
      <c r="T346" s="20">
        <f>0.00069*Q346</f>
        <v>0</v>
      </c>
      <c r="U346" s="21"/>
      <c r="V346" s="22" t="s">
        <v>1586</v>
      </c>
      <c r="W346" s="22" t="s">
        <v>191</v>
      </c>
      <c r="X346" s="3"/>
      <c r="Y346" s="3" t="s">
        <v>1587</v>
      </c>
      <c r="Z346" s="3" t="s">
        <v>52</v>
      </c>
      <c r="AA346" s="3" t="s">
        <v>1576</v>
      </c>
      <c r="AB346" s="3"/>
      <c r="AC346" s="3" t="str">
        <f>HYPERLINK("https://knigipp.ru/api/getInfo/image/93ef1c27-0c41-11ef-a25d-00155d82e908")</f>
        <v>https://knigipp.ru/api/getInfo/image/93ef1c27-0c41-11ef-a25d-00155d82e908</v>
      </c>
      <c r="AD346" s="32">
        <v>320</v>
      </c>
      <c r="AE346" s="3" t="s">
        <v>54</v>
      </c>
      <c r="AF346" s="3" t="s">
        <v>127</v>
      </c>
      <c r="AG346" s="3"/>
      <c r="AH346" s="3" t="s">
        <v>56</v>
      </c>
      <c r="AI346" s="3"/>
      <c r="AJ346" s="3"/>
      <c r="AK346" s="3" t="str">
        <f>HYPERLINK("https://knigipp.ru/api/getInfo/item/93ef1c27-0c41-11ef-a25d-00155d82e908")</f>
        <v>https://knigipp.ru/api/getInfo/item/93ef1c27-0c41-11ef-a25d-00155d82e908</v>
      </c>
      <c r="AL346" s="3" t="s">
        <v>1577</v>
      </c>
    </row>
    <row r="347" spans="1:38" ht="21" customHeight="1" outlineLevel="5" x14ac:dyDescent="0.2">
      <c r="A347" s="2">
        <v>246</v>
      </c>
      <c r="B347" s="3" t="s">
        <v>1588</v>
      </c>
      <c r="C347" s="49" t="s">
        <v>1589</v>
      </c>
      <c r="D347" s="49"/>
      <c r="E347" s="49"/>
      <c r="F347" s="49"/>
      <c r="G347" s="4" t="s">
        <v>1590</v>
      </c>
      <c r="H347" s="8"/>
      <c r="I347" s="9"/>
      <c r="J347" s="10"/>
      <c r="K347" s="11">
        <v>10</v>
      </c>
      <c r="L347" s="10"/>
      <c r="M347" s="10" t="s">
        <v>47</v>
      </c>
      <c r="N347" s="10"/>
      <c r="O347" s="2">
        <v>2</v>
      </c>
      <c r="P347" s="17">
        <f>377*(1-S3/100)</f>
        <v>377</v>
      </c>
      <c r="Q347" s="18"/>
      <c r="R347" s="10">
        <f>P347*Q347</f>
        <v>0</v>
      </c>
      <c r="S347" s="19">
        <f>0.422*Q347</f>
        <v>0</v>
      </c>
      <c r="T347" s="20">
        <f>0.00058*Q347</f>
        <v>0</v>
      </c>
      <c r="U347" s="21"/>
      <c r="V347" s="22" t="s">
        <v>1591</v>
      </c>
      <c r="W347" s="22" t="s">
        <v>191</v>
      </c>
      <c r="X347" s="3"/>
      <c r="Y347" s="3" t="s">
        <v>1592</v>
      </c>
      <c r="Z347" s="3" t="s">
        <v>52</v>
      </c>
      <c r="AA347" s="3" t="s">
        <v>1576</v>
      </c>
      <c r="AB347" s="3"/>
      <c r="AC347" s="3" t="str">
        <f>HYPERLINK("https://knigipp.ru/api/getInfo/image/c1830c18-0c41-11ef-a25d-00155d82e908")</f>
        <v>https://knigipp.ru/api/getInfo/image/c1830c18-0c41-11ef-a25d-00155d82e908</v>
      </c>
      <c r="AD347" s="32">
        <v>320</v>
      </c>
      <c r="AE347" s="3" t="s">
        <v>54</v>
      </c>
      <c r="AF347" s="3" t="s">
        <v>127</v>
      </c>
      <c r="AG347" s="3"/>
      <c r="AH347" s="3" t="s">
        <v>56</v>
      </c>
      <c r="AI347" s="3"/>
      <c r="AJ347" s="3"/>
      <c r="AK347" s="3" t="str">
        <f>HYPERLINK("https://knigipp.ru/api/getInfo/item/c1830c18-0c41-11ef-a25d-00155d82e908")</f>
        <v>https://knigipp.ru/api/getInfo/item/c1830c18-0c41-11ef-a25d-00155d82e908</v>
      </c>
      <c r="AL347" s="3" t="s">
        <v>1577</v>
      </c>
    </row>
    <row r="348" spans="1:38" ht="23.1" customHeight="1" outlineLevel="4" x14ac:dyDescent="0.2">
      <c r="A348" s="55" t="s">
        <v>1593</v>
      </c>
      <c r="B348" s="55"/>
      <c r="C348" s="55"/>
      <c r="D348" s="55"/>
      <c r="E348" s="55"/>
      <c r="F348" s="55"/>
    </row>
    <row r="349" spans="1:38" ht="21" customHeight="1" outlineLevel="5" x14ac:dyDescent="0.2">
      <c r="A349" s="2">
        <v>247</v>
      </c>
      <c r="B349" s="3" t="s">
        <v>1594</v>
      </c>
      <c r="C349" s="49" t="s">
        <v>1595</v>
      </c>
      <c r="D349" s="49"/>
      <c r="E349" s="49"/>
      <c r="F349" s="49"/>
      <c r="G349" s="4" t="s">
        <v>1596</v>
      </c>
      <c r="H349" s="8"/>
      <c r="I349" s="9"/>
      <c r="J349" s="10"/>
      <c r="K349" s="11">
        <v>20</v>
      </c>
      <c r="L349" s="10"/>
      <c r="M349" s="10" t="s">
        <v>1597</v>
      </c>
      <c r="N349" s="10"/>
      <c r="O349" s="2">
        <v>5</v>
      </c>
      <c r="P349" s="17">
        <f>149*(1-S3/100)</f>
        <v>149</v>
      </c>
      <c r="Q349" s="18"/>
      <c r="R349" s="10">
        <f>P349*Q349</f>
        <v>0</v>
      </c>
      <c r="S349" s="19">
        <f>0.105*Q349</f>
        <v>0</v>
      </c>
      <c r="T349" s="20">
        <f>0.00036*Q349</f>
        <v>0</v>
      </c>
      <c r="U349" s="21"/>
      <c r="V349" s="22" t="s">
        <v>1598</v>
      </c>
      <c r="W349" s="22" t="s">
        <v>191</v>
      </c>
      <c r="X349" s="3"/>
      <c r="Y349" s="3"/>
      <c r="Z349" s="3" t="s">
        <v>1599</v>
      </c>
      <c r="AA349" s="3"/>
      <c r="AB349" s="3"/>
      <c r="AC349" s="3"/>
      <c r="AD349" s="32">
        <v>80</v>
      </c>
      <c r="AE349" s="3"/>
      <c r="AF349" s="3"/>
      <c r="AG349" s="3"/>
      <c r="AH349" s="3" t="s">
        <v>56</v>
      </c>
      <c r="AI349" s="3"/>
      <c r="AJ349" s="3"/>
      <c r="AK349" s="3"/>
      <c r="AL349" s="3"/>
    </row>
    <row r="350" spans="1:38" ht="21" customHeight="1" outlineLevel="5" x14ac:dyDescent="0.2">
      <c r="A350" s="2">
        <v>248</v>
      </c>
      <c r="B350" s="3" t="s">
        <v>1600</v>
      </c>
      <c r="C350" s="49" t="s">
        <v>1601</v>
      </c>
      <c r="D350" s="49"/>
      <c r="E350" s="49"/>
      <c r="F350" s="49"/>
      <c r="G350" s="4" t="s">
        <v>1602</v>
      </c>
      <c r="H350" s="8"/>
      <c r="I350" s="9"/>
      <c r="J350" s="10"/>
      <c r="K350" s="11">
        <v>20</v>
      </c>
      <c r="L350" s="10"/>
      <c r="M350" s="10" t="s">
        <v>1597</v>
      </c>
      <c r="N350" s="10"/>
      <c r="O350" s="2">
        <v>5</v>
      </c>
      <c r="P350" s="17">
        <f>149*(1-S3/100)</f>
        <v>149</v>
      </c>
      <c r="Q350" s="18"/>
      <c r="R350" s="10">
        <f>P350*Q350</f>
        <v>0</v>
      </c>
      <c r="S350" s="19">
        <f>0.164*Q350</f>
        <v>0</v>
      </c>
      <c r="T350" s="20">
        <f>0.00029*Q350</f>
        <v>0</v>
      </c>
      <c r="U350" s="21"/>
      <c r="V350" s="22" t="s">
        <v>1603</v>
      </c>
      <c r="W350" s="22" t="s">
        <v>191</v>
      </c>
      <c r="X350" s="3"/>
      <c r="Y350" s="3"/>
      <c r="Z350" s="3" t="s">
        <v>1599</v>
      </c>
      <c r="AA350" s="3"/>
      <c r="AB350" s="3"/>
      <c r="AC350" s="3"/>
      <c r="AD350" s="32">
        <v>80</v>
      </c>
      <c r="AE350" s="3"/>
      <c r="AF350" s="3"/>
      <c r="AG350" s="3"/>
      <c r="AH350" s="3" t="s">
        <v>56</v>
      </c>
      <c r="AI350" s="3"/>
      <c r="AJ350" s="3"/>
      <c r="AK350" s="3"/>
      <c r="AL350" s="3"/>
    </row>
    <row r="351" spans="1:38" ht="23.1" customHeight="1" outlineLevel="4" x14ac:dyDescent="0.2">
      <c r="A351" s="55" t="s">
        <v>1604</v>
      </c>
      <c r="B351" s="55"/>
      <c r="C351" s="55"/>
      <c r="D351" s="55"/>
      <c r="E351" s="55"/>
      <c r="F351" s="55"/>
    </row>
    <row r="352" spans="1:38" ht="21" customHeight="1" outlineLevel="5" x14ac:dyDescent="0.2">
      <c r="A352" s="2">
        <v>249</v>
      </c>
      <c r="B352" s="3" t="s">
        <v>1605</v>
      </c>
      <c r="C352" s="49" t="s">
        <v>1606</v>
      </c>
      <c r="D352" s="49"/>
      <c r="E352" s="49"/>
      <c r="F352" s="49"/>
      <c r="G352" s="4" t="s">
        <v>1607</v>
      </c>
      <c r="H352" s="8"/>
      <c r="I352" s="9" t="s">
        <v>1608</v>
      </c>
      <c r="J352" s="10"/>
      <c r="K352" s="11">
        <v>10</v>
      </c>
      <c r="L352" s="10"/>
      <c r="M352" s="10" t="s">
        <v>47</v>
      </c>
      <c r="N352" s="10"/>
      <c r="O352" s="2">
        <v>7</v>
      </c>
      <c r="P352" s="17">
        <f>99*(1-S3/100)</f>
        <v>99</v>
      </c>
      <c r="Q352" s="18"/>
      <c r="R352" s="10">
        <f>P352*Q352</f>
        <v>0</v>
      </c>
      <c r="S352" s="28">
        <f>0.11*Q352</f>
        <v>0</v>
      </c>
      <c r="T352" s="20">
        <f>0.00014*Q352</f>
        <v>0</v>
      </c>
      <c r="U352" s="21"/>
      <c r="V352" s="22" t="s">
        <v>1609</v>
      </c>
      <c r="W352" s="22" t="s">
        <v>191</v>
      </c>
      <c r="X352" s="3"/>
      <c r="Y352" s="3" t="s">
        <v>1610</v>
      </c>
      <c r="Z352" s="3" t="s">
        <v>52</v>
      </c>
      <c r="AA352" s="3" t="s">
        <v>1611</v>
      </c>
      <c r="AB352" s="3"/>
      <c r="AC352" s="3" t="str">
        <f>HYPERLINK("https://knigipp.ru/api/getInfo/image/516b2964-0c3f-11ef-a25d-00155d82e908")</f>
        <v>https://knigipp.ru/api/getInfo/image/516b2964-0c3f-11ef-a25d-00155d82e908</v>
      </c>
      <c r="AD352" s="32">
        <v>80</v>
      </c>
      <c r="AE352" s="3" t="s">
        <v>355</v>
      </c>
      <c r="AF352" s="3" t="s">
        <v>136</v>
      </c>
      <c r="AG352" s="3"/>
      <c r="AH352" s="3" t="s">
        <v>56</v>
      </c>
      <c r="AI352" s="3"/>
      <c r="AJ352" s="3"/>
      <c r="AK352" s="3" t="str">
        <f>HYPERLINK("https://knigipp.ru/api/getInfo/item/516b2964-0c3f-11ef-a25d-00155d82e908")</f>
        <v>https://knigipp.ru/api/getInfo/item/516b2964-0c3f-11ef-a25d-00155d82e908</v>
      </c>
      <c r="AL352" s="3" t="s">
        <v>1385</v>
      </c>
    </row>
    <row r="353" spans="1:38" ht="21" customHeight="1" outlineLevel="5" x14ac:dyDescent="0.2">
      <c r="A353" s="2">
        <v>250</v>
      </c>
      <c r="B353" s="3" t="s">
        <v>1612</v>
      </c>
      <c r="C353" s="49" t="s">
        <v>1613</v>
      </c>
      <c r="D353" s="49"/>
      <c r="E353" s="49"/>
      <c r="F353" s="49"/>
      <c r="G353" s="4" t="s">
        <v>1614</v>
      </c>
      <c r="H353" s="8"/>
      <c r="I353" s="9" t="s">
        <v>1608</v>
      </c>
      <c r="J353" s="10"/>
      <c r="K353" s="11">
        <v>10</v>
      </c>
      <c r="L353" s="10"/>
      <c r="M353" s="10" t="s">
        <v>47</v>
      </c>
      <c r="N353" s="10"/>
      <c r="O353" s="2">
        <v>7</v>
      </c>
      <c r="P353" s="17">
        <f>99*(1-S3/100)</f>
        <v>99</v>
      </c>
      <c r="Q353" s="18"/>
      <c r="R353" s="10">
        <f>P353*Q353</f>
        <v>0</v>
      </c>
      <c r="S353" s="19">
        <f>0.122*Q353</f>
        <v>0</v>
      </c>
      <c r="T353" s="20">
        <f>0.00032*Q353</f>
        <v>0</v>
      </c>
      <c r="U353" s="21"/>
      <c r="V353" s="22" t="s">
        <v>1615</v>
      </c>
      <c r="W353" s="22" t="s">
        <v>191</v>
      </c>
      <c r="X353" s="3"/>
      <c r="Y353" s="3" t="s">
        <v>1616</v>
      </c>
      <c r="Z353" s="3" t="s">
        <v>52</v>
      </c>
      <c r="AA353" s="3" t="s">
        <v>1611</v>
      </c>
      <c r="AB353" s="3"/>
      <c r="AC353" s="3" t="str">
        <f>HYPERLINK("https://knigipp.ru/api/getInfo/image/8adf6453-0c3f-11ef-a25d-00155d82e908")</f>
        <v>https://knigipp.ru/api/getInfo/image/8adf6453-0c3f-11ef-a25d-00155d82e908</v>
      </c>
      <c r="AD353" s="32">
        <v>80</v>
      </c>
      <c r="AE353" s="3" t="s">
        <v>355</v>
      </c>
      <c r="AF353" s="3" t="s">
        <v>136</v>
      </c>
      <c r="AG353" s="3"/>
      <c r="AH353" s="3" t="s">
        <v>56</v>
      </c>
      <c r="AI353" s="3"/>
      <c r="AJ353" s="3"/>
      <c r="AK353" s="3" t="str">
        <f>HYPERLINK("https://knigipp.ru/api/getInfo/item/8adf6453-0c3f-11ef-a25d-00155d82e908")</f>
        <v>https://knigipp.ru/api/getInfo/item/8adf6453-0c3f-11ef-a25d-00155d82e908</v>
      </c>
      <c r="AL353" s="3" t="s">
        <v>1385</v>
      </c>
    </row>
    <row r="354" spans="1:38" ht="21" customHeight="1" outlineLevel="5" x14ac:dyDescent="0.2">
      <c r="A354" s="2">
        <v>251</v>
      </c>
      <c r="B354" s="3" t="s">
        <v>1617</v>
      </c>
      <c r="C354" s="49" t="s">
        <v>1618</v>
      </c>
      <c r="D354" s="49"/>
      <c r="E354" s="49"/>
      <c r="F354" s="49"/>
      <c r="G354" s="4" t="s">
        <v>1619</v>
      </c>
      <c r="H354" s="8"/>
      <c r="I354" s="9" t="s">
        <v>1608</v>
      </c>
      <c r="J354" s="10"/>
      <c r="K354" s="11">
        <v>10</v>
      </c>
      <c r="L354" s="10"/>
      <c r="M354" s="10" t="s">
        <v>47</v>
      </c>
      <c r="N354" s="10"/>
      <c r="O354" s="2">
        <v>7</v>
      </c>
      <c r="P354" s="17">
        <f>99*(1-S3/100)</f>
        <v>99</v>
      </c>
      <c r="Q354" s="18"/>
      <c r="R354" s="10">
        <f>P354*Q354</f>
        <v>0</v>
      </c>
      <c r="S354" s="28">
        <f>0.11*Q354</f>
        <v>0</v>
      </c>
      <c r="T354" s="20">
        <f>0.00014*Q354</f>
        <v>0</v>
      </c>
      <c r="U354" s="21"/>
      <c r="V354" s="22" t="s">
        <v>1620</v>
      </c>
      <c r="W354" s="22" t="s">
        <v>191</v>
      </c>
      <c r="X354" s="3"/>
      <c r="Y354" s="3" t="s">
        <v>1621</v>
      </c>
      <c r="Z354" s="3" t="s">
        <v>52</v>
      </c>
      <c r="AA354" s="3"/>
      <c r="AB354" s="3"/>
      <c r="AC354" s="3" t="str">
        <f>HYPERLINK("https://knigipp.ru/api/getInfo/image/fe65360c-0c3f-11ef-a25d-00155d82e908")</f>
        <v>https://knigipp.ru/api/getInfo/image/fe65360c-0c3f-11ef-a25d-00155d82e908</v>
      </c>
      <c r="AD354" s="32">
        <v>80</v>
      </c>
      <c r="AE354" s="3" t="s">
        <v>355</v>
      </c>
      <c r="AF354" s="3" t="s">
        <v>136</v>
      </c>
      <c r="AG354" s="3"/>
      <c r="AH354" s="3" t="s">
        <v>56</v>
      </c>
      <c r="AI354" s="3"/>
      <c r="AJ354" s="3"/>
      <c r="AK354" s="3" t="str">
        <f>HYPERLINK("https://knigipp.ru/api/getInfo/item/fe65360c-0c3f-11ef-a25d-00155d82e908")</f>
        <v>https://knigipp.ru/api/getInfo/item/fe65360c-0c3f-11ef-a25d-00155d82e908</v>
      </c>
      <c r="AL354" s="3" t="s">
        <v>1385</v>
      </c>
    </row>
    <row r="355" spans="1:38" ht="21" customHeight="1" outlineLevel="5" x14ac:dyDescent="0.2">
      <c r="A355" s="2">
        <v>252</v>
      </c>
      <c r="B355" s="3" t="s">
        <v>1622</v>
      </c>
      <c r="C355" s="49" t="s">
        <v>1623</v>
      </c>
      <c r="D355" s="49"/>
      <c r="E355" s="49"/>
      <c r="F355" s="49"/>
      <c r="G355" s="4" t="s">
        <v>1624</v>
      </c>
      <c r="H355" s="8"/>
      <c r="I355" s="9" t="s">
        <v>1608</v>
      </c>
      <c r="J355" s="10"/>
      <c r="K355" s="11">
        <v>10</v>
      </c>
      <c r="L355" s="10"/>
      <c r="M355" s="10" t="s">
        <v>47</v>
      </c>
      <c r="N355" s="10"/>
      <c r="O355" s="2">
        <v>7</v>
      </c>
      <c r="P355" s="17">
        <f>99*(1-S3/100)</f>
        <v>99</v>
      </c>
      <c r="Q355" s="18"/>
      <c r="R355" s="10">
        <f>P355*Q355</f>
        <v>0</v>
      </c>
      <c r="S355" s="28">
        <f>0.11*Q355</f>
        <v>0</v>
      </c>
      <c r="T355" s="20">
        <f>0.00017*Q355</f>
        <v>0</v>
      </c>
      <c r="U355" s="21"/>
      <c r="V355" s="22" t="s">
        <v>1625</v>
      </c>
      <c r="W355" s="22" t="s">
        <v>191</v>
      </c>
      <c r="X355" s="3"/>
      <c r="Y355" s="3" t="s">
        <v>1626</v>
      </c>
      <c r="Z355" s="3" t="s">
        <v>52</v>
      </c>
      <c r="AA355" s="3" t="s">
        <v>1611</v>
      </c>
      <c r="AB355" s="3"/>
      <c r="AC355" s="3" t="str">
        <f>HYPERLINK("https://knigipp.ru/api/getInfo/image/d87fd5b6-0c3f-11ef-a25d-00155d82e908")</f>
        <v>https://knigipp.ru/api/getInfo/image/d87fd5b6-0c3f-11ef-a25d-00155d82e908</v>
      </c>
      <c r="AD355" s="32">
        <v>80</v>
      </c>
      <c r="AE355" s="3" t="s">
        <v>355</v>
      </c>
      <c r="AF355" s="3" t="s">
        <v>136</v>
      </c>
      <c r="AG355" s="3"/>
      <c r="AH355" s="3" t="s">
        <v>56</v>
      </c>
      <c r="AI355" s="3"/>
      <c r="AJ355" s="3"/>
      <c r="AK355" s="3" t="str">
        <f>HYPERLINK("https://knigipp.ru/api/getInfo/item/d87fd5b6-0c3f-11ef-a25d-00155d82e908")</f>
        <v>https://knigipp.ru/api/getInfo/item/d87fd5b6-0c3f-11ef-a25d-00155d82e908</v>
      </c>
      <c r="AL355" s="3" t="s">
        <v>1385</v>
      </c>
    </row>
    <row r="356" spans="1:38" ht="23.1" customHeight="1" outlineLevel="4" x14ac:dyDescent="0.2">
      <c r="A356" s="55" t="s">
        <v>1627</v>
      </c>
      <c r="B356" s="55"/>
      <c r="C356" s="55"/>
      <c r="D356" s="55"/>
      <c r="E356" s="55"/>
      <c r="F356" s="55"/>
    </row>
    <row r="357" spans="1:38" ht="21" customHeight="1" outlineLevel="5" x14ac:dyDescent="0.2">
      <c r="A357" s="2">
        <v>253</v>
      </c>
      <c r="B357" s="3" t="s">
        <v>1628</v>
      </c>
      <c r="C357" s="49" t="s">
        <v>1629</v>
      </c>
      <c r="D357" s="49"/>
      <c r="E357" s="49"/>
      <c r="F357" s="49"/>
      <c r="G357" s="4" t="s">
        <v>1630</v>
      </c>
      <c r="H357" s="8"/>
      <c r="I357" s="9" t="s">
        <v>1494</v>
      </c>
      <c r="J357" s="10"/>
      <c r="K357" s="11">
        <v>10</v>
      </c>
      <c r="L357" s="10"/>
      <c r="M357" s="10" t="s">
        <v>47</v>
      </c>
      <c r="N357" s="10"/>
      <c r="O357" s="2">
        <v>7</v>
      </c>
      <c r="P357" s="17">
        <f>99*(1-S3/100)</f>
        <v>99</v>
      </c>
      <c r="Q357" s="18"/>
      <c r="R357" s="10">
        <f>P357*Q357</f>
        <v>0</v>
      </c>
      <c r="S357" s="28">
        <f>0.11*Q357</f>
        <v>0</v>
      </c>
      <c r="T357" s="20">
        <f>0.00014*Q357</f>
        <v>0</v>
      </c>
      <c r="U357" s="21"/>
      <c r="V357" s="22" t="s">
        <v>1631</v>
      </c>
      <c r="W357" s="22" t="s">
        <v>191</v>
      </c>
      <c r="X357" s="3"/>
      <c r="Y357" s="3" t="s">
        <v>1632</v>
      </c>
      <c r="Z357" s="3" t="s">
        <v>52</v>
      </c>
      <c r="AA357" s="3" t="s">
        <v>1431</v>
      </c>
      <c r="AB357" s="3"/>
      <c r="AC357" s="3" t="str">
        <f>HYPERLINK("https://knigipp.ru/api/getInfo/image/07e466cd-6bfd-11ee-a247-00155d82e902")</f>
        <v>https://knigipp.ru/api/getInfo/image/07e466cd-6bfd-11ee-a247-00155d82e902</v>
      </c>
      <c r="AD357" s="32">
        <v>80</v>
      </c>
      <c r="AE357" s="3" t="s">
        <v>355</v>
      </c>
      <c r="AF357" s="3" t="s">
        <v>136</v>
      </c>
      <c r="AG357" s="3"/>
      <c r="AH357" s="3" t="s">
        <v>56</v>
      </c>
      <c r="AI357" s="3"/>
      <c r="AJ357" s="3"/>
      <c r="AK357" s="3" t="str">
        <f>HYPERLINK("https://knigipp.ru/api/getInfo/item/07e466cd-6bfd-11ee-a247-00155d82e902")</f>
        <v>https://knigipp.ru/api/getInfo/item/07e466cd-6bfd-11ee-a247-00155d82e902</v>
      </c>
      <c r="AL357" s="3" t="s">
        <v>1407</v>
      </c>
    </row>
    <row r="358" spans="1:38" ht="21" customHeight="1" outlineLevel="5" x14ac:dyDescent="0.2">
      <c r="A358" s="2">
        <v>254</v>
      </c>
      <c r="B358" s="3" t="s">
        <v>1633</v>
      </c>
      <c r="C358" s="49" t="s">
        <v>1634</v>
      </c>
      <c r="D358" s="49"/>
      <c r="E358" s="49"/>
      <c r="F358" s="49"/>
      <c r="G358" s="4" t="s">
        <v>1635</v>
      </c>
      <c r="H358" s="8"/>
      <c r="I358" s="9" t="s">
        <v>1494</v>
      </c>
      <c r="J358" s="10"/>
      <c r="K358" s="11">
        <v>10</v>
      </c>
      <c r="L358" s="10"/>
      <c r="M358" s="10" t="s">
        <v>78</v>
      </c>
      <c r="N358" s="10"/>
      <c r="O358" s="2">
        <v>7</v>
      </c>
      <c r="P358" s="17">
        <f>99*(1-S3/100)</f>
        <v>99</v>
      </c>
      <c r="Q358" s="18"/>
      <c r="R358" s="10">
        <f>P358*Q358</f>
        <v>0</v>
      </c>
      <c r="S358" s="35">
        <f>0.1*Q358</f>
        <v>0</v>
      </c>
      <c r="T358" s="20">
        <f>0.00014*Q358</f>
        <v>0</v>
      </c>
      <c r="U358" s="21"/>
      <c r="V358" s="22" t="s">
        <v>1636</v>
      </c>
      <c r="W358" s="22" t="s">
        <v>191</v>
      </c>
      <c r="X358" s="3"/>
      <c r="Y358" s="3" t="s">
        <v>1637</v>
      </c>
      <c r="Z358" s="3" t="s">
        <v>52</v>
      </c>
      <c r="AA358" s="3" t="s">
        <v>1413</v>
      </c>
      <c r="AB358" s="3"/>
      <c r="AC358" s="3" t="str">
        <f>HYPERLINK("https://knigipp.ru/api/getInfo/image/286536d5-6bfd-11ee-a247-00155d82e902")</f>
        <v>https://knigipp.ru/api/getInfo/image/286536d5-6bfd-11ee-a247-00155d82e902</v>
      </c>
      <c r="AD358" s="32">
        <v>80</v>
      </c>
      <c r="AE358" s="3" t="s">
        <v>355</v>
      </c>
      <c r="AF358" s="3" t="s">
        <v>136</v>
      </c>
      <c r="AG358" s="3"/>
      <c r="AH358" s="3" t="s">
        <v>56</v>
      </c>
      <c r="AI358" s="3"/>
      <c r="AJ358" s="3"/>
      <c r="AK358" s="3" t="str">
        <f>HYPERLINK("https://knigipp.ru/api/getInfo/item/286536d5-6bfd-11ee-a247-00155d82e902")</f>
        <v>https://knigipp.ru/api/getInfo/item/286536d5-6bfd-11ee-a247-00155d82e902</v>
      </c>
      <c r="AL358" s="3" t="s">
        <v>1407</v>
      </c>
    </row>
    <row r="359" spans="1:38" ht="21" customHeight="1" outlineLevel="5" x14ac:dyDescent="0.2">
      <c r="A359" s="2">
        <v>255</v>
      </c>
      <c r="B359" s="3" t="s">
        <v>1638</v>
      </c>
      <c r="C359" s="49" t="s">
        <v>1639</v>
      </c>
      <c r="D359" s="49"/>
      <c r="E359" s="49"/>
      <c r="F359" s="49"/>
      <c r="G359" s="4" t="s">
        <v>1640</v>
      </c>
      <c r="H359" s="8"/>
      <c r="I359" s="9" t="s">
        <v>1494</v>
      </c>
      <c r="J359" s="10"/>
      <c r="K359" s="11">
        <v>10</v>
      </c>
      <c r="L359" s="10"/>
      <c r="M359" s="10" t="s">
        <v>47</v>
      </c>
      <c r="N359" s="10"/>
      <c r="O359" s="2">
        <v>7</v>
      </c>
      <c r="P359" s="17">
        <f>99*(1-S3/100)</f>
        <v>99</v>
      </c>
      <c r="Q359" s="18"/>
      <c r="R359" s="10">
        <f>P359*Q359</f>
        <v>0</v>
      </c>
      <c r="S359" s="28">
        <f>0.11*Q359</f>
        <v>0</v>
      </c>
      <c r="T359" s="20">
        <f>0.00014*Q359</f>
        <v>0</v>
      </c>
      <c r="U359" s="21"/>
      <c r="V359" s="22" t="s">
        <v>1641</v>
      </c>
      <c r="W359" s="22" t="s">
        <v>191</v>
      </c>
      <c r="X359" s="3"/>
      <c r="Y359" s="3" t="s">
        <v>1642</v>
      </c>
      <c r="Z359" s="3" t="s">
        <v>52</v>
      </c>
      <c r="AA359" s="3" t="s">
        <v>1431</v>
      </c>
      <c r="AB359" s="3"/>
      <c r="AC359" s="3" t="str">
        <f>HYPERLINK("https://knigipp.ru/api/getInfo/image/4e0ede2d-6bfd-11ee-a247-00155d82e902")</f>
        <v>https://knigipp.ru/api/getInfo/image/4e0ede2d-6bfd-11ee-a247-00155d82e902</v>
      </c>
      <c r="AD359" s="32">
        <v>80</v>
      </c>
      <c r="AE359" s="3" t="s">
        <v>355</v>
      </c>
      <c r="AF359" s="3" t="s">
        <v>136</v>
      </c>
      <c r="AG359" s="3"/>
      <c r="AH359" s="3" t="s">
        <v>56</v>
      </c>
      <c r="AI359" s="3"/>
      <c r="AJ359" s="3"/>
      <c r="AK359" s="3" t="str">
        <f>HYPERLINK("https://knigipp.ru/api/getInfo/item/4e0ede2d-6bfd-11ee-a247-00155d82e902")</f>
        <v>https://knigipp.ru/api/getInfo/item/4e0ede2d-6bfd-11ee-a247-00155d82e902</v>
      </c>
      <c r="AL359" s="3" t="s">
        <v>1407</v>
      </c>
    </row>
    <row r="360" spans="1:38" ht="21" customHeight="1" outlineLevel="5" x14ac:dyDescent="0.2">
      <c r="A360" s="2">
        <v>256</v>
      </c>
      <c r="B360" s="3" t="s">
        <v>1643</v>
      </c>
      <c r="C360" s="49" t="s">
        <v>1644</v>
      </c>
      <c r="D360" s="49"/>
      <c r="E360" s="49"/>
      <c r="F360" s="49"/>
      <c r="G360" s="4" t="s">
        <v>1645</v>
      </c>
      <c r="H360" s="8"/>
      <c r="I360" s="9" t="s">
        <v>1494</v>
      </c>
      <c r="J360" s="10"/>
      <c r="K360" s="11">
        <v>10</v>
      </c>
      <c r="L360" s="10"/>
      <c r="M360" s="10" t="s">
        <v>47</v>
      </c>
      <c r="N360" s="10"/>
      <c r="O360" s="2">
        <v>7</v>
      </c>
      <c r="P360" s="17">
        <f>99*(1-S3/100)</f>
        <v>99</v>
      </c>
      <c r="Q360" s="18"/>
      <c r="R360" s="10">
        <f>P360*Q360</f>
        <v>0</v>
      </c>
      <c r="S360" s="28">
        <f>0.11*Q360</f>
        <v>0</v>
      </c>
      <c r="T360" s="20">
        <f>0.00014*Q360</f>
        <v>0</v>
      </c>
      <c r="U360" s="21"/>
      <c r="V360" s="22" t="s">
        <v>1646</v>
      </c>
      <c r="W360" s="22" t="s">
        <v>191</v>
      </c>
      <c r="X360" s="3"/>
      <c r="Y360" s="3" t="s">
        <v>1647</v>
      </c>
      <c r="Z360" s="3" t="s">
        <v>52</v>
      </c>
      <c r="AA360" s="3" t="s">
        <v>1413</v>
      </c>
      <c r="AB360" s="3"/>
      <c r="AC360" s="3" t="str">
        <f>HYPERLINK("https://knigipp.ru/api/getInfo/image/d5084d1b-6bfc-11ee-a247-00155d82e902")</f>
        <v>https://knigipp.ru/api/getInfo/image/d5084d1b-6bfc-11ee-a247-00155d82e902</v>
      </c>
      <c r="AD360" s="32">
        <v>80</v>
      </c>
      <c r="AE360" s="3" t="s">
        <v>355</v>
      </c>
      <c r="AF360" s="3" t="s">
        <v>136</v>
      </c>
      <c r="AG360" s="3"/>
      <c r="AH360" s="3" t="s">
        <v>56</v>
      </c>
      <c r="AI360" s="3"/>
      <c r="AJ360" s="3"/>
      <c r="AK360" s="3" t="str">
        <f>HYPERLINK("https://knigipp.ru/api/getInfo/item/d5084d1b-6bfc-11ee-a247-00155d82e902")</f>
        <v>https://knigipp.ru/api/getInfo/item/d5084d1b-6bfc-11ee-a247-00155d82e902</v>
      </c>
      <c r="AL360" s="3" t="s">
        <v>1407</v>
      </c>
    </row>
    <row r="361" spans="1:38" ht="23.1" customHeight="1" outlineLevel="4" x14ac:dyDescent="0.2">
      <c r="A361" s="55" t="s">
        <v>1648</v>
      </c>
      <c r="B361" s="55"/>
      <c r="C361" s="55"/>
      <c r="D361" s="55"/>
      <c r="E361" s="55"/>
      <c r="F361" s="55"/>
    </row>
    <row r="362" spans="1:38" ht="21" customHeight="1" outlineLevel="5" x14ac:dyDescent="0.2">
      <c r="A362" s="2">
        <v>257</v>
      </c>
      <c r="B362" s="3" t="s">
        <v>1649</v>
      </c>
      <c r="C362" s="49" t="s">
        <v>1650</v>
      </c>
      <c r="D362" s="49"/>
      <c r="E362" s="49"/>
      <c r="F362" s="49"/>
      <c r="G362" s="4" t="s">
        <v>1651</v>
      </c>
      <c r="H362" s="8"/>
      <c r="I362" s="9" t="s">
        <v>1652</v>
      </c>
      <c r="J362" s="10"/>
      <c r="K362" s="11">
        <v>10</v>
      </c>
      <c r="L362" s="10"/>
      <c r="M362" s="10" t="s">
        <v>47</v>
      </c>
      <c r="N362" s="10"/>
      <c r="O362" s="2">
        <v>3</v>
      </c>
      <c r="P362" s="17">
        <f>187*(1-S3/100)</f>
        <v>187</v>
      </c>
      <c r="Q362" s="18"/>
      <c r="R362" s="10">
        <f>P362*Q362</f>
        <v>0</v>
      </c>
      <c r="S362" s="19">
        <f>0.062*Q362</f>
        <v>0</v>
      </c>
      <c r="T362" s="20">
        <f>0.00022*Q362</f>
        <v>0</v>
      </c>
      <c r="U362" s="21"/>
      <c r="V362" s="22" t="s">
        <v>1653</v>
      </c>
      <c r="W362" s="22" t="s">
        <v>191</v>
      </c>
      <c r="X362" s="3"/>
      <c r="Y362" s="3" t="s">
        <v>1654</v>
      </c>
      <c r="Z362" s="3" t="s">
        <v>52</v>
      </c>
      <c r="AA362" s="3" t="s">
        <v>1655</v>
      </c>
      <c r="AB362" s="3"/>
      <c r="AC362" s="3" t="str">
        <f>HYPERLINK("https://knigipp.ru/api/getInfo/image/42ae8324-a3e3-11ee-a258-00155d82e908")</f>
        <v>https://knigipp.ru/api/getInfo/image/42ae8324-a3e3-11ee-a258-00155d82e908</v>
      </c>
      <c r="AD362" s="32">
        <v>96</v>
      </c>
      <c r="AE362" s="3" t="s">
        <v>355</v>
      </c>
      <c r="AF362" s="3" t="s">
        <v>136</v>
      </c>
      <c r="AG362" s="3"/>
      <c r="AH362" s="3" t="s">
        <v>56</v>
      </c>
      <c r="AI362" s="3"/>
      <c r="AJ362" s="3"/>
      <c r="AK362" s="3" t="str">
        <f>HYPERLINK("https://knigipp.ru/api/getInfo/item/42ae8324-a3e3-11ee-a258-00155d82e908")</f>
        <v>https://knigipp.ru/api/getInfo/item/42ae8324-a3e3-11ee-a258-00155d82e908</v>
      </c>
      <c r="AL362" s="3" t="s">
        <v>1656</v>
      </c>
    </row>
    <row r="363" spans="1:38" ht="21" customHeight="1" outlineLevel="5" x14ac:dyDescent="0.2">
      <c r="A363" s="2">
        <v>258</v>
      </c>
      <c r="B363" s="3" t="s">
        <v>1657</v>
      </c>
      <c r="C363" s="49" t="s">
        <v>1658</v>
      </c>
      <c r="D363" s="49"/>
      <c r="E363" s="49"/>
      <c r="F363" s="49"/>
      <c r="G363" s="4" t="s">
        <v>1659</v>
      </c>
      <c r="H363" s="8"/>
      <c r="I363" s="9" t="s">
        <v>1652</v>
      </c>
      <c r="J363" s="10"/>
      <c r="K363" s="11">
        <v>10</v>
      </c>
      <c r="L363" s="10"/>
      <c r="M363" s="10" t="s">
        <v>47</v>
      </c>
      <c r="N363" s="10"/>
      <c r="O363" s="2">
        <v>3</v>
      </c>
      <c r="P363" s="17">
        <f>187*(1-S3/100)</f>
        <v>187</v>
      </c>
      <c r="Q363" s="18"/>
      <c r="R363" s="10">
        <f>P363*Q363</f>
        <v>0</v>
      </c>
      <c r="S363" s="19">
        <f>0.193*Q363</f>
        <v>0</v>
      </c>
      <c r="T363" s="20">
        <f>0.00058*Q363</f>
        <v>0</v>
      </c>
      <c r="U363" s="21"/>
      <c r="V363" s="22" t="s">
        <v>1660</v>
      </c>
      <c r="W363" s="22" t="s">
        <v>191</v>
      </c>
      <c r="X363" s="3"/>
      <c r="Y363" s="3" t="s">
        <v>1661</v>
      </c>
      <c r="Z363" s="3" t="s">
        <v>52</v>
      </c>
      <c r="AA363" s="3" t="s">
        <v>1655</v>
      </c>
      <c r="AB363" s="3"/>
      <c r="AC363" s="3" t="str">
        <f>HYPERLINK("https://knigipp.ru/api/getInfo/image/11f45f4c-a3e3-11ee-a258-00155d82e908")</f>
        <v>https://knigipp.ru/api/getInfo/image/11f45f4c-a3e3-11ee-a258-00155d82e908</v>
      </c>
      <c r="AD363" s="32">
        <v>96</v>
      </c>
      <c r="AE363" s="3" t="s">
        <v>355</v>
      </c>
      <c r="AF363" s="3" t="s">
        <v>136</v>
      </c>
      <c r="AG363" s="3"/>
      <c r="AH363" s="3" t="s">
        <v>56</v>
      </c>
      <c r="AI363" s="3"/>
      <c r="AJ363" s="3"/>
      <c r="AK363" s="3" t="str">
        <f>HYPERLINK("https://knigipp.ru/api/getInfo/item/11f45f4c-a3e3-11ee-a258-00155d82e908")</f>
        <v>https://knigipp.ru/api/getInfo/item/11f45f4c-a3e3-11ee-a258-00155d82e908</v>
      </c>
      <c r="AL363" s="3" t="s">
        <v>1656</v>
      </c>
    </row>
    <row r="364" spans="1:38" ht="21" customHeight="1" outlineLevel="5" x14ac:dyDescent="0.2">
      <c r="A364" s="2">
        <v>259</v>
      </c>
      <c r="B364" s="3" t="s">
        <v>1662</v>
      </c>
      <c r="C364" s="49" t="s">
        <v>1663</v>
      </c>
      <c r="D364" s="49"/>
      <c r="E364" s="49"/>
      <c r="F364" s="49"/>
      <c r="G364" s="4" t="s">
        <v>1664</v>
      </c>
      <c r="H364" s="8"/>
      <c r="I364" s="9" t="s">
        <v>1652</v>
      </c>
      <c r="J364" s="10"/>
      <c r="K364" s="11">
        <v>10</v>
      </c>
      <c r="L364" s="10"/>
      <c r="M364" s="10" t="s">
        <v>47</v>
      </c>
      <c r="N364" s="10"/>
      <c r="O364" s="2">
        <v>3</v>
      </c>
      <c r="P364" s="17">
        <f>187*(1-S3/100)</f>
        <v>187</v>
      </c>
      <c r="Q364" s="18"/>
      <c r="R364" s="10">
        <f>P364*Q364</f>
        <v>0</v>
      </c>
      <c r="S364" s="19">
        <f>0.191*Q364</f>
        <v>0</v>
      </c>
      <c r="T364" s="20">
        <f>0.00052*Q364</f>
        <v>0</v>
      </c>
      <c r="U364" s="21"/>
      <c r="V364" s="22" t="s">
        <v>1665</v>
      </c>
      <c r="W364" s="22" t="s">
        <v>191</v>
      </c>
      <c r="X364" s="3"/>
      <c r="Y364" s="3" t="s">
        <v>1666</v>
      </c>
      <c r="Z364" s="3" t="s">
        <v>52</v>
      </c>
      <c r="AA364" s="3" t="s">
        <v>1667</v>
      </c>
      <c r="AB364" s="3"/>
      <c r="AC364" s="3" t="str">
        <f>HYPERLINK("https://knigipp.ru/api/getInfo/image/81dceebf-a3e3-11ee-a258-00155d82e908")</f>
        <v>https://knigipp.ru/api/getInfo/image/81dceebf-a3e3-11ee-a258-00155d82e908</v>
      </c>
      <c r="AD364" s="32">
        <v>96</v>
      </c>
      <c r="AE364" s="3" t="s">
        <v>355</v>
      </c>
      <c r="AF364" s="3" t="s">
        <v>136</v>
      </c>
      <c r="AG364" s="3"/>
      <c r="AH364" s="3" t="s">
        <v>56</v>
      </c>
      <c r="AI364" s="3"/>
      <c r="AJ364" s="3"/>
      <c r="AK364" s="3" t="str">
        <f>HYPERLINK("https://knigipp.ru/api/getInfo/item/81dceebf-a3e3-11ee-a258-00155d82e908")</f>
        <v>https://knigipp.ru/api/getInfo/item/81dceebf-a3e3-11ee-a258-00155d82e908</v>
      </c>
      <c r="AL364" s="3" t="s">
        <v>1656</v>
      </c>
    </row>
    <row r="365" spans="1:38" ht="21" customHeight="1" outlineLevel="5" x14ac:dyDescent="0.2">
      <c r="A365" s="2">
        <v>260</v>
      </c>
      <c r="B365" s="3" t="s">
        <v>1668</v>
      </c>
      <c r="C365" s="49" t="s">
        <v>1669</v>
      </c>
      <c r="D365" s="49"/>
      <c r="E365" s="49"/>
      <c r="F365" s="49"/>
      <c r="G365" s="4" t="s">
        <v>1670</v>
      </c>
      <c r="H365" s="8"/>
      <c r="I365" s="9" t="s">
        <v>1652</v>
      </c>
      <c r="J365" s="10"/>
      <c r="K365" s="11">
        <v>10</v>
      </c>
      <c r="L365" s="10"/>
      <c r="M365" s="10" t="s">
        <v>47</v>
      </c>
      <c r="N365" s="10"/>
      <c r="O365" s="2">
        <v>3</v>
      </c>
      <c r="P365" s="17">
        <f>187*(1-S3/100)</f>
        <v>187</v>
      </c>
      <c r="Q365" s="18"/>
      <c r="R365" s="10">
        <f>P365*Q365</f>
        <v>0</v>
      </c>
      <c r="S365" s="28">
        <f>0.19*Q365</f>
        <v>0</v>
      </c>
      <c r="T365" s="20">
        <f>0.00044*Q365</f>
        <v>0</v>
      </c>
      <c r="U365" s="21"/>
      <c r="V365" s="22" t="s">
        <v>1671</v>
      </c>
      <c r="W365" s="22" t="s">
        <v>191</v>
      </c>
      <c r="X365" s="3"/>
      <c r="Y365" s="3" t="s">
        <v>1672</v>
      </c>
      <c r="Z365" s="3" t="s">
        <v>52</v>
      </c>
      <c r="AA365" s="3" t="s">
        <v>1667</v>
      </c>
      <c r="AB365" s="3"/>
      <c r="AC365" s="3" t="str">
        <f>HYPERLINK("https://knigipp.ru/api/getInfo/image/608f076a-a3e3-11ee-a258-00155d82e908")</f>
        <v>https://knigipp.ru/api/getInfo/image/608f076a-a3e3-11ee-a258-00155d82e908</v>
      </c>
      <c r="AD365" s="32">
        <v>96</v>
      </c>
      <c r="AE365" s="3" t="s">
        <v>355</v>
      </c>
      <c r="AF365" s="3" t="s">
        <v>136</v>
      </c>
      <c r="AG365" s="3"/>
      <c r="AH365" s="3" t="s">
        <v>56</v>
      </c>
      <c r="AI365" s="3"/>
      <c r="AJ365" s="3"/>
      <c r="AK365" s="3" t="str">
        <f>HYPERLINK("https://knigipp.ru/api/getInfo/item/608f076a-a3e3-11ee-a258-00155d82e908")</f>
        <v>https://knigipp.ru/api/getInfo/item/608f076a-a3e3-11ee-a258-00155d82e908</v>
      </c>
      <c r="AL365" s="3" t="s">
        <v>1656</v>
      </c>
    </row>
    <row r="366" spans="1:38" ht="23.1" customHeight="1" outlineLevel="4" x14ac:dyDescent="0.2">
      <c r="A366" s="55" t="s">
        <v>1673</v>
      </c>
      <c r="B366" s="55"/>
      <c r="C366" s="55"/>
      <c r="D366" s="55"/>
      <c r="E366" s="55"/>
      <c r="F366" s="55"/>
    </row>
    <row r="367" spans="1:38" ht="21" customHeight="1" outlineLevel="5" x14ac:dyDescent="0.2">
      <c r="A367" s="2">
        <v>261</v>
      </c>
      <c r="B367" s="3" t="s">
        <v>1674</v>
      </c>
      <c r="C367" s="49" t="s">
        <v>1675</v>
      </c>
      <c r="D367" s="49"/>
      <c r="E367" s="49"/>
      <c r="F367" s="49"/>
      <c r="G367" s="4" t="s">
        <v>1676</v>
      </c>
      <c r="H367" s="8"/>
      <c r="I367" s="9" t="s">
        <v>1677</v>
      </c>
      <c r="J367" s="10"/>
      <c r="K367" s="11">
        <v>10</v>
      </c>
      <c r="L367" s="10"/>
      <c r="M367" s="10" t="s">
        <v>47</v>
      </c>
      <c r="N367" s="10"/>
      <c r="O367" s="2">
        <v>7</v>
      </c>
      <c r="P367" s="17">
        <f>99*(1-S3/100)</f>
        <v>99</v>
      </c>
      <c r="Q367" s="18"/>
      <c r="R367" s="10">
        <f>P367*Q367</f>
        <v>0</v>
      </c>
      <c r="S367" s="28">
        <f>0.12*Q367</f>
        <v>0</v>
      </c>
      <c r="T367" s="30">
        <f>0.0002*Q367</f>
        <v>0</v>
      </c>
      <c r="U367" s="21"/>
      <c r="V367" s="22" t="s">
        <v>1678</v>
      </c>
      <c r="W367" s="22" t="s">
        <v>191</v>
      </c>
      <c r="X367" s="3"/>
      <c r="Y367" s="3"/>
      <c r="Z367" s="3" t="s">
        <v>52</v>
      </c>
      <c r="AA367" s="3"/>
      <c r="AB367" s="3"/>
      <c r="AC367" s="3" t="str">
        <f>HYPERLINK("https://knigipp.ru/api/getInfo/image/224feaf2-d200-11ed-a230-00155d82e902")</f>
        <v>https://knigipp.ru/api/getInfo/image/224feaf2-d200-11ed-a230-00155d82e902</v>
      </c>
      <c r="AD367" s="32">
        <v>80</v>
      </c>
      <c r="AE367" s="3" t="s">
        <v>481</v>
      </c>
      <c r="AF367" s="3" t="s">
        <v>136</v>
      </c>
      <c r="AG367" s="3"/>
      <c r="AH367" s="3" t="s">
        <v>56</v>
      </c>
      <c r="AI367" s="3"/>
      <c r="AJ367" s="3"/>
      <c r="AK367" s="3" t="str">
        <f>HYPERLINK("https://knigipp.ru/api/getInfo/item/224feaf2-d200-11ed-a230-00155d82e902")</f>
        <v>https://knigipp.ru/api/getInfo/item/224feaf2-d200-11ed-a230-00155d82e902</v>
      </c>
      <c r="AL367" s="3" t="s">
        <v>1385</v>
      </c>
    </row>
    <row r="368" spans="1:38" ht="21" customHeight="1" outlineLevel="5" x14ac:dyDescent="0.2">
      <c r="A368" s="2">
        <v>262</v>
      </c>
      <c r="B368" s="3" t="s">
        <v>1679</v>
      </c>
      <c r="C368" s="49" t="s">
        <v>1680</v>
      </c>
      <c r="D368" s="49"/>
      <c r="E368" s="49"/>
      <c r="F368" s="49"/>
      <c r="G368" s="4" t="s">
        <v>1681</v>
      </c>
      <c r="H368" s="8"/>
      <c r="I368" s="9" t="s">
        <v>1677</v>
      </c>
      <c r="J368" s="10"/>
      <c r="K368" s="11">
        <v>10</v>
      </c>
      <c r="L368" s="10"/>
      <c r="M368" s="10" t="s">
        <v>47</v>
      </c>
      <c r="N368" s="10"/>
      <c r="O368" s="2">
        <v>7</v>
      </c>
      <c r="P368" s="17">
        <f>99*(1-S3/100)</f>
        <v>99</v>
      </c>
      <c r="Q368" s="18"/>
      <c r="R368" s="10">
        <f>P368*Q368</f>
        <v>0</v>
      </c>
      <c r="S368" s="28">
        <f>0.12*Q368</f>
        <v>0</v>
      </c>
      <c r="T368" s="30">
        <f>0.0002*Q368</f>
        <v>0</v>
      </c>
      <c r="U368" s="21"/>
      <c r="V368" s="22" t="s">
        <v>1682</v>
      </c>
      <c r="W368" s="22" t="s">
        <v>191</v>
      </c>
      <c r="X368" s="3"/>
      <c r="Y368" s="3"/>
      <c r="Z368" s="3" t="s">
        <v>52</v>
      </c>
      <c r="AA368" s="3"/>
      <c r="AB368" s="3"/>
      <c r="AC368" s="3" t="str">
        <f>HYPERLINK("https://knigipp.ru/api/getInfo/image/6247c798-d200-11ed-a230-00155d82e902")</f>
        <v>https://knigipp.ru/api/getInfo/image/6247c798-d200-11ed-a230-00155d82e902</v>
      </c>
      <c r="AD368" s="32">
        <v>80</v>
      </c>
      <c r="AE368" s="3" t="s">
        <v>481</v>
      </c>
      <c r="AF368" s="3" t="s">
        <v>136</v>
      </c>
      <c r="AG368" s="3"/>
      <c r="AH368" s="3" t="s">
        <v>56</v>
      </c>
      <c r="AI368" s="3"/>
      <c r="AJ368" s="3"/>
      <c r="AK368" s="3" t="str">
        <f>HYPERLINK("https://knigipp.ru/api/getInfo/item/6247c798-d200-11ed-a230-00155d82e902")</f>
        <v>https://knigipp.ru/api/getInfo/item/6247c798-d200-11ed-a230-00155d82e902</v>
      </c>
      <c r="AL368" s="3" t="s">
        <v>1385</v>
      </c>
    </row>
    <row r="369" spans="1:38" ht="21" customHeight="1" outlineLevel="5" x14ac:dyDescent="0.2">
      <c r="A369" s="2">
        <v>263</v>
      </c>
      <c r="B369" s="3" t="s">
        <v>1683</v>
      </c>
      <c r="C369" s="49" t="s">
        <v>1684</v>
      </c>
      <c r="D369" s="49"/>
      <c r="E369" s="49"/>
      <c r="F369" s="49"/>
      <c r="G369" s="4" t="s">
        <v>1685</v>
      </c>
      <c r="H369" s="8"/>
      <c r="I369" s="9" t="s">
        <v>1677</v>
      </c>
      <c r="J369" s="10"/>
      <c r="K369" s="11">
        <v>10</v>
      </c>
      <c r="L369" s="10"/>
      <c r="M369" s="10" t="s">
        <v>47</v>
      </c>
      <c r="N369" s="10"/>
      <c r="O369" s="2">
        <v>7</v>
      </c>
      <c r="P369" s="17">
        <f>99*(1-S3/100)</f>
        <v>99</v>
      </c>
      <c r="Q369" s="18"/>
      <c r="R369" s="10">
        <f>P369*Q369</f>
        <v>0</v>
      </c>
      <c r="S369" s="28">
        <f>0.12*Q369</f>
        <v>0</v>
      </c>
      <c r="T369" s="30">
        <f>0.0002*Q369</f>
        <v>0</v>
      </c>
      <c r="U369" s="21"/>
      <c r="V369" s="22" t="s">
        <v>1686</v>
      </c>
      <c r="W369" s="22" t="s">
        <v>191</v>
      </c>
      <c r="X369" s="3"/>
      <c r="Y369" s="3"/>
      <c r="Z369" s="3" t="s">
        <v>52</v>
      </c>
      <c r="AA369" s="3"/>
      <c r="AB369" s="3"/>
      <c r="AC369" s="3" t="str">
        <f>HYPERLINK("https://knigipp.ru/api/getInfo/image/96ae6355-d200-11ed-a230-00155d82e902")</f>
        <v>https://knigipp.ru/api/getInfo/image/96ae6355-d200-11ed-a230-00155d82e902</v>
      </c>
      <c r="AD369" s="32">
        <v>80</v>
      </c>
      <c r="AE369" s="3" t="s">
        <v>481</v>
      </c>
      <c r="AF369" s="3" t="s">
        <v>136</v>
      </c>
      <c r="AG369" s="3"/>
      <c r="AH369" s="3" t="s">
        <v>56</v>
      </c>
      <c r="AI369" s="3"/>
      <c r="AJ369" s="3"/>
      <c r="AK369" s="3" t="str">
        <f>HYPERLINK("https://knigipp.ru/api/getInfo/item/96ae6355-d200-11ed-a230-00155d82e902")</f>
        <v>https://knigipp.ru/api/getInfo/item/96ae6355-d200-11ed-a230-00155d82e902</v>
      </c>
      <c r="AL369" s="3" t="s">
        <v>1385</v>
      </c>
    </row>
    <row r="370" spans="1:38" ht="21" customHeight="1" outlineLevel="5" x14ac:dyDescent="0.2">
      <c r="A370" s="2">
        <v>264</v>
      </c>
      <c r="B370" s="3" t="s">
        <v>1687</v>
      </c>
      <c r="C370" s="49" t="s">
        <v>1688</v>
      </c>
      <c r="D370" s="49"/>
      <c r="E370" s="49"/>
      <c r="F370" s="49"/>
      <c r="G370" s="4" t="s">
        <v>1689</v>
      </c>
      <c r="H370" s="8"/>
      <c r="I370" s="9" t="s">
        <v>1677</v>
      </c>
      <c r="J370" s="10"/>
      <c r="K370" s="11">
        <v>10</v>
      </c>
      <c r="L370" s="10"/>
      <c r="M370" s="10" t="s">
        <v>47</v>
      </c>
      <c r="N370" s="10"/>
      <c r="O370" s="2">
        <v>7</v>
      </c>
      <c r="P370" s="17">
        <f>99*(1-S3/100)</f>
        <v>99</v>
      </c>
      <c r="Q370" s="18"/>
      <c r="R370" s="10">
        <f>P370*Q370</f>
        <v>0</v>
      </c>
      <c r="S370" s="28">
        <f>0.12*Q370</f>
        <v>0</v>
      </c>
      <c r="T370" s="30">
        <f>0.0002*Q370</f>
        <v>0</v>
      </c>
      <c r="U370" s="21"/>
      <c r="V370" s="22" t="s">
        <v>1690</v>
      </c>
      <c r="W370" s="22" t="s">
        <v>191</v>
      </c>
      <c r="X370" s="3"/>
      <c r="Y370" s="3"/>
      <c r="Z370" s="3" t="s">
        <v>52</v>
      </c>
      <c r="AA370" s="3"/>
      <c r="AB370" s="3"/>
      <c r="AC370" s="3" t="str">
        <f>HYPERLINK("https://knigipp.ru/api/getInfo/image/c57c923b-d200-11ed-a230-00155d82e902")</f>
        <v>https://knigipp.ru/api/getInfo/image/c57c923b-d200-11ed-a230-00155d82e902</v>
      </c>
      <c r="AD370" s="32">
        <v>80</v>
      </c>
      <c r="AE370" s="3" t="s">
        <v>481</v>
      </c>
      <c r="AF370" s="3" t="s">
        <v>136</v>
      </c>
      <c r="AG370" s="3"/>
      <c r="AH370" s="3" t="s">
        <v>56</v>
      </c>
      <c r="AI370" s="3"/>
      <c r="AJ370" s="3"/>
      <c r="AK370" s="3" t="str">
        <f>HYPERLINK("https://knigipp.ru/api/getInfo/item/c57c923b-d200-11ed-a230-00155d82e902")</f>
        <v>https://knigipp.ru/api/getInfo/item/c57c923b-d200-11ed-a230-00155d82e902</v>
      </c>
      <c r="AL370" s="3" t="s">
        <v>1385</v>
      </c>
    </row>
    <row r="371" spans="1:38" ht="23.1" customHeight="1" outlineLevel="4" x14ac:dyDescent="0.2">
      <c r="A371" s="55" t="s">
        <v>1691</v>
      </c>
      <c r="B371" s="55"/>
      <c r="C371" s="55"/>
      <c r="D371" s="55"/>
      <c r="E371" s="55"/>
      <c r="F371" s="55"/>
    </row>
    <row r="372" spans="1:38" ht="21" customHeight="1" outlineLevel="5" x14ac:dyDescent="0.2">
      <c r="A372" s="2">
        <v>265</v>
      </c>
      <c r="B372" s="3" t="s">
        <v>1692</v>
      </c>
      <c r="C372" s="49" t="s">
        <v>1693</v>
      </c>
      <c r="D372" s="49"/>
      <c r="E372" s="49"/>
      <c r="F372" s="49"/>
      <c r="G372" s="4" t="s">
        <v>1694</v>
      </c>
      <c r="H372" s="8"/>
      <c r="I372" s="9" t="s">
        <v>1695</v>
      </c>
      <c r="J372" s="10"/>
      <c r="K372" s="11">
        <v>20</v>
      </c>
      <c r="L372" s="10"/>
      <c r="M372" s="10" t="s">
        <v>47</v>
      </c>
      <c r="N372" s="10"/>
      <c r="O372" s="2">
        <v>3</v>
      </c>
      <c r="P372" s="17">
        <f>197*(1-S3/100)</f>
        <v>197</v>
      </c>
      <c r="Q372" s="18"/>
      <c r="R372" s="10">
        <f>P372*Q372</f>
        <v>0</v>
      </c>
      <c r="S372" s="19">
        <f>0.092*Q372</f>
        <v>0</v>
      </c>
      <c r="T372" s="20">
        <f>0.00021*Q372</f>
        <v>0</v>
      </c>
      <c r="U372" s="21"/>
      <c r="V372" s="22" t="s">
        <v>1696</v>
      </c>
      <c r="W372" s="22" t="s">
        <v>191</v>
      </c>
      <c r="X372" s="3"/>
      <c r="Y372" s="3" t="s">
        <v>1697</v>
      </c>
      <c r="Z372" s="3" t="s">
        <v>52</v>
      </c>
      <c r="AA372" s="3" t="s">
        <v>1698</v>
      </c>
      <c r="AB372" s="3"/>
      <c r="AC372" s="3" t="str">
        <f>HYPERLINK("https://knigipp.ru/api/getInfo/image/2ce51b37-a3ee-11ee-a258-00155d82e908")</f>
        <v>https://knigipp.ru/api/getInfo/image/2ce51b37-a3ee-11ee-a258-00155d82e908</v>
      </c>
      <c r="AD372" s="32">
        <v>96</v>
      </c>
      <c r="AE372" s="3" t="s">
        <v>355</v>
      </c>
      <c r="AF372" s="3" t="s">
        <v>741</v>
      </c>
      <c r="AG372" s="3"/>
      <c r="AH372" s="3" t="s">
        <v>56</v>
      </c>
      <c r="AI372" s="3"/>
      <c r="AJ372" s="3"/>
      <c r="AK372" s="3" t="str">
        <f>HYPERLINK("https://knigipp.ru/api/getInfo/item/2ce51b37-a3ee-11ee-a258-00155d82e908")</f>
        <v>https://knigipp.ru/api/getInfo/item/2ce51b37-a3ee-11ee-a258-00155d82e908</v>
      </c>
      <c r="AL372" s="3" t="s">
        <v>1699</v>
      </c>
    </row>
    <row r="373" spans="1:38" ht="21" customHeight="1" outlineLevel="5" x14ac:dyDescent="0.2">
      <c r="A373" s="2">
        <v>266</v>
      </c>
      <c r="B373" s="3" t="s">
        <v>1700</v>
      </c>
      <c r="C373" s="49" t="s">
        <v>1701</v>
      </c>
      <c r="D373" s="49"/>
      <c r="E373" s="49"/>
      <c r="F373" s="49"/>
      <c r="G373" s="4" t="s">
        <v>1702</v>
      </c>
      <c r="H373" s="8"/>
      <c r="I373" s="9" t="s">
        <v>1695</v>
      </c>
      <c r="J373" s="10"/>
      <c r="K373" s="11">
        <v>20</v>
      </c>
      <c r="L373" s="10"/>
      <c r="M373" s="10" t="s">
        <v>47</v>
      </c>
      <c r="N373" s="10"/>
      <c r="O373" s="2">
        <v>3</v>
      </c>
      <c r="P373" s="17">
        <f>197*(1-S3/100)</f>
        <v>197</v>
      </c>
      <c r="Q373" s="18"/>
      <c r="R373" s="10">
        <f>P373*Q373</f>
        <v>0</v>
      </c>
      <c r="S373" s="19">
        <f>0.092*Q373</f>
        <v>0</v>
      </c>
      <c r="T373" s="20">
        <f>0.00021*Q373</f>
        <v>0</v>
      </c>
      <c r="U373" s="21"/>
      <c r="V373" s="22" t="s">
        <v>1703</v>
      </c>
      <c r="W373" s="22" t="s">
        <v>191</v>
      </c>
      <c r="X373" s="3"/>
      <c r="Y373" s="3" t="s">
        <v>1704</v>
      </c>
      <c r="Z373" s="3" t="s">
        <v>52</v>
      </c>
      <c r="AA373" s="3" t="s">
        <v>1698</v>
      </c>
      <c r="AB373" s="3"/>
      <c r="AC373" s="3" t="str">
        <f>HYPERLINK("https://knigipp.ru/api/getInfo/image/5fb52fe8-a3ee-11ee-a258-00155d82e908")</f>
        <v>https://knigipp.ru/api/getInfo/image/5fb52fe8-a3ee-11ee-a258-00155d82e908</v>
      </c>
      <c r="AD373" s="32">
        <v>96</v>
      </c>
      <c r="AE373" s="3" t="s">
        <v>355</v>
      </c>
      <c r="AF373" s="3" t="s">
        <v>741</v>
      </c>
      <c r="AG373" s="3"/>
      <c r="AH373" s="3" t="s">
        <v>56</v>
      </c>
      <c r="AI373" s="3"/>
      <c r="AJ373" s="3"/>
      <c r="AK373" s="3" t="str">
        <f>HYPERLINK("https://knigipp.ru/api/getInfo/item/5fb52fe8-a3ee-11ee-a258-00155d82e908")</f>
        <v>https://knigipp.ru/api/getInfo/item/5fb52fe8-a3ee-11ee-a258-00155d82e908</v>
      </c>
      <c r="AL373" s="3" t="s">
        <v>1699</v>
      </c>
    </row>
    <row r="374" spans="1:38" ht="21" customHeight="1" outlineLevel="5" x14ac:dyDescent="0.2">
      <c r="A374" s="2">
        <v>267</v>
      </c>
      <c r="B374" s="3" t="s">
        <v>1705</v>
      </c>
      <c r="C374" s="49" t="s">
        <v>1706</v>
      </c>
      <c r="D374" s="49"/>
      <c r="E374" s="49"/>
      <c r="F374" s="49"/>
      <c r="G374" s="4" t="s">
        <v>1707</v>
      </c>
      <c r="H374" s="8"/>
      <c r="I374" s="9" t="s">
        <v>1695</v>
      </c>
      <c r="J374" s="10"/>
      <c r="K374" s="11">
        <v>20</v>
      </c>
      <c r="L374" s="10"/>
      <c r="M374" s="10" t="s">
        <v>47</v>
      </c>
      <c r="N374" s="10"/>
      <c r="O374" s="2">
        <v>3</v>
      </c>
      <c r="P374" s="17">
        <f>197*(1-S3/100)</f>
        <v>197</v>
      </c>
      <c r="Q374" s="18"/>
      <c r="R374" s="10">
        <f>P374*Q374</f>
        <v>0</v>
      </c>
      <c r="S374" s="19">
        <f>0.092*Q374</f>
        <v>0</v>
      </c>
      <c r="T374" s="20">
        <f>0.00021*Q374</f>
        <v>0</v>
      </c>
      <c r="U374" s="21"/>
      <c r="V374" s="22" t="s">
        <v>1708</v>
      </c>
      <c r="W374" s="22" t="s">
        <v>191</v>
      </c>
      <c r="X374" s="3"/>
      <c r="Y374" s="3" t="s">
        <v>1709</v>
      </c>
      <c r="Z374" s="3" t="s">
        <v>52</v>
      </c>
      <c r="AA374" s="3" t="s">
        <v>1698</v>
      </c>
      <c r="AB374" s="3"/>
      <c r="AC374" s="3" t="str">
        <f>HYPERLINK("https://knigipp.ru/api/getInfo/image/c788292b-a3ee-11ee-a258-00155d82e908")</f>
        <v>https://knigipp.ru/api/getInfo/image/c788292b-a3ee-11ee-a258-00155d82e908</v>
      </c>
      <c r="AD374" s="32">
        <v>96</v>
      </c>
      <c r="AE374" s="3" t="s">
        <v>355</v>
      </c>
      <c r="AF374" s="3" t="s">
        <v>741</v>
      </c>
      <c r="AG374" s="3"/>
      <c r="AH374" s="3" t="s">
        <v>56</v>
      </c>
      <c r="AI374" s="3"/>
      <c r="AJ374" s="3"/>
      <c r="AK374" s="3" t="str">
        <f>HYPERLINK("https://knigipp.ru/api/getInfo/item/c788292b-a3ee-11ee-a258-00155d82e908")</f>
        <v>https://knigipp.ru/api/getInfo/item/c788292b-a3ee-11ee-a258-00155d82e908</v>
      </c>
      <c r="AL374" s="3" t="s">
        <v>1699</v>
      </c>
    </row>
    <row r="375" spans="1:38" ht="23.1" customHeight="1" outlineLevel="4" x14ac:dyDescent="0.2">
      <c r="A375" s="55" t="s">
        <v>1710</v>
      </c>
      <c r="B375" s="55"/>
      <c r="C375" s="55"/>
      <c r="D375" s="55"/>
      <c r="E375" s="55"/>
      <c r="F375" s="55"/>
    </row>
    <row r="376" spans="1:38" ht="21" customHeight="1" outlineLevel="5" x14ac:dyDescent="0.2">
      <c r="A376" s="2">
        <v>268</v>
      </c>
      <c r="B376" s="3" t="s">
        <v>1711</v>
      </c>
      <c r="C376" s="49" t="s">
        <v>1712</v>
      </c>
      <c r="D376" s="49"/>
      <c r="E376" s="49"/>
      <c r="F376" s="49"/>
      <c r="G376" s="4" t="s">
        <v>1713</v>
      </c>
      <c r="H376" s="8"/>
      <c r="I376" s="9" t="s">
        <v>1714</v>
      </c>
      <c r="J376" s="10"/>
      <c r="K376" s="11">
        <v>20</v>
      </c>
      <c r="L376" s="10"/>
      <c r="M376" s="10" t="s">
        <v>47</v>
      </c>
      <c r="N376" s="10"/>
      <c r="O376" s="2">
        <v>10</v>
      </c>
      <c r="P376" s="17">
        <f>67*(1-S3/100)</f>
        <v>67</v>
      </c>
      <c r="Q376" s="18"/>
      <c r="R376" s="10">
        <f>P376*Q376</f>
        <v>0</v>
      </c>
      <c r="S376" s="19">
        <f>0.051*Q376</f>
        <v>0</v>
      </c>
      <c r="T376" s="20">
        <f>0.00009*Q376</f>
        <v>0</v>
      </c>
      <c r="U376" s="21"/>
      <c r="V376" s="22" t="s">
        <v>1715</v>
      </c>
      <c r="W376" s="22" t="s">
        <v>191</v>
      </c>
      <c r="X376" s="3"/>
      <c r="Y376" s="3" t="s">
        <v>1716</v>
      </c>
      <c r="Z376" s="3" t="s">
        <v>52</v>
      </c>
      <c r="AA376" s="3" t="s">
        <v>1525</v>
      </c>
      <c r="AB376" s="3"/>
      <c r="AC376" s="3" t="str">
        <f>HYPERLINK("https://knigipp.ru/api/getInfo/image/d20dd7d3-902c-11ee-a250-00155d82e908")</f>
        <v>https://knigipp.ru/api/getInfo/image/d20dd7d3-902c-11ee-a250-00155d82e908</v>
      </c>
      <c r="AD376" s="32">
        <v>64</v>
      </c>
      <c r="AE376" s="3" t="s">
        <v>481</v>
      </c>
      <c r="AF376" s="3" t="s">
        <v>136</v>
      </c>
      <c r="AG376" s="3"/>
      <c r="AH376" s="3" t="s">
        <v>56</v>
      </c>
      <c r="AI376" s="3"/>
      <c r="AJ376" s="3"/>
      <c r="AK376" s="3" t="str">
        <f>HYPERLINK("https://knigipp.ru/api/getInfo/item/d20dd7d3-902c-11ee-a250-00155d82e908")</f>
        <v>https://knigipp.ru/api/getInfo/item/d20dd7d3-902c-11ee-a250-00155d82e908</v>
      </c>
      <c r="AL376" s="3" t="s">
        <v>1526</v>
      </c>
    </row>
    <row r="377" spans="1:38" ht="21" customHeight="1" outlineLevel="5" x14ac:dyDescent="0.2">
      <c r="A377" s="2">
        <v>269</v>
      </c>
      <c r="B377" s="3" t="s">
        <v>1717</v>
      </c>
      <c r="C377" s="49" t="s">
        <v>1718</v>
      </c>
      <c r="D377" s="49"/>
      <c r="E377" s="49"/>
      <c r="F377" s="49"/>
      <c r="G377" s="4" t="s">
        <v>1719</v>
      </c>
      <c r="H377" s="8"/>
      <c r="I377" s="9" t="s">
        <v>1714</v>
      </c>
      <c r="J377" s="10"/>
      <c r="K377" s="11">
        <v>20</v>
      </c>
      <c r="L377" s="10"/>
      <c r="M377" s="10" t="s">
        <v>47</v>
      </c>
      <c r="N377" s="10"/>
      <c r="O377" s="2">
        <v>10</v>
      </c>
      <c r="P377" s="17">
        <f>67*(1-S3/100)</f>
        <v>67</v>
      </c>
      <c r="Q377" s="18"/>
      <c r="R377" s="10">
        <f>P377*Q377</f>
        <v>0</v>
      </c>
      <c r="S377" s="19">
        <f>0.051*Q377</f>
        <v>0</v>
      </c>
      <c r="T377" s="20">
        <f>0.00009*Q377</f>
        <v>0</v>
      </c>
      <c r="U377" s="21"/>
      <c r="V377" s="22" t="s">
        <v>1720</v>
      </c>
      <c r="W377" s="22" t="s">
        <v>191</v>
      </c>
      <c r="X377" s="3"/>
      <c r="Y377" s="3" t="s">
        <v>1721</v>
      </c>
      <c r="Z377" s="3" t="s">
        <v>52</v>
      </c>
      <c r="AA377" s="3" t="s">
        <v>1525</v>
      </c>
      <c r="AB377" s="3"/>
      <c r="AC377" s="3" t="str">
        <f>HYPERLINK("https://knigipp.ru/api/getInfo/image/799d65c2-902c-11ee-a250-00155d82e908")</f>
        <v>https://knigipp.ru/api/getInfo/image/799d65c2-902c-11ee-a250-00155d82e908</v>
      </c>
      <c r="AD377" s="32">
        <v>64</v>
      </c>
      <c r="AE377" s="3" t="s">
        <v>481</v>
      </c>
      <c r="AF377" s="3" t="s">
        <v>136</v>
      </c>
      <c r="AG377" s="3"/>
      <c r="AH377" s="3" t="s">
        <v>56</v>
      </c>
      <c r="AI377" s="3"/>
      <c r="AJ377" s="3"/>
      <c r="AK377" s="3" t="str">
        <f>HYPERLINK("https://knigipp.ru/api/getInfo/item/799d65c2-902c-11ee-a250-00155d82e908")</f>
        <v>https://knigipp.ru/api/getInfo/item/799d65c2-902c-11ee-a250-00155d82e908</v>
      </c>
      <c r="AL377" s="3" t="s">
        <v>1526</v>
      </c>
    </row>
    <row r="378" spans="1:38" ht="21" customHeight="1" outlineLevel="5" x14ac:dyDescent="0.2">
      <c r="A378" s="2">
        <v>270</v>
      </c>
      <c r="B378" s="3" t="s">
        <v>1722</v>
      </c>
      <c r="C378" s="49" t="s">
        <v>1723</v>
      </c>
      <c r="D378" s="49"/>
      <c r="E378" s="49"/>
      <c r="F378" s="49"/>
      <c r="G378" s="4" t="s">
        <v>1724</v>
      </c>
      <c r="H378" s="8"/>
      <c r="I378" s="9" t="s">
        <v>1714</v>
      </c>
      <c r="J378" s="10"/>
      <c r="K378" s="11">
        <v>20</v>
      </c>
      <c r="L378" s="10"/>
      <c r="M378" s="10" t="s">
        <v>47</v>
      </c>
      <c r="N378" s="10"/>
      <c r="O378" s="2">
        <v>10</v>
      </c>
      <c r="P378" s="17">
        <f>67*(1-S3/100)</f>
        <v>67</v>
      </c>
      <c r="Q378" s="18"/>
      <c r="R378" s="10">
        <f>P378*Q378</f>
        <v>0</v>
      </c>
      <c r="S378" s="19">
        <f>0.051*Q378</f>
        <v>0</v>
      </c>
      <c r="T378" s="20">
        <f>0.00009*Q378</f>
        <v>0</v>
      </c>
      <c r="U378" s="21"/>
      <c r="V378" s="22" t="s">
        <v>1725</v>
      </c>
      <c r="W378" s="22" t="s">
        <v>191</v>
      </c>
      <c r="X378" s="3"/>
      <c r="Y378" s="3" t="s">
        <v>1726</v>
      </c>
      <c r="Z378" s="3" t="s">
        <v>52</v>
      </c>
      <c r="AA378" s="3" t="s">
        <v>1525</v>
      </c>
      <c r="AB378" s="3"/>
      <c r="AC378" s="3" t="str">
        <f>HYPERLINK("https://knigipp.ru/api/getInfo/image/178a4fca-902d-11ee-a250-00155d82e908")</f>
        <v>https://knigipp.ru/api/getInfo/image/178a4fca-902d-11ee-a250-00155d82e908</v>
      </c>
      <c r="AD378" s="32">
        <v>64</v>
      </c>
      <c r="AE378" s="3" t="s">
        <v>481</v>
      </c>
      <c r="AF378" s="3" t="s">
        <v>136</v>
      </c>
      <c r="AG378" s="3"/>
      <c r="AH378" s="3" t="s">
        <v>56</v>
      </c>
      <c r="AI378" s="3"/>
      <c r="AJ378" s="3"/>
      <c r="AK378" s="3" t="str">
        <f>HYPERLINK("https://knigipp.ru/api/getInfo/item/178a4fca-902d-11ee-a250-00155d82e908")</f>
        <v>https://knigipp.ru/api/getInfo/item/178a4fca-902d-11ee-a250-00155d82e908</v>
      </c>
      <c r="AL378" s="3" t="s">
        <v>1526</v>
      </c>
    </row>
    <row r="379" spans="1:38" ht="21" customHeight="1" outlineLevel="5" x14ac:dyDescent="0.2">
      <c r="A379" s="2">
        <v>271</v>
      </c>
      <c r="B379" s="3" t="s">
        <v>1727</v>
      </c>
      <c r="C379" s="49" t="s">
        <v>1728</v>
      </c>
      <c r="D379" s="49"/>
      <c r="E379" s="49"/>
      <c r="F379" s="49"/>
      <c r="G379" s="4" t="s">
        <v>1729</v>
      </c>
      <c r="H379" s="8"/>
      <c r="I379" s="9" t="s">
        <v>1714</v>
      </c>
      <c r="J379" s="10"/>
      <c r="K379" s="11">
        <v>20</v>
      </c>
      <c r="L379" s="10"/>
      <c r="M379" s="10" t="s">
        <v>47</v>
      </c>
      <c r="N379" s="10"/>
      <c r="O379" s="2">
        <v>10</v>
      </c>
      <c r="P379" s="17">
        <f>67*(1-S3/100)</f>
        <v>67</v>
      </c>
      <c r="Q379" s="18"/>
      <c r="R379" s="10">
        <f>P379*Q379</f>
        <v>0</v>
      </c>
      <c r="S379" s="19">
        <f>0.051*Q379</f>
        <v>0</v>
      </c>
      <c r="T379" s="20">
        <f>0.00009*Q379</f>
        <v>0</v>
      </c>
      <c r="U379" s="21"/>
      <c r="V379" s="22" t="s">
        <v>1730</v>
      </c>
      <c r="W379" s="22" t="s">
        <v>191</v>
      </c>
      <c r="X379" s="3"/>
      <c r="Y379" s="3" t="s">
        <v>1731</v>
      </c>
      <c r="Z379" s="3" t="s">
        <v>52</v>
      </c>
      <c r="AA379" s="3" t="s">
        <v>1525</v>
      </c>
      <c r="AB379" s="3"/>
      <c r="AC379" s="3" t="str">
        <f>HYPERLINK("https://knigipp.ru/api/getInfo/image/6089ae13-902d-11ee-a250-00155d82e908")</f>
        <v>https://knigipp.ru/api/getInfo/image/6089ae13-902d-11ee-a250-00155d82e908</v>
      </c>
      <c r="AD379" s="32">
        <v>64</v>
      </c>
      <c r="AE379" s="3" t="s">
        <v>481</v>
      </c>
      <c r="AF379" s="3" t="s">
        <v>136</v>
      </c>
      <c r="AG379" s="3"/>
      <c r="AH379" s="3" t="s">
        <v>56</v>
      </c>
      <c r="AI379" s="3"/>
      <c r="AJ379" s="3"/>
      <c r="AK379" s="3" t="str">
        <f>HYPERLINK("https://knigipp.ru/api/getInfo/item/6089ae13-902d-11ee-a250-00155d82e908")</f>
        <v>https://knigipp.ru/api/getInfo/item/6089ae13-902d-11ee-a250-00155d82e908</v>
      </c>
      <c r="AL379" s="3" t="s">
        <v>1526</v>
      </c>
    </row>
    <row r="380" spans="1:38" ht="23.1" customHeight="1" outlineLevel="4" x14ac:dyDescent="0.2">
      <c r="A380" s="55" t="s">
        <v>1732</v>
      </c>
      <c r="B380" s="55"/>
      <c r="C380" s="55"/>
      <c r="D380" s="55"/>
      <c r="E380" s="55"/>
      <c r="F380" s="55"/>
    </row>
    <row r="381" spans="1:38" ht="21" customHeight="1" outlineLevel="5" x14ac:dyDescent="0.2">
      <c r="A381" s="2">
        <v>272</v>
      </c>
      <c r="B381" s="3" t="s">
        <v>1733</v>
      </c>
      <c r="C381" s="49" t="s">
        <v>1734</v>
      </c>
      <c r="D381" s="49"/>
      <c r="E381" s="49"/>
      <c r="F381" s="49"/>
      <c r="G381" s="4" t="s">
        <v>1735</v>
      </c>
      <c r="H381" s="8"/>
      <c r="I381" s="9" t="s">
        <v>1736</v>
      </c>
      <c r="J381" s="10"/>
      <c r="K381" s="11">
        <v>20</v>
      </c>
      <c r="L381" s="10"/>
      <c r="M381" s="10" t="s">
        <v>47</v>
      </c>
      <c r="N381" s="10"/>
      <c r="O381" s="2">
        <v>7</v>
      </c>
      <c r="P381" s="17">
        <f>97*(1-S3/100)</f>
        <v>97</v>
      </c>
      <c r="Q381" s="18"/>
      <c r="R381" s="10">
        <f>P381*Q381</f>
        <v>0</v>
      </c>
      <c r="S381" s="19">
        <f>0.069*Q381</f>
        <v>0</v>
      </c>
      <c r="T381" s="20">
        <f>0.00007*Q381</f>
        <v>0</v>
      </c>
      <c r="U381" s="21"/>
      <c r="V381" s="22" t="s">
        <v>1737</v>
      </c>
      <c r="W381" s="22" t="s">
        <v>191</v>
      </c>
      <c r="X381" s="3"/>
      <c r="Y381" s="3" t="s">
        <v>1738</v>
      </c>
      <c r="Z381" s="3" t="s">
        <v>52</v>
      </c>
      <c r="AA381" s="3"/>
      <c r="AB381" s="3"/>
      <c r="AC381" s="3" t="str">
        <f>HYPERLINK("https://knigipp.ru/api/getInfo/image/b91d9fd5-3dcf-11ee-a241-00155d82e902")</f>
        <v>https://knigipp.ru/api/getInfo/image/b91d9fd5-3dcf-11ee-a241-00155d82e902</v>
      </c>
      <c r="AD381" s="32">
        <v>64</v>
      </c>
      <c r="AE381" s="3" t="s">
        <v>481</v>
      </c>
      <c r="AF381" s="3" t="s">
        <v>136</v>
      </c>
      <c r="AG381" s="3"/>
      <c r="AH381" s="3" t="s">
        <v>56</v>
      </c>
      <c r="AI381" s="3"/>
      <c r="AJ381" s="3"/>
      <c r="AK381" s="3" t="str">
        <f>HYPERLINK("https://knigipp.ru/api/getInfo/item/b91d9fd5-3dcf-11ee-a241-00155d82e902")</f>
        <v>https://knigipp.ru/api/getInfo/item/b91d9fd5-3dcf-11ee-a241-00155d82e902</v>
      </c>
      <c r="AL381" s="3" t="s">
        <v>1739</v>
      </c>
    </row>
    <row r="382" spans="1:38" ht="21" customHeight="1" outlineLevel="5" x14ac:dyDescent="0.2">
      <c r="A382" s="2">
        <v>273</v>
      </c>
      <c r="B382" s="3" t="s">
        <v>1740</v>
      </c>
      <c r="C382" s="49" t="s">
        <v>1741</v>
      </c>
      <c r="D382" s="49"/>
      <c r="E382" s="49"/>
      <c r="F382" s="49"/>
      <c r="G382" s="4" t="s">
        <v>1742</v>
      </c>
      <c r="H382" s="8"/>
      <c r="I382" s="9" t="s">
        <v>1736</v>
      </c>
      <c r="J382" s="10"/>
      <c r="K382" s="11">
        <v>20</v>
      </c>
      <c r="L382" s="10"/>
      <c r="M382" s="10" t="s">
        <v>47</v>
      </c>
      <c r="N382" s="10"/>
      <c r="O382" s="2">
        <v>7</v>
      </c>
      <c r="P382" s="17">
        <f>97*(1-S3/100)</f>
        <v>97</v>
      </c>
      <c r="Q382" s="18"/>
      <c r="R382" s="10">
        <f>P382*Q382</f>
        <v>0</v>
      </c>
      <c r="S382" s="19">
        <f>0.049*Q382</f>
        <v>0</v>
      </c>
      <c r="T382" s="20">
        <f>0.00012*Q382</f>
        <v>0</v>
      </c>
      <c r="U382" s="21"/>
      <c r="V382" s="22" t="s">
        <v>1743</v>
      </c>
      <c r="W382" s="22" t="s">
        <v>191</v>
      </c>
      <c r="X382" s="3"/>
      <c r="Y382" s="3" t="s">
        <v>1744</v>
      </c>
      <c r="Z382" s="3" t="s">
        <v>52</v>
      </c>
      <c r="AA382" s="3"/>
      <c r="AB382" s="3"/>
      <c r="AC382" s="3" t="str">
        <f>HYPERLINK("https://knigipp.ru/api/getInfo/image/b79dc839-1cbb-11ef-a25e-00155d82e908")</f>
        <v>https://knigipp.ru/api/getInfo/image/b79dc839-1cbb-11ef-a25e-00155d82e908</v>
      </c>
      <c r="AD382" s="32">
        <v>64</v>
      </c>
      <c r="AE382" s="3" t="s">
        <v>481</v>
      </c>
      <c r="AF382" s="3" t="s">
        <v>136</v>
      </c>
      <c r="AG382" s="3"/>
      <c r="AH382" s="3" t="s">
        <v>56</v>
      </c>
      <c r="AI382" s="3"/>
      <c r="AJ382" s="3"/>
      <c r="AK382" s="3" t="str">
        <f>HYPERLINK("https://knigipp.ru/api/getInfo/item/b79dc839-1cbb-11ef-a25e-00155d82e908")</f>
        <v>https://knigipp.ru/api/getInfo/item/b79dc839-1cbb-11ef-a25e-00155d82e908</v>
      </c>
      <c r="AL382" s="3" t="s">
        <v>1739</v>
      </c>
    </row>
    <row r="383" spans="1:38" ht="21" customHeight="1" outlineLevel="5" x14ac:dyDescent="0.2">
      <c r="A383" s="2">
        <v>274</v>
      </c>
      <c r="B383" s="3" t="s">
        <v>1745</v>
      </c>
      <c r="C383" s="49" t="s">
        <v>1746</v>
      </c>
      <c r="D383" s="49"/>
      <c r="E383" s="49"/>
      <c r="F383" s="49"/>
      <c r="G383" s="4" t="s">
        <v>1747</v>
      </c>
      <c r="H383" s="8"/>
      <c r="I383" s="9" t="s">
        <v>1736</v>
      </c>
      <c r="J383" s="10"/>
      <c r="K383" s="11">
        <v>20</v>
      </c>
      <c r="L383" s="10"/>
      <c r="M383" s="10" t="s">
        <v>47</v>
      </c>
      <c r="N383" s="10"/>
      <c r="O383" s="2">
        <v>7</v>
      </c>
      <c r="P383" s="17">
        <f>97*(1-S3/100)</f>
        <v>97</v>
      </c>
      <c r="Q383" s="18"/>
      <c r="R383" s="10">
        <f>P383*Q383</f>
        <v>0</v>
      </c>
      <c r="S383" s="19">
        <f>0.043*Q383</f>
        <v>0</v>
      </c>
      <c r="T383" s="20">
        <f>0.00009*Q383</f>
        <v>0</v>
      </c>
      <c r="U383" s="21"/>
      <c r="V383" s="22" t="s">
        <v>1748</v>
      </c>
      <c r="W383" s="22" t="s">
        <v>191</v>
      </c>
      <c r="X383" s="3"/>
      <c r="Y383" s="3" t="s">
        <v>1749</v>
      </c>
      <c r="Z383" s="3" t="s">
        <v>52</v>
      </c>
      <c r="AA383" s="3"/>
      <c r="AB383" s="3"/>
      <c r="AC383" s="3" t="str">
        <f>HYPERLINK("https://knigipp.ru/api/getInfo/image/6a77f491-3dd0-11ee-a241-00155d82e902")</f>
        <v>https://knigipp.ru/api/getInfo/image/6a77f491-3dd0-11ee-a241-00155d82e902</v>
      </c>
      <c r="AD383" s="32">
        <v>64</v>
      </c>
      <c r="AE383" s="3" t="s">
        <v>481</v>
      </c>
      <c r="AF383" s="3" t="s">
        <v>136</v>
      </c>
      <c r="AG383" s="3"/>
      <c r="AH383" s="3" t="s">
        <v>56</v>
      </c>
      <c r="AI383" s="3"/>
      <c r="AJ383" s="3"/>
      <c r="AK383" s="3" t="str">
        <f>HYPERLINK("https://knigipp.ru/api/getInfo/item/6a77f491-3dd0-11ee-a241-00155d82e902")</f>
        <v>https://knigipp.ru/api/getInfo/item/6a77f491-3dd0-11ee-a241-00155d82e902</v>
      </c>
      <c r="AL383" s="3" t="s">
        <v>1739</v>
      </c>
    </row>
    <row r="384" spans="1:38" ht="21" customHeight="1" outlineLevel="5" x14ac:dyDescent="0.2">
      <c r="A384" s="2">
        <v>275</v>
      </c>
      <c r="B384" s="3" t="s">
        <v>1750</v>
      </c>
      <c r="C384" s="49" t="s">
        <v>1751</v>
      </c>
      <c r="D384" s="49"/>
      <c r="E384" s="49"/>
      <c r="F384" s="49"/>
      <c r="G384" s="4" t="s">
        <v>1752</v>
      </c>
      <c r="H384" s="8"/>
      <c r="I384" s="9" t="s">
        <v>1736</v>
      </c>
      <c r="J384" s="10"/>
      <c r="K384" s="11">
        <v>20</v>
      </c>
      <c r="L384" s="10"/>
      <c r="M384" s="10" t="s">
        <v>47</v>
      </c>
      <c r="N384" s="10"/>
      <c r="O384" s="2">
        <v>7</v>
      </c>
      <c r="P384" s="17">
        <f>97*(1-S3/100)</f>
        <v>97</v>
      </c>
      <c r="Q384" s="18"/>
      <c r="R384" s="10">
        <f>P384*Q384</f>
        <v>0</v>
      </c>
      <c r="S384" s="19">
        <f>0.067*Q384</f>
        <v>0</v>
      </c>
      <c r="T384" s="20">
        <f>0.00009*Q384</f>
        <v>0</v>
      </c>
      <c r="U384" s="21"/>
      <c r="V384" s="22" t="s">
        <v>1753</v>
      </c>
      <c r="W384" s="22" t="s">
        <v>191</v>
      </c>
      <c r="X384" s="3"/>
      <c r="Y384" s="3" t="s">
        <v>1754</v>
      </c>
      <c r="Z384" s="3" t="s">
        <v>52</v>
      </c>
      <c r="AA384" s="3"/>
      <c r="AB384" s="3"/>
      <c r="AC384" s="3" t="str">
        <f>HYPERLINK("https://knigipp.ru/api/getInfo/image/d9fec466-3dd0-11ee-a241-00155d82e902")</f>
        <v>https://knigipp.ru/api/getInfo/image/d9fec466-3dd0-11ee-a241-00155d82e902</v>
      </c>
      <c r="AD384" s="32">
        <v>64</v>
      </c>
      <c r="AE384" s="3" t="s">
        <v>481</v>
      </c>
      <c r="AF384" s="3" t="s">
        <v>136</v>
      </c>
      <c r="AG384" s="3"/>
      <c r="AH384" s="3" t="s">
        <v>56</v>
      </c>
      <c r="AI384" s="3"/>
      <c r="AJ384" s="3"/>
      <c r="AK384" s="3" t="str">
        <f>HYPERLINK("https://knigipp.ru/api/getInfo/item/d9fec466-3dd0-11ee-a241-00155d82e902")</f>
        <v>https://knigipp.ru/api/getInfo/item/d9fec466-3dd0-11ee-a241-00155d82e902</v>
      </c>
      <c r="AL384" s="3" t="s">
        <v>1739</v>
      </c>
    </row>
    <row r="385" spans="1:38" ht="23.1" customHeight="1" outlineLevel="4" x14ac:dyDescent="0.2">
      <c r="A385" s="55" t="s">
        <v>1755</v>
      </c>
      <c r="B385" s="55"/>
      <c r="C385" s="55"/>
      <c r="D385" s="55"/>
      <c r="E385" s="55"/>
      <c r="F385" s="55"/>
    </row>
    <row r="386" spans="1:38" ht="21" customHeight="1" outlineLevel="5" x14ac:dyDescent="0.2">
      <c r="A386" s="2">
        <v>276</v>
      </c>
      <c r="B386" s="3" t="s">
        <v>1756</v>
      </c>
      <c r="C386" s="49" t="s">
        <v>1757</v>
      </c>
      <c r="D386" s="49"/>
      <c r="E386" s="49"/>
      <c r="F386" s="49"/>
      <c r="G386" s="4" t="s">
        <v>1758</v>
      </c>
      <c r="H386" s="8"/>
      <c r="I386" s="9" t="s">
        <v>1759</v>
      </c>
      <c r="J386" s="10"/>
      <c r="K386" s="11">
        <v>10</v>
      </c>
      <c r="L386" s="10"/>
      <c r="M386" s="10" t="s">
        <v>47</v>
      </c>
      <c r="N386" s="10"/>
      <c r="O386" s="2">
        <v>7</v>
      </c>
      <c r="P386" s="17">
        <f>99*(1-S3/100)</f>
        <v>99</v>
      </c>
      <c r="Q386" s="18"/>
      <c r="R386" s="10">
        <f>P386*Q386</f>
        <v>0</v>
      </c>
      <c r="S386" s="19">
        <f>0.098*Q386</f>
        <v>0</v>
      </c>
      <c r="T386" s="20">
        <f>0.00028*Q386</f>
        <v>0</v>
      </c>
      <c r="U386" s="21"/>
      <c r="V386" s="22" t="s">
        <v>1760</v>
      </c>
      <c r="W386" s="22" t="s">
        <v>191</v>
      </c>
      <c r="X386" s="3"/>
      <c r="Y386" s="3" t="s">
        <v>1761</v>
      </c>
      <c r="Z386" s="3" t="s">
        <v>52</v>
      </c>
      <c r="AA386" s="3" t="s">
        <v>1413</v>
      </c>
      <c r="AB386" s="3"/>
      <c r="AC386" s="3" t="str">
        <f>HYPERLINK("https://knigipp.ru/api/getInfo/image/3b4f6292-903a-11ee-a250-00155d82e908")</f>
        <v>https://knigipp.ru/api/getInfo/image/3b4f6292-903a-11ee-a250-00155d82e908</v>
      </c>
      <c r="AD386" s="32">
        <v>80</v>
      </c>
      <c r="AE386" s="3" t="s">
        <v>481</v>
      </c>
      <c r="AF386" s="3" t="s">
        <v>136</v>
      </c>
      <c r="AG386" s="3"/>
      <c r="AH386" s="3" t="s">
        <v>56</v>
      </c>
      <c r="AI386" s="3"/>
      <c r="AJ386" s="3"/>
      <c r="AK386" s="3" t="str">
        <f>HYPERLINK("https://knigipp.ru/api/getInfo/item/3b4f6292-903a-11ee-a250-00155d82e908")</f>
        <v>https://knigipp.ru/api/getInfo/item/3b4f6292-903a-11ee-a250-00155d82e908</v>
      </c>
      <c r="AL386" s="3" t="s">
        <v>1385</v>
      </c>
    </row>
    <row r="387" spans="1:38" ht="21" customHeight="1" outlineLevel="5" x14ac:dyDescent="0.2">
      <c r="A387" s="2">
        <v>277</v>
      </c>
      <c r="B387" s="3" t="s">
        <v>1762</v>
      </c>
      <c r="C387" s="49" t="s">
        <v>1763</v>
      </c>
      <c r="D387" s="49"/>
      <c r="E387" s="49"/>
      <c r="F387" s="49"/>
      <c r="G387" s="4" t="s">
        <v>1764</v>
      </c>
      <c r="H387" s="8"/>
      <c r="I387" s="9" t="s">
        <v>1759</v>
      </c>
      <c r="J387" s="10"/>
      <c r="K387" s="11">
        <v>10</v>
      </c>
      <c r="L387" s="10"/>
      <c r="M387" s="10" t="s">
        <v>47</v>
      </c>
      <c r="N387" s="10"/>
      <c r="O387" s="2">
        <v>7</v>
      </c>
      <c r="P387" s="17">
        <f>99*(1-S3/100)</f>
        <v>99</v>
      </c>
      <c r="Q387" s="18"/>
      <c r="R387" s="10">
        <f>P387*Q387</f>
        <v>0</v>
      </c>
      <c r="S387" s="19">
        <f>0.099*Q387</f>
        <v>0</v>
      </c>
      <c r="T387" s="20">
        <f>0.00026*Q387</f>
        <v>0</v>
      </c>
      <c r="U387" s="21"/>
      <c r="V387" s="22" t="s">
        <v>1765</v>
      </c>
      <c r="W387" s="22" t="s">
        <v>191</v>
      </c>
      <c r="X387" s="3"/>
      <c r="Y387" s="3" t="s">
        <v>1766</v>
      </c>
      <c r="Z387" s="3" t="s">
        <v>52</v>
      </c>
      <c r="AA387" s="3" t="s">
        <v>1413</v>
      </c>
      <c r="AB387" s="3"/>
      <c r="AC387" s="3" t="str">
        <f>HYPERLINK("https://knigipp.ru/api/getInfo/image/f5dc65ed-9039-11ee-a250-00155d82e908")</f>
        <v>https://knigipp.ru/api/getInfo/image/f5dc65ed-9039-11ee-a250-00155d82e908</v>
      </c>
      <c r="AD387" s="32">
        <v>80</v>
      </c>
      <c r="AE387" s="3" t="s">
        <v>481</v>
      </c>
      <c r="AF387" s="3" t="s">
        <v>136</v>
      </c>
      <c r="AG387" s="3"/>
      <c r="AH387" s="3" t="s">
        <v>56</v>
      </c>
      <c r="AI387" s="3"/>
      <c r="AJ387" s="3"/>
      <c r="AK387" s="3" t="str">
        <f>HYPERLINK("https://knigipp.ru/api/getInfo/item/f5dc65ed-9039-11ee-a250-00155d82e908")</f>
        <v>https://knigipp.ru/api/getInfo/item/f5dc65ed-9039-11ee-a250-00155d82e908</v>
      </c>
      <c r="AL387" s="3" t="s">
        <v>1385</v>
      </c>
    </row>
    <row r="388" spans="1:38" ht="21" customHeight="1" outlineLevel="5" x14ac:dyDescent="0.2">
      <c r="A388" s="2">
        <v>278</v>
      </c>
      <c r="B388" s="3" t="s">
        <v>1767</v>
      </c>
      <c r="C388" s="49" t="s">
        <v>1768</v>
      </c>
      <c r="D388" s="49"/>
      <c r="E388" s="49"/>
      <c r="F388" s="49"/>
      <c r="G388" s="4" t="s">
        <v>1769</v>
      </c>
      <c r="H388" s="8"/>
      <c r="I388" s="9" t="s">
        <v>1759</v>
      </c>
      <c r="J388" s="10"/>
      <c r="K388" s="11">
        <v>10</v>
      </c>
      <c r="L388" s="10"/>
      <c r="M388" s="10" t="s">
        <v>47</v>
      </c>
      <c r="N388" s="10"/>
      <c r="O388" s="2">
        <v>7</v>
      </c>
      <c r="P388" s="17">
        <f>99*(1-S3/100)</f>
        <v>99</v>
      </c>
      <c r="Q388" s="18"/>
      <c r="R388" s="10">
        <f>P388*Q388</f>
        <v>0</v>
      </c>
      <c r="S388" s="35">
        <f>0.1*Q388</f>
        <v>0</v>
      </c>
      <c r="T388" s="20">
        <f>0.00027*Q388</f>
        <v>0</v>
      </c>
      <c r="U388" s="21"/>
      <c r="V388" s="22" t="s">
        <v>1770</v>
      </c>
      <c r="W388" s="22" t="s">
        <v>191</v>
      </c>
      <c r="X388" s="3"/>
      <c r="Y388" s="3" t="s">
        <v>1771</v>
      </c>
      <c r="Z388" s="3" t="s">
        <v>52</v>
      </c>
      <c r="AA388" s="3" t="s">
        <v>1413</v>
      </c>
      <c r="AB388" s="3"/>
      <c r="AC388" s="3" t="str">
        <f>HYPERLINK("https://knigipp.ru/api/getInfo/image/9ea6bd4a-9039-11ee-a250-00155d82e908")</f>
        <v>https://knigipp.ru/api/getInfo/image/9ea6bd4a-9039-11ee-a250-00155d82e908</v>
      </c>
      <c r="AD388" s="32">
        <v>80</v>
      </c>
      <c r="AE388" s="3" t="s">
        <v>481</v>
      </c>
      <c r="AF388" s="3" t="s">
        <v>136</v>
      </c>
      <c r="AG388" s="3"/>
      <c r="AH388" s="3" t="s">
        <v>56</v>
      </c>
      <c r="AI388" s="3"/>
      <c r="AJ388" s="3"/>
      <c r="AK388" s="3" t="str">
        <f>HYPERLINK("https://knigipp.ru/api/getInfo/item/9ea6bd4a-9039-11ee-a250-00155d82e908")</f>
        <v>https://knigipp.ru/api/getInfo/item/9ea6bd4a-9039-11ee-a250-00155d82e908</v>
      </c>
      <c r="AL388" s="3" t="s">
        <v>1385</v>
      </c>
    </row>
    <row r="389" spans="1:38" ht="21" customHeight="1" outlineLevel="5" x14ac:dyDescent="0.2">
      <c r="A389" s="2">
        <v>279</v>
      </c>
      <c r="B389" s="3" t="s">
        <v>1772</v>
      </c>
      <c r="C389" s="49" t="s">
        <v>1773</v>
      </c>
      <c r="D389" s="49"/>
      <c r="E389" s="49"/>
      <c r="F389" s="49"/>
      <c r="G389" s="4" t="s">
        <v>1774</v>
      </c>
      <c r="H389" s="8"/>
      <c r="I389" s="9" t="s">
        <v>1759</v>
      </c>
      <c r="J389" s="10"/>
      <c r="K389" s="11">
        <v>10</v>
      </c>
      <c r="L389" s="10"/>
      <c r="M389" s="10" t="s">
        <v>47</v>
      </c>
      <c r="N389" s="10"/>
      <c r="O389" s="2">
        <v>7</v>
      </c>
      <c r="P389" s="17">
        <f>99*(1-S3/100)</f>
        <v>99</v>
      </c>
      <c r="Q389" s="18"/>
      <c r="R389" s="10">
        <f>P389*Q389</f>
        <v>0</v>
      </c>
      <c r="S389" s="19">
        <f>0.098*Q389</f>
        <v>0</v>
      </c>
      <c r="T389" s="20">
        <f>0.00028*Q389</f>
        <v>0</v>
      </c>
      <c r="U389" s="21"/>
      <c r="V389" s="22" t="s">
        <v>1775</v>
      </c>
      <c r="W389" s="22" t="s">
        <v>191</v>
      </c>
      <c r="X389" s="3"/>
      <c r="Y389" s="3" t="s">
        <v>1776</v>
      </c>
      <c r="Z389" s="3" t="s">
        <v>52</v>
      </c>
      <c r="AA389" s="3" t="s">
        <v>1413</v>
      </c>
      <c r="AB389" s="3"/>
      <c r="AC389" s="3" t="str">
        <f>HYPERLINK("https://knigipp.ru/api/getInfo/image/82424493-903a-11ee-a250-00155d82e908")</f>
        <v>https://knigipp.ru/api/getInfo/image/82424493-903a-11ee-a250-00155d82e908</v>
      </c>
      <c r="AD389" s="32">
        <v>80</v>
      </c>
      <c r="AE389" s="3" t="s">
        <v>481</v>
      </c>
      <c r="AF389" s="3" t="s">
        <v>136</v>
      </c>
      <c r="AG389" s="3"/>
      <c r="AH389" s="3" t="s">
        <v>56</v>
      </c>
      <c r="AI389" s="3"/>
      <c r="AJ389" s="3"/>
      <c r="AK389" s="3" t="str">
        <f>HYPERLINK("https://knigipp.ru/api/getInfo/item/82424493-903a-11ee-a250-00155d82e908")</f>
        <v>https://knigipp.ru/api/getInfo/item/82424493-903a-11ee-a250-00155d82e908</v>
      </c>
      <c r="AL389" s="3" t="s">
        <v>1385</v>
      </c>
    </row>
    <row r="390" spans="1:38" ht="23.1" customHeight="1" outlineLevel="4" x14ac:dyDescent="0.2">
      <c r="A390" s="55" t="s">
        <v>1777</v>
      </c>
      <c r="B390" s="55"/>
      <c r="C390" s="55"/>
      <c r="D390" s="55"/>
      <c r="E390" s="55"/>
      <c r="F390" s="55"/>
    </row>
    <row r="391" spans="1:38" ht="21" customHeight="1" outlineLevel="5" x14ac:dyDescent="0.2">
      <c r="A391" s="2">
        <v>280</v>
      </c>
      <c r="B391" s="3" t="s">
        <v>1778</v>
      </c>
      <c r="C391" s="49" t="s">
        <v>1779</v>
      </c>
      <c r="D391" s="49"/>
      <c r="E391" s="49"/>
      <c r="F391" s="49"/>
      <c r="G391" s="4" t="s">
        <v>1780</v>
      </c>
      <c r="H391" s="8"/>
      <c r="I391" s="9" t="s">
        <v>1781</v>
      </c>
      <c r="J391" s="10"/>
      <c r="K391" s="11">
        <v>20</v>
      </c>
      <c r="L391" s="10"/>
      <c r="M391" s="10" t="s">
        <v>78</v>
      </c>
      <c r="N391" s="10"/>
      <c r="O391" s="2">
        <v>7</v>
      </c>
      <c r="P391" s="17">
        <f>99*(1-S3/100)</f>
        <v>99</v>
      </c>
      <c r="Q391" s="18"/>
      <c r="R391" s="10">
        <f>P391*Q391</f>
        <v>0</v>
      </c>
      <c r="S391" s="19">
        <f>0.078*Q391</f>
        <v>0</v>
      </c>
      <c r="T391" s="20">
        <f>0.00011*Q391</f>
        <v>0</v>
      </c>
      <c r="U391" s="21"/>
      <c r="V391" s="22" t="s">
        <v>1782</v>
      </c>
      <c r="W391" s="22" t="s">
        <v>191</v>
      </c>
      <c r="X391" s="3"/>
      <c r="Y391" s="3"/>
      <c r="Z391" s="3" t="s">
        <v>52</v>
      </c>
      <c r="AA391" s="3"/>
      <c r="AB391" s="3"/>
      <c r="AC391" s="3" t="str">
        <f>HYPERLINK("https://knigipp.ru/api/getInfo/image/ca975d61-3074-11ee-a23e-00155d82e902")</f>
        <v>https://knigipp.ru/api/getInfo/image/ca975d61-3074-11ee-a23e-00155d82e902</v>
      </c>
      <c r="AD391" s="32">
        <v>80</v>
      </c>
      <c r="AE391" s="3" t="s">
        <v>481</v>
      </c>
      <c r="AF391" s="3" t="s">
        <v>55</v>
      </c>
      <c r="AG391" s="3"/>
      <c r="AH391" s="3" t="s">
        <v>56</v>
      </c>
      <c r="AI391" s="3"/>
      <c r="AJ391" s="3"/>
      <c r="AK391" s="3" t="str">
        <f>HYPERLINK("https://knigipp.ru/api/getInfo/item/ca975d61-3074-11ee-a23e-00155d82e902")</f>
        <v>https://knigipp.ru/api/getInfo/item/ca975d61-3074-11ee-a23e-00155d82e902</v>
      </c>
      <c r="AL391" s="3" t="s">
        <v>1783</v>
      </c>
    </row>
    <row r="392" spans="1:38" ht="23.1" customHeight="1" outlineLevel="4" x14ac:dyDescent="0.2">
      <c r="A392" s="55" t="s">
        <v>1784</v>
      </c>
      <c r="B392" s="55"/>
      <c r="C392" s="55"/>
      <c r="D392" s="55"/>
      <c r="E392" s="55"/>
      <c r="F392" s="55"/>
    </row>
    <row r="393" spans="1:38" ht="21" customHeight="1" outlineLevel="5" x14ac:dyDescent="0.2">
      <c r="A393" s="2">
        <v>281</v>
      </c>
      <c r="B393" s="3" t="s">
        <v>1785</v>
      </c>
      <c r="C393" s="49" t="s">
        <v>1786</v>
      </c>
      <c r="D393" s="49"/>
      <c r="E393" s="49"/>
      <c r="F393" s="49"/>
      <c r="G393" s="4" t="s">
        <v>1787</v>
      </c>
      <c r="H393" s="8"/>
      <c r="I393" s="9" t="s">
        <v>1788</v>
      </c>
      <c r="J393" s="10"/>
      <c r="K393" s="11">
        <v>10</v>
      </c>
      <c r="L393" s="10"/>
      <c r="M393" s="10" t="s">
        <v>47</v>
      </c>
      <c r="N393" s="10"/>
      <c r="O393" s="2">
        <v>1</v>
      </c>
      <c r="P393" s="17">
        <f>597*(1-S3/100)</f>
        <v>597</v>
      </c>
      <c r="Q393" s="18"/>
      <c r="R393" s="10">
        <f>P393*Q393</f>
        <v>0</v>
      </c>
      <c r="S393" s="19">
        <f>0.458*Q393</f>
        <v>0</v>
      </c>
      <c r="T393" s="20">
        <f>0.00066*Q393</f>
        <v>0</v>
      </c>
      <c r="U393" s="21"/>
      <c r="V393" s="22" t="s">
        <v>1789</v>
      </c>
      <c r="W393" s="22" t="s">
        <v>191</v>
      </c>
      <c r="X393" s="3"/>
      <c r="Y393" s="3" t="s">
        <v>1790</v>
      </c>
      <c r="Z393" s="3" t="s">
        <v>52</v>
      </c>
      <c r="AA393" s="3"/>
      <c r="AB393" s="3"/>
      <c r="AC393" s="3" t="str">
        <f>HYPERLINK("https://knigipp.ru/api/getInfo/image/23e7df29-c282-11ef-a268-00155d82e908")</f>
        <v>https://knigipp.ru/api/getInfo/image/23e7df29-c282-11ef-a268-00155d82e908</v>
      </c>
      <c r="AD393" s="32">
        <v>336</v>
      </c>
      <c r="AE393" s="3" t="s">
        <v>355</v>
      </c>
      <c r="AF393" s="3" t="s">
        <v>127</v>
      </c>
      <c r="AG393" s="3"/>
      <c r="AH393" s="3" t="s">
        <v>56</v>
      </c>
      <c r="AI393" s="3"/>
      <c r="AJ393" s="3"/>
      <c r="AK393" s="3" t="str">
        <f>HYPERLINK("https://knigipp.ru/api/getInfo/item/23e7df29-c282-11ef-a268-00155d82e908")</f>
        <v>https://knigipp.ru/api/getInfo/item/23e7df29-c282-11ef-a268-00155d82e908</v>
      </c>
      <c r="AL393" s="3" t="s">
        <v>1791</v>
      </c>
    </row>
    <row r="394" spans="1:38" ht="21" customHeight="1" outlineLevel="5" x14ac:dyDescent="0.2">
      <c r="A394" s="2">
        <v>282</v>
      </c>
      <c r="B394" s="3" t="s">
        <v>1792</v>
      </c>
      <c r="C394" s="49" t="s">
        <v>1793</v>
      </c>
      <c r="D394" s="49"/>
      <c r="E394" s="49"/>
      <c r="F394" s="49"/>
      <c r="G394" s="4" t="s">
        <v>1794</v>
      </c>
      <c r="H394" s="8"/>
      <c r="I394" s="9" t="s">
        <v>1788</v>
      </c>
      <c r="J394" s="10"/>
      <c r="K394" s="11">
        <v>10</v>
      </c>
      <c r="L394" s="10"/>
      <c r="M394" s="10" t="s">
        <v>47</v>
      </c>
      <c r="N394" s="10"/>
      <c r="O394" s="2">
        <v>1</v>
      </c>
      <c r="P394" s="17">
        <f>597*(1-S3/100)</f>
        <v>597</v>
      </c>
      <c r="Q394" s="18"/>
      <c r="R394" s="10">
        <f>P394*Q394</f>
        <v>0</v>
      </c>
      <c r="S394" s="19">
        <f>0.458*Q394</f>
        <v>0</v>
      </c>
      <c r="T394" s="20">
        <f>0.00066*Q394</f>
        <v>0</v>
      </c>
      <c r="U394" s="21"/>
      <c r="V394" s="22" t="s">
        <v>1795</v>
      </c>
      <c r="W394" s="22" t="s">
        <v>191</v>
      </c>
      <c r="X394" s="3"/>
      <c r="Y394" s="3" t="s">
        <v>1796</v>
      </c>
      <c r="Z394" s="3" t="s">
        <v>52</v>
      </c>
      <c r="AA394" s="3"/>
      <c r="AB394" s="3"/>
      <c r="AC394" s="3" t="str">
        <f>HYPERLINK("https://knigipp.ru/api/getInfo/image/63cd9663-c282-11ef-a268-00155d82e908")</f>
        <v>https://knigipp.ru/api/getInfo/image/63cd9663-c282-11ef-a268-00155d82e908</v>
      </c>
      <c r="AD394" s="32">
        <v>336</v>
      </c>
      <c r="AE394" s="3" t="s">
        <v>355</v>
      </c>
      <c r="AF394" s="3" t="s">
        <v>127</v>
      </c>
      <c r="AG394" s="3"/>
      <c r="AH394" s="3" t="s">
        <v>56</v>
      </c>
      <c r="AI394" s="3"/>
      <c r="AJ394" s="3"/>
      <c r="AK394" s="3" t="str">
        <f>HYPERLINK("https://knigipp.ru/api/getInfo/item/63cd9663-c282-11ef-a268-00155d82e908")</f>
        <v>https://knigipp.ru/api/getInfo/item/63cd9663-c282-11ef-a268-00155d82e908</v>
      </c>
      <c r="AL394" s="3" t="s">
        <v>1791</v>
      </c>
    </row>
    <row r="395" spans="1:38" ht="21" customHeight="1" outlineLevel="5" x14ac:dyDescent="0.2">
      <c r="A395" s="2">
        <v>283</v>
      </c>
      <c r="B395" s="3" t="s">
        <v>1797</v>
      </c>
      <c r="C395" s="49" t="s">
        <v>1798</v>
      </c>
      <c r="D395" s="49"/>
      <c r="E395" s="49"/>
      <c r="F395" s="49"/>
      <c r="G395" s="4" t="s">
        <v>1799</v>
      </c>
      <c r="H395" s="8"/>
      <c r="I395" s="9" t="s">
        <v>1788</v>
      </c>
      <c r="J395" s="10"/>
      <c r="K395" s="11">
        <v>10</v>
      </c>
      <c r="L395" s="10"/>
      <c r="M395" s="10" t="s">
        <v>47</v>
      </c>
      <c r="N395" s="10"/>
      <c r="O395" s="2">
        <v>1</v>
      </c>
      <c r="P395" s="17">
        <f>597*(1-S3/100)</f>
        <v>597</v>
      </c>
      <c r="Q395" s="18"/>
      <c r="R395" s="10">
        <f>P395*Q395</f>
        <v>0</v>
      </c>
      <c r="S395" s="19">
        <f>0.442*Q395</f>
        <v>0</v>
      </c>
      <c r="T395" s="20">
        <f>0.00059*Q395</f>
        <v>0</v>
      </c>
      <c r="U395" s="21"/>
      <c r="V395" s="22" t="s">
        <v>1800</v>
      </c>
      <c r="W395" s="22" t="s">
        <v>191</v>
      </c>
      <c r="X395" s="3"/>
      <c r="Y395" s="3" t="s">
        <v>1801</v>
      </c>
      <c r="Z395" s="3" t="s">
        <v>52</v>
      </c>
      <c r="AA395" s="3"/>
      <c r="AB395" s="3"/>
      <c r="AC395" s="3" t="str">
        <f>HYPERLINK("https://knigipp.ru/api/getInfo/image/af47429c-c282-11ef-a268-00155d82e908")</f>
        <v>https://knigipp.ru/api/getInfo/image/af47429c-c282-11ef-a268-00155d82e908</v>
      </c>
      <c r="AD395" s="32">
        <v>336</v>
      </c>
      <c r="AE395" s="3" t="s">
        <v>355</v>
      </c>
      <c r="AF395" s="3" t="s">
        <v>127</v>
      </c>
      <c r="AG395" s="3"/>
      <c r="AH395" s="3" t="s">
        <v>56</v>
      </c>
      <c r="AI395" s="3"/>
      <c r="AJ395" s="3"/>
      <c r="AK395" s="3" t="str">
        <f>HYPERLINK("https://knigipp.ru/api/getInfo/item/af47429c-c282-11ef-a268-00155d82e908")</f>
        <v>https://knigipp.ru/api/getInfo/item/af47429c-c282-11ef-a268-00155d82e908</v>
      </c>
      <c r="AL395" s="3" t="s">
        <v>1791</v>
      </c>
    </row>
    <row r="396" spans="1:38" ht="21" customHeight="1" outlineLevel="5" x14ac:dyDescent="0.2">
      <c r="A396" s="2">
        <v>284</v>
      </c>
      <c r="B396" s="3" t="s">
        <v>1802</v>
      </c>
      <c r="C396" s="49" t="s">
        <v>1803</v>
      </c>
      <c r="D396" s="49"/>
      <c r="E396" s="49"/>
      <c r="F396" s="49"/>
      <c r="G396" s="4" t="s">
        <v>1804</v>
      </c>
      <c r="H396" s="8"/>
      <c r="I396" s="9" t="s">
        <v>1788</v>
      </c>
      <c r="J396" s="10"/>
      <c r="K396" s="11">
        <v>10</v>
      </c>
      <c r="L396" s="10"/>
      <c r="M396" s="10" t="s">
        <v>47</v>
      </c>
      <c r="N396" s="10"/>
      <c r="O396" s="2">
        <v>1</v>
      </c>
      <c r="P396" s="17">
        <f>597*(1-S3/100)</f>
        <v>597</v>
      </c>
      <c r="Q396" s="18"/>
      <c r="R396" s="10">
        <f>P396*Q396</f>
        <v>0</v>
      </c>
      <c r="S396" s="19">
        <f>0.459*Q396</f>
        <v>0</v>
      </c>
      <c r="T396" s="20">
        <f>0.00069*Q396</f>
        <v>0</v>
      </c>
      <c r="U396" s="21"/>
      <c r="V396" s="22" t="s">
        <v>1805</v>
      </c>
      <c r="W396" s="22" t="s">
        <v>191</v>
      </c>
      <c r="X396" s="3"/>
      <c r="Y396" s="3" t="s">
        <v>1806</v>
      </c>
      <c r="Z396" s="3" t="s">
        <v>52</v>
      </c>
      <c r="AA396" s="3"/>
      <c r="AB396" s="3"/>
      <c r="AC396" s="3" t="str">
        <f>HYPERLINK("https://knigipp.ru/api/getInfo/image/fd19a6a2-c282-11ef-a268-00155d82e908")</f>
        <v>https://knigipp.ru/api/getInfo/image/fd19a6a2-c282-11ef-a268-00155d82e908</v>
      </c>
      <c r="AD396" s="32">
        <v>336</v>
      </c>
      <c r="AE396" s="3" t="s">
        <v>355</v>
      </c>
      <c r="AF396" s="3" t="s">
        <v>127</v>
      </c>
      <c r="AG396" s="3"/>
      <c r="AH396" s="3" t="s">
        <v>56</v>
      </c>
      <c r="AI396" s="3"/>
      <c r="AJ396" s="3"/>
      <c r="AK396" s="3" t="str">
        <f>HYPERLINK("https://knigipp.ru/api/getInfo/item/fd19a6a2-c282-11ef-a268-00155d82e908")</f>
        <v>https://knigipp.ru/api/getInfo/item/fd19a6a2-c282-11ef-a268-00155d82e908</v>
      </c>
      <c r="AL396" s="3" t="s">
        <v>1791</v>
      </c>
    </row>
    <row r="397" spans="1:38" ht="23.1" customHeight="1" outlineLevel="4" x14ac:dyDescent="0.2">
      <c r="A397" s="55" t="s">
        <v>1807</v>
      </c>
      <c r="B397" s="55"/>
      <c r="C397" s="55"/>
      <c r="D397" s="55"/>
      <c r="E397" s="55"/>
      <c r="F397" s="55"/>
    </row>
    <row r="398" spans="1:38" ht="21" customHeight="1" outlineLevel="5" x14ac:dyDescent="0.2">
      <c r="A398" s="2">
        <v>285</v>
      </c>
      <c r="B398" s="3" t="s">
        <v>1808</v>
      </c>
      <c r="C398" s="49" t="s">
        <v>1809</v>
      </c>
      <c r="D398" s="49"/>
      <c r="E398" s="49"/>
      <c r="F398" s="49"/>
      <c r="G398" s="4" t="s">
        <v>1810</v>
      </c>
      <c r="H398" s="8"/>
      <c r="I398" s="9" t="s">
        <v>1811</v>
      </c>
      <c r="J398" s="10"/>
      <c r="K398" s="11">
        <v>20</v>
      </c>
      <c r="L398" s="10"/>
      <c r="M398" s="10" t="s">
        <v>47</v>
      </c>
      <c r="N398" s="10"/>
      <c r="O398" s="2">
        <v>4</v>
      </c>
      <c r="P398" s="17">
        <f>169*(1-S3/100)</f>
        <v>169</v>
      </c>
      <c r="Q398" s="18"/>
      <c r="R398" s="10">
        <f>P398*Q398</f>
        <v>0</v>
      </c>
      <c r="S398" s="19">
        <f>0.118*Q398</f>
        <v>0</v>
      </c>
      <c r="T398" s="20">
        <f>0.00023*Q398</f>
        <v>0</v>
      </c>
      <c r="U398" s="21"/>
      <c r="V398" s="22" t="s">
        <v>1812</v>
      </c>
      <c r="W398" s="22" t="s">
        <v>191</v>
      </c>
      <c r="X398" s="3"/>
      <c r="Y398" s="3" t="s">
        <v>1813</v>
      </c>
      <c r="Z398" s="3" t="s">
        <v>52</v>
      </c>
      <c r="AA398" s="3"/>
      <c r="AB398" s="3"/>
      <c r="AC398" s="3" t="str">
        <f>HYPERLINK("https://knigipp.ru/api/getInfo/image/06091dab-0c3c-11ef-a25d-00155d82e908")</f>
        <v>https://knigipp.ru/api/getInfo/image/06091dab-0c3c-11ef-a25d-00155d82e908</v>
      </c>
      <c r="AD398" s="32">
        <v>128</v>
      </c>
      <c r="AE398" s="3" t="s">
        <v>54</v>
      </c>
      <c r="AF398" s="3" t="s">
        <v>55</v>
      </c>
      <c r="AG398" s="3"/>
      <c r="AH398" s="3" t="s">
        <v>56</v>
      </c>
      <c r="AI398" s="3"/>
      <c r="AJ398" s="3"/>
      <c r="AK398" s="3" t="str">
        <f>HYPERLINK("https://knigipp.ru/api/getInfo/item/06091dab-0c3c-11ef-a25d-00155d82e908")</f>
        <v>https://knigipp.ru/api/getInfo/item/06091dab-0c3c-11ef-a25d-00155d82e908</v>
      </c>
      <c r="AL398" s="3" t="s">
        <v>1814</v>
      </c>
    </row>
    <row r="399" spans="1:38" ht="21" customHeight="1" outlineLevel="5" x14ac:dyDescent="0.2">
      <c r="A399" s="2">
        <v>286</v>
      </c>
      <c r="B399" s="3" t="s">
        <v>1815</v>
      </c>
      <c r="C399" s="49" t="s">
        <v>1816</v>
      </c>
      <c r="D399" s="49"/>
      <c r="E399" s="49"/>
      <c r="F399" s="49"/>
      <c r="G399" s="4" t="s">
        <v>1817</v>
      </c>
      <c r="H399" s="8"/>
      <c r="I399" s="9" t="s">
        <v>1811</v>
      </c>
      <c r="J399" s="10"/>
      <c r="K399" s="11">
        <v>20</v>
      </c>
      <c r="L399" s="10"/>
      <c r="M399" s="10" t="s">
        <v>47</v>
      </c>
      <c r="N399" s="10"/>
      <c r="O399" s="2">
        <v>4</v>
      </c>
      <c r="P399" s="17">
        <f>169*(1-S3/100)</f>
        <v>169</v>
      </c>
      <c r="Q399" s="18"/>
      <c r="R399" s="10">
        <f>P399*Q399</f>
        <v>0</v>
      </c>
      <c r="S399" s="19">
        <f>0.118*Q399</f>
        <v>0</v>
      </c>
      <c r="T399" s="30">
        <f>0.0003*Q399</f>
        <v>0</v>
      </c>
      <c r="U399" s="21"/>
      <c r="V399" s="22" t="s">
        <v>1818</v>
      </c>
      <c r="W399" s="22" t="s">
        <v>191</v>
      </c>
      <c r="X399" s="3"/>
      <c r="Y399" s="3" t="s">
        <v>1819</v>
      </c>
      <c r="Z399" s="3" t="s">
        <v>52</v>
      </c>
      <c r="AA399" s="3"/>
      <c r="AB399" s="3"/>
      <c r="AC399" s="3" t="str">
        <f>HYPERLINK("https://knigipp.ru/api/getInfo/image/58ffb733-0c3c-11ef-a25d-00155d82e908")</f>
        <v>https://knigipp.ru/api/getInfo/image/58ffb733-0c3c-11ef-a25d-00155d82e908</v>
      </c>
      <c r="AD399" s="32">
        <v>128</v>
      </c>
      <c r="AE399" s="3" t="s">
        <v>54</v>
      </c>
      <c r="AF399" s="3" t="s">
        <v>55</v>
      </c>
      <c r="AG399" s="3"/>
      <c r="AH399" s="3" t="s">
        <v>56</v>
      </c>
      <c r="AI399" s="3"/>
      <c r="AJ399" s="3"/>
      <c r="AK399" s="3" t="str">
        <f>HYPERLINK("https://knigipp.ru/api/getInfo/item/58ffb733-0c3c-11ef-a25d-00155d82e908")</f>
        <v>https://knigipp.ru/api/getInfo/item/58ffb733-0c3c-11ef-a25d-00155d82e908</v>
      </c>
      <c r="AL399" s="3" t="s">
        <v>1814</v>
      </c>
    </row>
    <row r="400" spans="1:38" ht="21" customHeight="1" outlineLevel="5" x14ac:dyDescent="0.2">
      <c r="A400" s="2">
        <v>287</v>
      </c>
      <c r="B400" s="3" t="s">
        <v>1820</v>
      </c>
      <c r="C400" s="49" t="s">
        <v>1821</v>
      </c>
      <c r="D400" s="49"/>
      <c r="E400" s="49"/>
      <c r="F400" s="49"/>
      <c r="G400" s="4" t="s">
        <v>1822</v>
      </c>
      <c r="H400" s="8"/>
      <c r="I400" s="9" t="s">
        <v>1811</v>
      </c>
      <c r="J400" s="10"/>
      <c r="K400" s="11">
        <v>20</v>
      </c>
      <c r="L400" s="10"/>
      <c r="M400" s="10" t="s">
        <v>47</v>
      </c>
      <c r="N400" s="10"/>
      <c r="O400" s="2">
        <v>4</v>
      </c>
      <c r="P400" s="17">
        <f>169*(1-S3/100)</f>
        <v>169</v>
      </c>
      <c r="Q400" s="18"/>
      <c r="R400" s="10">
        <f>P400*Q400</f>
        <v>0</v>
      </c>
      <c r="S400" s="19">
        <f>0.116*Q400</f>
        <v>0</v>
      </c>
      <c r="T400" s="20">
        <f>0.00028*Q400</f>
        <v>0</v>
      </c>
      <c r="U400" s="21"/>
      <c r="V400" s="22" t="s">
        <v>1823</v>
      </c>
      <c r="W400" s="22" t="s">
        <v>191</v>
      </c>
      <c r="X400" s="3"/>
      <c r="Y400" s="3" t="s">
        <v>1824</v>
      </c>
      <c r="Z400" s="3" t="s">
        <v>52</v>
      </c>
      <c r="AA400" s="3"/>
      <c r="AB400" s="3"/>
      <c r="AC400" s="3" t="str">
        <f>HYPERLINK("https://knigipp.ru/api/getInfo/image/77df6493-0c3c-11ef-a25d-00155d82e908")</f>
        <v>https://knigipp.ru/api/getInfo/image/77df6493-0c3c-11ef-a25d-00155d82e908</v>
      </c>
      <c r="AD400" s="32">
        <v>128</v>
      </c>
      <c r="AE400" s="3" t="s">
        <v>54</v>
      </c>
      <c r="AF400" s="3" t="s">
        <v>55</v>
      </c>
      <c r="AG400" s="3"/>
      <c r="AH400" s="3" t="s">
        <v>56</v>
      </c>
      <c r="AI400" s="3"/>
      <c r="AJ400" s="3"/>
      <c r="AK400" s="3" t="str">
        <f>HYPERLINK("https://knigipp.ru/api/getInfo/item/77df6493-0c3c-11ef-a25d-00155d82e908")</f>
        <v>https://knigipp.ru/api/getInfo/item/77df6493-0c3c-11ef-a25d-00155d82e908</v>
      </c>
      <c r="AL400" s="3" t="s">
        <v>1814</v>
      </c>
    </row>
    <row r="401" spans="1:38" ht="23.1" customHeight="1" outlineLevel="4" x14ac:dyDescent="0.2">
      <c r="A401" s="55" t="s">
        <v>1825</v>
      </c>
      <c r="B401" s="55"/>
      <c r="C401" s="55"/>
      <c r="D401" s="55"/>
      <c r="E401" s="55"/>
      <c r="F401" s="55"/>
    </row>
    <row r="402" spans="1:38" ht="21" customHeight="1" outlineLevel="5" x14ac:dyDescent="0.2">
      <c r="A402" s="2">
        <v>288</v>
      </c>
      <c r="B402" s="3" t="s">
        <v>1826</v>
      </c>
      <c r="C402" s="49" t="s">
        <v>1827</v>
      </c>
      <c r="D402" s="49"/>
      <c r="E402" s="49"/>
      <c r="F402" s="49"/>
      <c r="G402" s="4" t="s">
        <v>1828</v>
      </c>
      <c r="H402" s="8"/>
      <c r="I402" s="9" t="s">
        <v>1829</v>
      </c>
      <c r="J402" s="10"/>
      <c r="K402" s="11">
        <v>10</v>
      </c>
      <c r="L402" s="10"/>
      <c r="M402" s="10" t="s">
        <v>78</v>
      </c>
      <c r="N402" s="10"/>
      <c r="O402" s="2">
        <v>3</v>
      </c>
      <c r="P402" s="17">
        <f>227*(1-S3/100)</f>
        <v>227</v>
      </c>
      <c r="Q402" s="18"/>
      <c r="R402" s="10">
        <f>P402*Q402</f>
        <v>0</v>
      </c>
      <c r="S402" s="19">
        <f>0.043*Q402</f>
        <v>0</v>
      </c>
      <c r="T402" s="20">
        <f>0.00009*Q402</f>
        <v>0</v>
      </c>
      <c r="U402" s="21"/>
      <c r="V402" s="22" t="s">
        <v>1830</v>
      </c>
      <c r="W402" s="22" t="s">
        <v>191</v>
      </c>
      <c r="X402" s="3"/>
      <c r="Y402" s="3" t="s">
        <v>1831</v>
      </c>
      <c r="Z402" s="3" t="s">
        <v>52</v>
      </c>
      <c r="AA402" s="3"/>
      <c r="AB402" s="3"/>
      <c r="AC402" s="3" t="str">
        <f>HYPERLINK("https://knigipp.ru/api/getInfo/image/7b2d438f-0e3e-11f0-a279-00155d82e908")</f>
        <v>https://knigipp.ru/api/getInfo/image/7b2d438f-0e3e-11f0-a279-00155d82e908</v>
      </c>
      <c r="AD402" s="32">
        <v>96</v>
      </c>
      <c r="AE402" s="3" t="s">
        <v>54</v>
      </c>
      <c r="AF402" s="3" t="s">
        <v>127</v>
      </c>
      <c r="AG402" s="3"/>
      <c r="AH402" s="3" t="s">
        <v>56</v>
      </c>
      <c r="AI402" s="3"/>
      <c r="AJ402" s="3"/>
      <c r="AK402" s="3" t="str">
        <f>HYPERLINK("https://knigipp.ru/api/getInfo/item/7b2d438f-0e3e-11f0-a279-00155d82e908")</f>
        <v>https://knigipp.ru/api/getInfo/item/7b2d438f-0e3e-11f0-a279-00155d82e908</v>
      </c>
      <c r="AL402" s="3" t="s">
        <v>1832</v>
      </c>
    </row>
    <row r="403" spans="1:38" ht="21" customHeight="1" outlineLevel="5" x14ac:dyDescent="0.2">
      <c r="A403" s="2">
        <v>289</v>
      </c>
      <c r="B403" s="3" t="s">
        <v>1833</v>
      </c>
      <c r="C403" s="49" t="s">
        <v>1834</v>
      </c>
      <c r="D403" s="49"/>
      <c r="E403" s="49"/>
      <c r="F403" s="49"/>
      <c r="G403" s="4" t="s">
        <v>1835</v>
      </c>
      <c r="H403" s="8"/>
      <c r="I403" s="9" t="s">
        <v>1829</v>
      </c>
      <c r="J403" s="10"/>
      <c r="K403" s="11">
        <v>10</v>
      </c>
      <c r="L403" s="10"/>
      <c r="M403" s="10" t="s">
        <v>47</v>
      </c>
      <c r="N403" s="10"/>
      <c r="O403" s="2">
        <v>3</v>
      </c>
      <c r="P403" s="17">
        <f>227*(1-S3/100)</f>
        <v>227</v>
      </c>
      <c r="Q403" s="18"/>
      <c r="R403" s="10">
        <f>P403*Q403</f>
        <v>0</v>
      </c>
      <c r="S403" s="19">
        <f>0.043*Q403</f>
        <v>0</v>
      </c>
      <c r="T403" s="20">
        <f>0.00009*Q403</f>
        <v>0</v>
      </c>
      <c r="U403" s="21"/>
      <c r="V403" s="22" t="s">
        <v>1836</v>
      </c>
      <c r="W403" s="22" t="s">
        <v>191</v>
      </c>
      <c r="X403" s="3"/>
      <c r="Y403" s="3" t="s">
        <v>1837</v>
      </c>
      <c r="Z403" s="3" t="s">
        <v>52</v>
      </c>
      <c r="AA403" s="3"/>
      <c r="AB403" s="3"/>
      <c r="AC403" s="3" t="str">
        <f>HYPERLINK("https://knigipp.ru/api/getInfo/image/49d0fd5c-0e3e-11f0-a279-00155d82e908")</f>
        <v>https://knigipp.ru/api/getInfo/image/49d0fd5c-0e3e-11f0-a279-00155d82e908</v>
      </c>
      <c r="AD403" s="32">
        <v>96</v>
      </c>
      <c r="AE403" s="3" t="s">
        <v>54</v>
      </c>
      <c r="AF403" s="3" t="s">
        <v>127</v>
      </c>
      <c r="AG403" s="3"/>
      <c r="AH403" s="3" t="s">
        <v>56</v>
      </c>
      <c r="AI403" s="3"/>
      <c r="AJ403" s="3"/>
      <c r="AK403" s="3" t="str">
        <f>HYPERLINK("https://knigipp.ru/api/getInfo/item/49d0fd5c-0e3e-11f0-a279-00155d82e908")</f>
        <v>https://knigipp.ru/api/getInfo/item/49d0fd5c-0e3e-11f0-a279-00155d82e908</v>
      </c>
      <c r="AL403" s="3" t="s">
        <v>1832</v>
      </c>
    </row>
    <row r="404" spans="1:38" ht="21" customHeight="1" outlineLevel="5" x14ac:dyDescent="0.2">
      <c r="A404" s="2">
        <v>290</v>
      </c>
      <c r="B404" s="3" t="s">
        <v>1838</v>
      </c>
      <c r="C404" s="49" t="s">
        <v>1839</v>
      </c>
      <c r="D404" s="49"/>
      <c r="E404" s="49"/>
      <c r="F404" s="49"/>
      <c r="G404" s="4" t="s">
        <v>1840</v>
      </c>
      <c r="H404" s="8"/>
      <c r="I404" s="9" t="s">
        <v>1829</v>
      </c>
      <c r="J404" s="10"/>
      <c r="K404" s="11">
        <v>10</v>
      </c>
      <c r="L404" s="10"/>
      <c r="M404" s="10" t="s">
        <v>78</v>
      </c>
      <c r="N404" s="10"/>
      <c r="O404" s="2">
        <v>3</v>
      </c>
      <c r="P404" s="17">
        <f>227*(1-S3/100)</f>
        <v>227</v>
      </c>
      <c r="Q404" s="18"/>
      <c r="R404" s="10">
        <f>P404*Q404</f>
        <v>0</v>
      </c>
      <c r="S404" s="19">
        <f>0.043*Q404</f>
        <v>0</v>
      </c>
      <c r="T404" s="20">
        <f>0.00009*Q404</f>
        <v>0</v>
      </c>
      <c r="U404" s="21"/>
      <c r="V404" s="22" t="s">
        <v>1841</v>
      </c>
      <c r="W404" s="22" t="s">
        <v>191</v>
      </c>
      <c r="X404" s="3"/>
      <c r="Y404" s="3" t="s">
        <v>1842</v>
      </c>
      <c r="Z404" s="3" t="s">
        <v>52</v>
      </c>
      <c r="AA404" s="3"/>
      <c r="AB404" s="3"/>
      <c r="AC404" s="3" t="str">
        <f>HYPERLINK("https://knigipp.ru/api/getInfo/image/9e3c473d-0e3e-11f0-a279-00155d82e908")</f>
        <v>https://knigipp.ru/api/getInfo/image/9e3c473d-0e3e-11f0-a279-00155d82e908</v>
      </c>
      <c r="AD404" s="32">
        <v>96</v>
      </c>
      <c r="AE404" s="3" t="s">
        <v>54</v>
      </c>
      <c r="AF404" s="3" t="s">
        <v>127</v>
      </c>
      <c r="AG404" s="3"/>
      <c r="AH404" s="3" t="s">
        <v>56</v>
      </c>
      <c r="AI404" s="3"/>
      <c r="AJ404" s="3"/>
      <c r="AK404" s="3" t="str">
        <f>HYPERLINK("https://knigipp.ru/api/getInfo/item/9e3c473d-0e3e-11f0-a279-00155d82e908")</f>
        <v>https://knigipp.ru/api/getInfo/item/9e3c473d-0e3e-11f0-a279-00155d82e908</v>
      </c>
      <c r="AL404" s="3" t="s">
        <v>1832</v>
      </c>
    </row>
    <row r="405" spans="1:38" ht="23.1" customHeight="1" outlineLevel="4" x14ac:dyDescent="0.2">
      <c r="A405" s="55" t="s">
        <v>1843</v>
      </c>
      <c r="B405" s="55"/>
      <c r="C405" s="55"/>
      <c r="D405" s="55"/>
      <c r="E405" s="55"/>
      <c r="F405" s="55"/>
    </row>
    <row r="406" spans="1:38" ht="21" customHeight="1" outlineLevel="5" x14ac:dyDescent="0.2">
      <c r="A406" s="5">
        <v>291</v>
      </c>
      <c r="B406" s="6" t="s">
        <v>1844</v>
      </c>
      <c r="C406" s="54" t="s">
        <v>1845</v>
      </c>
      <c r="D406" s="54"/>
      <c r="E406" s="54"/>
      <c r="F406" s="54"/>
      <c r="G406" s="7" t="s">
        <v>1846</v>
      </c>
      <c r="H406" s="12"/>
      <c r="I406" s="13"/>
      <c r="J406" s="14"/>
      <c r="K406" s="15">
        <v>10</v>
      </c>
      <c r="L406" s="14"/>
      <c r="M406" s="14" t="s">
        <v>47</v>
      </c>
      <c r="N406" s="14"/>
      <c r="O406" s="5">
        <v>1</v>
      </c>
      <c r="P406" s="23">
        <f>99*(1-S3/100)</f>
        <v>99</v>
      </c>
      <c r="Q406" s="18"/>
      <c r="R406" s="14">
        <f>P406*Q406</f>
        <v>0</v>
      </c>
      <c r="S406" s="24">
        <f>0.098*Q406</f>
        <v>0</v>
      </c>
      <c r="T406" s="25">
        <f>0.00023*Q406</f>
        <v>0</v>
      </c>
      <c r="U406" s="26" t="s">
        <v>62</v>
      </c>
      <c r="V406" s="27" t="s">
        <v>1847</v>
      </c>
      <c r="W406" s="27" t="s">
        <v>191</v>
      </c>
      <c r="X406" s="6"/>
      <c r="Y406" s="6"/>
      <c r="Z406" s="6" t="s">
        <v>52</v>
      </c>
      <c r="AA406" s="6"/>
      <c r="AB406" s="6"/>
      <c r="AC406" s="6" t="str">
        <f>HYPERLINK("https://knigipp.ru/api/getInfo/image/33a93652-7b79-11f1-a29a-00155d82e908")</f>
        <v>https://knigipp.ru/api/getInfo/image/33a93652-7b79-11f1-a29a-00155d82e908</v>
      </c>
      <c r="AD406" s="33">
        <v>80</v>
      </c>
      <c r="AE406" s="6" t="s">
        <v>355</v>
      </c>
      <c r="AF406" s="6" t="s">
        <v>136</v>
      </c>
      <c r="AG406" s="6"/>
      <c r="AH406" s="6"/>
      <c r="AI406" s="6"/>
      <c r="AJ406" s="6"/>
      <c r="AK406" s="6" t="str">
        <f>HYPERLINK("https://knigipp.ru/api/getInfo/item/33a93652-7b79-11f1-a29a-00155d82e908")</f>
        <v>https://knigipp.ru/api/getInfo/item/33a93652-7b79-11f1-a29a-00155d82e908</v>
      </c>
      <c r="AL406" s="6" t="s">
        <v>1848</v>
      </c>
    </row>
    <row r="407" spans="1:38" ht="21" customHeight="1" outlineLevel="5" x14ac:dyDescent="0.2">
      <c r="A407" s="5">
        <v>292</v>
      </c>
      <c r="B407" s="6" t="s">
        <v>1849</v>
      </c>
      <c r="C407" s="54" t="s">
        <v>1850</v>
      </c>
      <c r="D407" s="54"/>
      <c r="E407" s="54"/>
      <c r="F407" s="54"/>
      <c r="G407" s="7" t="s">
        <v>1851</v>
      </c>
      <c r="H407" s="12"/>
      <c r="I407" s="13"/>
      <c r="J407" s="14"/>
      <c r="K407" s="15">
        <v>10</v>
      </c>
      <c r="L407" s="14"/>
      <c r="M407" s="14" t="s">
        <v>47</v>
      </c>
      <c r="N407" s="14"/>
      <c r="O407" s="5">
        <v>1</v>
      </c>
      <c r="P407" s="23">
        <f>99*(1-S3/100)</f>
        <v>99</v>
      </c>
      <c r="Q407" s="18"/>
      <c r="R407" s="14">
        <f>P407*Q407</f>
        <v>0</v>
      </c>
      <c r="S407" s="24">
        <f>0.099*Q407</f>
        <v>0</v>
      </c>
      <c r="T407" s="25">
        <f>0.00023*Q407</f>
        <v>0</v>
      </c>
      <c r="U407" s="26" t="s">
        <v>62</v>
      </c>
      <c r="V407" s="27" t="s">
        <v>1852</v>
      </c>
      <c r="W407" s="27" t="s">
        <v>191</v>
      </c>
      <c r="X407" s="6"/>
      <c r="Y407" s="6"/>
      <c r="Z407" s="6" t="s">
        <v>52</v>
      </c>
      <c r="AA407" s="6"/>
      <c r="AB407" s="6"/>
      <c r="AC407" s="6" t="str">
        <f>HYPERLINK("https://knigipp.ru/api/getInfo/image/869ed663-7b79-11f1-a29a-00155d82e908")</f>
        <v>https://knigipp.ru/api/getInfo/image/869ed663-7b79-11f1-a29a-00155d82e908</v>
      </c>
      <c r="AD407" s="33">
        <v>80</v>
      </c>
      <c r="AE407" s="6" t="s">
        <v>355</v>
      </c>
      <c r="AF407" s="6" t="s">
        <v>136</v>
      </c>
      <c r="AG407" s="6"/>
      <c r="AH407" s="6"/>
      <c r="AI407" s="6"/>
      <c r="AJ407" s="6"/>
      <c r="AK407" s="6" t="str">
        <f>HYPERLINK("https://knigipp.ru/api/getInfo/item/869ed663-7b79-11f1-a29a-00155d82e908")</f>
        <v>https://knigipp.ru/api/getInfo/item/869ed663-7b79-11f1-a29a-00155d82e908</v>
      </c>
      <c r="AL407" s="6" t="s">
        <v>1848</v>
      </c>
    </row>
    <row r="408" spans="1:38" ht="21" customHeight="1" outlineLevel="5" x14ac:dyDescent="0.2">
      <c r="A408" s="5">
        <v>293</v>
      </c>
      <c r="B408" s="6" t="s">
        <v>1853</v>
      </c>
      <c r="C408" s="54" t="s">
        <v>1854</v>
      </c>
      <c r="D408" s="54"/>
      <c r="E408" s="54"/>
      <c r="F408" s="54"/>
      <c r="G408" s="7" t="s">
        <v>1855</v>
      </c>
      <c r="H408" s="12"/>
      <c r="I408" s="13"/>
      <c r="J408" s="14"/>
      <c r="K408" s="15">
        <v>10</v>
      </c>
      <c r="L408" s="14"/>
      <c r="M408" s="14" t="s">
        <v>47</v>
      </c>
      <c r="N408" s="14"/>
      <c r="O408" s="5">
        <v>1</v>
      </c>
      <c r="P408" s="23">
        <f>99*(1-S3/100)</f>
        <v>99</v>
      </c>
      <c r="Q408" s="18"/>
      <c r="R408" s="14">
        <f>P408*Q408</f>
        <v>0</v>
      </c>
      <c r="S408" s="34">
        <f>0.1*Q408</f>
        <v>0</v>
      </c>
      <c r="T408" s="31">
        <f>0.0002*Q408</f>
        <v>0</v>
      </c>
      <c r="U408" s="26" t="s">
        <v>62</v>
      </c>
      <c r="V408" s="27" t="s">
        <v>1856</v>
      </c>
      <c r="W408" s="27" t="s">
        <v>191</v>
      </c>
      <c r="X408" s="6"/>
      <c r="Y408" s="6"/>
      <c r="Z408" s="6" t="s">
        <v>52</v>
      </c>
      <c r="AA408" s="6"/>
      <c r="AB408" s="6"/>
      <c r="AC408" s="6" t="str">
        <f>HYPERLINK("https://knigipp.ru/api/getInfo/image/60d0bbf7-7b79-11f1-a29a-00155d82e908")</f>
        <v>https://knigipp.ru/api/getInfo/image/60d0bbf7-7b79-11f1-a29a-00155d82e908</v>
      </c>
      <c r="AD408" s="33">
        <v>80</v>
      </c>
      <c r="AE408" s="6" t="s">
        <v>355</v>
      </c>
      <c r="AF408" s="6" t="s">
        <v>136</v>
      </c>
      <c r="AG408" s="6"/>
      <c r="AH408" s="6"/>
      <c r="AI408" s="6"/>
      <c r="AJ408" s="6"/>
      <c r="AK408" s="6" t="str">
        <f>HYPERLINK("https://knigipp.ru/api/getInfo/item/60d0bbf7-7b79-11f1-a29a-00155d82e908")</f>
        <v>https://knigipp.ru/api/getInfo/item/60d0bbf7-7b79-11f1-a29a-00155d82e908</v>
      </c>
      <c r="AL408" s="6" t="s">
        <v>1848</v>
      </c>
    </row>
    <row r="409" spans="1:38" ht="21" customHeight="1" outlineLevel="5" x14ac:dyDescent="0.2">
      <c r="A409" s="5">
        <v>294</v>
      </c>
      <c r="B409" s="6" t="s">
        <v>1857</v>
      </c>
      <c r="C409" s="54" t="s">
        <v>1858</v>
      </c>
      <c r="D409" s="54"/>
      <c r="E409" s="54"/>
      <c r="F409" s="54"/>
      <c r="G409" s="7" t="s">
        <v>1859</v>
      </c>
      <c r="H409" s="12"/>
      <c r="I409" s="13"/>
      <c r="J409" s="14"/>
      <c r="K409" s="15">
        <v>10</v>
      </c>
      <c r="L409" s="14"/>
      <c r="M409" s="14" t="s">
        <v>47</v>
      </c>
      <c r="N409" s="14"/>
      <c r="O409" s="5">
        <v>1</v>
      </c>
      <c r="P409" s="23">
        <f>99*(1-S3/100)</f>
        <v>99</v>
      </c>
      <c r="Q409" s="18"/>
      <c r="R409" s="14">
        <f>P409*Q409</f>
        <v>0</v>
      </c>
      <c r="S409" s="34">
        <f>0.1*Q409</f>
        <v>0</v>
      </c>
      <c r="T409" s="25">
        <f>0.00014*Q409</f>
        <v>0</v>
      </c>
      <c r="U409" s="26" t="s">
        <v>62</v>
      </c>
      <c r="V409" s="27" t="s">
        <v>1860</v>
      </c>
      <c r="W409" s="27" t="s">
        <v>191</v>
      </c>
      <c r="X409" s="6"/>
      <c r="Y409" s="6"/>
      <c r="Z409" s="6" t="s">
        <v>52</v>
      </c>
      <c r="AA409" s="6"/>
      <c r="AB409" s="6"/>
      <c r="AC409" s="6" t="str">
        <f>HYPERLINK("https://knigipp.ru/api/getInfo/image/f4f8fba5-7b78-11f1-a29a-00155d82e908")</f>
        <v>https://knigipp.ru/api/getInfo/image/f4f8fba5-7b78-11f1-a29a-00155d82e908</v>
      </c>
      <c r="AD409" s="33">
        <v>80</v>
      </c>
      <c r="AE409" s="6" t="s">
        <v>355</v>
      </c>
      <c r="AF409" s="6" t="s">
        <v>136</v>
      </c>
      <c r="AG409" s="6"/>
      <c r="AH409" s="6"/>
      <c r="AI409" s="6"/>
      <c r="AJ409" s="6"/>
      <c r="AK409" s="6" t="str">
        <f>HYPERLINK("https://knigipp.ru/api/getInfo/item/f4f8fba5-7b78-11f1-a29a-00155d82e908")</f>
        <v>https://knigipp.ru/api/getInfo/item/f4f8fba5-7b78-11f1-a29a-00155d82e908</v>
      </c>
      <c r="AL409" s="6" t="s">
        <v>1848</v>
      </c>
    </row>
    <row r="410" spans="1:38" ht="23.1" customHeight="1" outlineLevel="4" x14ac:dyDescent="0.2">
      <c r="A410" s="55" t="s">
        <v>1861</v>
      </c>
      <c r="B410" s="55"/>
      <c r="C410" s="55"/>
      <c r="D410" s="55"/>
      <c r="E410" s="55"/>
      <c r="F410" s="55"/>
    </row>
    <row r="411" spans="1:38" ht="21" customHeight="1" outlineLevel="5" x14ac:dyDescent="0.2">
      <c r="A411" s="2">
        <v>295</v>
      </c>
      <c r="B411" s="3" t="s">
        <v>1862</v>
      </c>
      <c r="C411" s="49" t="s">
        <v>1863</v>
      </c>
      <c r="D411" s="49"/>
      <c r="E411" s="49"/>
      <c r="F411" s="49"/>
      <c r="G411" s="4" t="s">
        <v>1864</v>
      </c>
      <c r="H411" s="8"/>
      <c r="I411" s="9" t="s">
        <v>1865</v>
      </c>
      <c r="J411" s="10"/>
      <c r="K411" s="11">
        <v>10</v>
      </c>
      <c r="L411" s="10"/>
      <c r="M411" s="10" t="s">
        <v>47</v>
      </c>
      <c r="N411" s="10"/>
      <c r="O411" s="2">
        <v>8</v>
      </c>
      <c r="P411" s="17">
        <f>77*(1-S3/100)</f>
        <v>77</v>
      </c>
      <c r="Q411" s="18"/>
      <c r="R411" s="10">
        <f>P411*Q411</f>
        <v>0</v>
      </c>
      <c r="S411" s="19">
        <f>0.044*Q411</f>
        <v>0</v>
      </c>
      <c r="T411" s="20">
        <f>0.00013*Q411</f>
        <v>0</v>
      </c>
      <c r="U411" s="21"/>
      <c r="V411" s="22" t="s">
        <v>1866</v>
      </c>
      <c r="W411" s="22" t="s">
        <v>191</v>
      </c>
      <c r="X411" s="3"/>
      <c r="Y411" s="3" t="s">
        <v>1867</v>
      </c>
      <c r="Z411" s="3" t="s">
        <v>52</v>
      </c>
      <c r="AA411" s="3"/>
      <c r="AB411" s="3"/>
      <c r="AC411" s="3" t="str">
        <f>HYPERLINK("https://knigipp.ru/api/getInfo/image/18911587-3551-11ef-a261-00155d82e908")</f>
        <v>https://knigipp.ru/api/getInfo/image/18911587-3551-11ef-a261-00155d82e908</v>
      </c>
      <c r="AD411" s="32">
        <v>64</v>
      </c>
      <c r="AE411" s="3" t="s">
        <v>355</v>
      </c>
      <c r="AF411" s="3" t="s">
        <v>136</v>
      </c>
      <c r="AG411" s="3"/>
      <c r="AH411" s="3" t="s">
        <v>56</v>
      </c>
      <c r="AI411" s="3"/>
      <c r="AJ411" s="3"/>
      <c r="AK411" s="3" t="str">
        <f>HYPERLINK("https://knigipp.ru/api/getInfo/item/18911587-3551-11ef-a261-00155d82e908")</f>
        <v>https://knigipp.ru/api/getInfo/item/18911587-3551-11ef-a261-00155d82e908</v>
      </c>
      <c r="AL411" s="3" t="s">
        <v>1868</v>
      </c>
    </row>
    <row r="412" spans="1:38" ht="21" customHeight="1" outlineLevel="5" x14ac:dyDescent="0.2">
      <c r="A412" s="2">
        <v>296</v>
      </c>
      <c r="B412" s="3" t="s">
        <v>1869</v>
      </c>
      <c r="C412" s="49" t="s">
        <v>1870</v>
      </c>
      <c r="D412" s="49"/>
      <c r="E412" s="49"/>
      <c r="F412" s="49"/>
      <c r="G412" s="4" t="s">
        <v>1871</v>
      </c>
      <c r="H412" s="8"/>
      <c r="I412" s="9" t="s">
        <v>1865</v>
      </c>
      <c r="J412" s="10"/>
      <c r="K412" s="11">
        <v>10</v>
      </c>
      <c r="L412" s="10"/>
      <c r="M412" s="10" t="s">
        <v>47</v>
      </c>
      <c r="N412" s="10"/>
      <c r="O412" s="2">
        <v>8</v>
      </c>
      <c r="P412" s="17">
        <f>77*(1-S3/100)</f>
        <v>77</v>
      </c>
      <c r="Q412" s="18"/>
      <c r="R412" s="10">
        <f>P412*Q412</f>
        <v>0</v>
      </c>
      <c r="S412" s="19">
        <f>0.051*Q412</f>
        <v>0</v>
      </c>
      <c r="T412" s="20">
        <f>0.00011*Q412</f>
        <v>0</v>
      </c>
      <c r="U412" s="21"/>
      <c r="V412" s="22" t="s">
        <v>1872</v>
      </c>
      <c r="W412" s="22" t="s">
        <v>191</v>
      </c>
      <c r="X412" s="3"/>
      <c r="Y412" s="3" t="s">
        <v>1873</v>
      </c>
      <c r="Z412" s="3" t="s">
        <v>52</v>
      </c>
      <c r="AA412" s="3"/>
      <c r="AB412" s="3"/>
      <c r="AC412" s="3" t="str">
        <f>HYPERLINK("https://knigipp.ru/api/getInfo/image/d5282050-3550-11ef-a261-00155d82e908")</f>
        <v>https://knigipp.ru/api/getInfo/image/d5282050-3550-11ef-a261-00155d82e908</v>
      </c>
      <c r="AD412" s="32">
        <v>64</v>
      </c>
      <c r="AE412" s="3" t="s">
        <v>355</v>
      </c>
      <c r="AF412" s="3" t="s">
        <v>136</v>
      </c>
      <c r="AG412" s="3"/>
      <c r="AH412" s="3" t="s">
        <v>56</v>
      </c>
      <c r="AI412" s="3"/>
      <c r="AJ412" s="3"/>
      <c r="AK412" s="3" t="str">
        <f>HYPERLINK("https://knigipp.ru/api/getInfo/item/d5282050-3550-11ef-a261-00155d82e908")</f>
        <v>https://knigipp.ru/api/getInfo/item/d5282050-3550-11ef-a261-00155d82e908</v>
      </c>
      <c r="AL412" s="3" t="s">
        <v>1868</v>
      </c>
    </row>
    <row r="413" spans="1:38" ht="21" customHeight="1" outlineLevel="5" x14ac:dyDescent="0.2">
      <c r="A413" s="2">
        <v>297</v>
      </c>
      <c r="B413" s="3" t="s">
        <v>1874</v>
      </c>
      <c r="C413" s="49" t="s">
        <v>1875</v>
      </c>
      <c r="D413" s="49"/>
      <c r="E413" s="49"/>
      <c r="F413" s="49"/>
      <c r="G413" s="4" t="s">
        <v>1876</v>
      </c>
      <c r="H413" s="8"/>
      <c r="I413" s="9" t="s">
        <v>1865</v>
      </c>
      <c r="J413" s="10"/>
      <c r="K413" s="11">
        <v>10</v>
      </c>
      <c r="L413" s="10"/>
      <c r="M413" s="10" t="s">
        <v>47</v>
      </c>
      <c r="N413" s="10"/>
      <c r="O413" s="2">
        <v>8</v>
      </c>
      <c r="P413" s="17">
        <f>77*(1-S3/100)</f>
        <v>77</v>
      </c>
      <c r="Q413" s="18"/>
      <c r="R413" s="10">
        <f>P413*Q413</f>
        <v>0</v>
      </c>
      <c r="S413" s="19">
        <f>0.044*Q413</f>
        <v>0</v>
      </c>
      <c r="T413" s="20">
        <f>0.00013*Q413</f>
        <v>0</v>
      </c>
      <c r="U413" s="21"/>
      <c r="V413" s="22" t="s">
        <v>1877</v>
      </c>
      <c r="W413" s="22" t="s">
        <v>191</v>
      </c>
      <c r="X413" s="3"/>
      <c r="Y413" s="3" t="s">
        <v>1878</v>
      </c>
      <c r="Z413" s="3" t="s">
        <v>52</v>
      </c>
      <c r="AA413" s="3"/>
      <c r="AB413" s="3"/>
      <c r="AC413" s="3" t="str">
        <f>HYPERLINK("https://knigipp.ru/api/getInfo/image/3de76814-3551-11ef-a261-00155d82e908")</f>
        <v>https://knigipp.ru/api/getInfo/image/3de76814-3551-11ef-a261-00155d82e908</v>
      </c>
      <c r="AD413" s="32">
        <v>64</v>
      </c>
      <c r="AE413" s="3" t="s">
        <v>355</v>
      </c>
      <c r="AF413" s="3" t="s">
        <v>136</v>
      </c>
      <c r="AG413" s="3"/>
      <c r="AH413" s="3" t="s">
        <v>56</v>
      </c>
      <c r="AI413" s="3"/>
      <c r="AJ413" s="3"/>
      <c r="AK413" s="3" t="str">
        <f>HYPERLINK("https://knigipp.ru/api/getInfo/item/3de76814-3551-11ef-a261-00155d82e908")</f>
        <v>https://knigipp.ru/api/getInfo/item/3de76814-3551-11ef-a261-00155d82e908</v>
      </c>
      <c r="AL413" s="3" t="s">
        <v>1868</v>
      </c>
    </row>
    <row r="414" spans="1:38" ht="21" customHeight="1" outlineLevel="5" x14ac:dyDescent="0.2">
      <c r="A414" s="2">
        <v>298</v>
      </c>
      <c r="B414" s="3" t="s">
        <v>1879</v>
      </c>
      <c r="C414" s="49" t="s">
        <v>1880</v>
      </c>
      <c r="D414" s="49"/>
      <c r="E414" s="49"/>
      <c r="F414" s="49"/>
      <c r="G414" s="4" t="s">
        <v>1881</v>
      </c>
      <c r="H414" s="8"/>
      <c r="I414" s="9" t="s">
        <v>1865</v>
      </c>
      <c r="J414" s="10"/>
      <c r="K414" s="11">
        <v>10</v>
      </c>
      <c r="L414" s="10"/>
      <c r="M414" s="10" t="s">
        <v>47</v>
      </c>
      <c r="N414" s="10"/>
      <c r="O414" s="2">
        <v>8</v>
      </c>
      <c r="P414" s="17">
        <f>77*(1-S3/100)</f>
        <v>77</v>
      </c>
      <c r="Q414" s="18"/>
      <c r="R414" s="10">
        <f>P414*Q414</f>
        <v>0</v>
      </c>
      <c r="S414" s="19">
        <f>0.047*Q414</f>
        <v>0</v>
      </c>
      <c r="T414" s="20">
        <f>0.00013*Q414</f>
        <v>0</v>
      </c>
      <c r="U414" s="21"/>
      <c r="V414" s="22" t="s">
        <v>1882</v>
      </c>
      <c r="W414" s="22" t="s">
        <v>191</v>
      </c>
      <c r="X414" s="3"/>
      <c r="Y414" s="3" t="s">
        <v>1883</v>
      </c>
      <c r="Z414" s="3" t="s">
        <v>52</v>
      </c>
      <c r="AA414" s="3"/>
      <c r="AB414" s="3"/>
      <c r="AC414" s="3" t="str">
        <f>HYPERLINK("https://knigipp.ru/api/getInfo/image/001035cb-3551-11ef-a261-00155d82e908")</f>
        <v>https://knigipp.ru/api/getInfo/image/001035cb-3551-11ef-a261-00155d82e908</v>
      </c>
      <c r="AD414" s="32">
        <v>64</v>
      </c>
      <c r="AE414" s="3" t="s">
        <v>355</v>
      </c>
      <c r="AF414" s="3" t="s">
        <v>136</v>
      </c>
      <c r="AG414" s="3"/>
      <c r="AH414" s="3" t="s">
        <v>56</v>
      </c>
      <c r="AI414" s="3"/>
      <c r="AJ414" s="3"/>
      <c r="AK414" s="3" t="str">
        <f>HYPERLINK("https://knigipp.ru/api/getInfo/item/001035cb-3551-11ef-a261-00155d82e908")</f>
        <v>https://knigipp.ru/api/getInfo/item/001035cb-3551-11ef-a261-00155d82e908</v>
      </c>
      <c r="AL414" s="3" t="s">
        <v>1868</v>
      </c>
    </row>
    <row r="415" spans="1:38" ht="23.1" customHeight="1" outlineLevel="4" x14ac:dyDescent="0.2">
      <c r="A415" s="55" t="s">
        <v>1884</v>
      </c>
      <c r="B415" s="55"/>
      <c r="C415" s="55"/>
      <c r="D415" s="55"/>
      <c r="E415" s="55"/>
      <c r="F415" s="55"/>
    </row>
    <row r="416" spans="1:38" ht="21" customHeight="1" outlineLevel="5" x14ac:dyDescent="0.2">
      <c r="A416" s="2">
        <v>299</v>
      </c>
      <c r="B416" s="3" t="s">
        <v>1885</v>
      </c>
      <c r="C416" s="49" t="s">
        <v>1886</v>
      </c>
      <c r="D416" s="49"/>
      <c r="E416" s="49"/>
      <c r="F416" s="49"/>
      <c r="G416" s="4" t="s">
        <v>1887</v>
      </c>
      <c r="H416" s="8"/>
      <c r="I416" s="9" t="s">
        <v>1811</v>
      </c>
      <c r="J416" s="10"/>
      <c r="K416" s="11">
        <v>10</v>
      </c>
      <c r="L416" s="10"/>
      <c r="M416" s="10" t="s">
        <v>78</v>
      </c>
      <c r="N416" s="10"/>
      <c r="O416" s="2">
        <v>7</v>
      </c>
      <c r="P416" s="17">
        <f>99*(1-S3/100)</f>
        <v>99</v>
      </c>
      <c r="Q416" s="18"/>
      <c r="R416" s="10">
        <f>P416*Q416</f>
        <v>0</v>
      </c>
      <c r="S416" s="19">
        <f>0.099*Q416</f>
        <v>0</v>
      </c>
      <c r="T416" s="20">
        <f>0.00018*Q416</f>
        <v>0</v>
      </c>
      <c r="U416" s="21"/>
      <c r="V416" s="22" t="s">
        <v>1888</v>
      </c>
      <c r="W416" s="22" t="s">
        <v>191</v>
      </c>
      <c r="X416" s="3"/>
      <c r="Y416" s="3" t="s">
        <v>1889</v>
      </c>
      <c r="Z416" s="3" t="s">
        <v>52</v>
      </c>
      <c r="AA416" s="3"/>
      <c r="AB416" s="3"/>
      <c r="AC416" s="3" t="str">
        <f>HYPERLINK("https://knigipp.ru/api/getInfo/image/8e35ff85-0c3e-11ef-a25d-00155d82e908")</f>
        <v>https://knigipp.ru/api/getInfo/image/8e35ff85-0c3e-11ef-a25d-00155d82e908</v>
      </c>
      <c r="AD416" s="32">
        <v>80</v>
      </c>
      <c r="AE416" s="3" t="s">
        <v>54</v>
      </c>
      <c r="AF416" s="3" t="s">
        <v>136</v>
      </c>
      <c r="AG416" s="3"/>
      <c r="AH416" s="3" t="s">
        <v>56</v>
      </c>
      <c r="AI416" s="3"/>
      <c r="AJ416" s="3"/>
      <c r="AK416" s="3" t="str">
        <f>HYPERLINK("https://knigipp.ru/api/getInfo/item/8e35ff85-0c3e-11ef-a25d-00155d82e908")</f>
        <v>https://knigipp.ru/api/getInfo/item/8e35ff85-0c3e-11ef-a25d-00155d82e908</v>
      </c>
      <c r="AL416" s="3" t="s">
        <v>1385</v>
      </c>
    </row>
    <row r="417" spans="1:38" ht="21" customHeight="1" outlineLevel="5" x14ac:dyDescent="0.2">
      <c r="A417" s="2">
        <v>300</v>
      </c>
      <c r="B417" s="3" t="s">
        <v>1890</v>
      </c>
      <c r="C417" s="49" t="s">
        <v>1891</v>
      </c>
      <c r="D417" s="49"/>
      <c r="E417" s="49"/>
      <c r="F417" s="49"/>
      <c r="G417" s="4" t="s">
        <v>1892</v>
      </c>
      <c r="H417" s="8"/>
      <c r="I417" s="9" t="s">
        <v>1811</v>
      </c>
      <c r="J417" s="10"/>
      <c r="K417" s="11">
        <v>10</v>
      </c>
      <c r="L417" s="10"/>
      <c r="M417" s="10" t="s">
        <v>304</v>
      </c>
      <c r="N417" s="10"/>
      <c r="O417" s="2">
        <v>7</v>
      </c>
      <c r="P417" s="17">
        <f>99*(1-S3/100)</f>
        <v>99</v>
      </c>
      <c r="Q417" s="18"/>
      <c r="R417" s="10">
        <f>P417*Q417</f>
        <v>0</v>
      </c>
      <c r="S417" s="28">
        <f>0.11*Q417</f>
        <v>0</v>
      </c>
      <c r="T417" s="20">
        <f>0.00014*Q417</f>
        <v>0</v>
      </c>
      <c r="U417" s="21"/>
      <c r="V417" s="22" t="s">
        <v>1893</v>
      </c>
      <c r="W417" s="22" t="s">
        <v>191</v>
      </c>
      <c r="X417" s="3"/>
      <c r="Y417" s="3" t="s">
        <v>1894</v>
      </c>
      <c r="Z417" s="3" t="s">
        <v>52</v>
      </c>
      <c r="AA417" s="3"/>
      <c r="AB417" s="3"/>
      <c r="AC417" s="3" t="str">
        <f>HYPERLINK("https://knigipp.ru/api/getInfo/image/f6debb62-0c3d-11ef-a25d-00155d82e908")</f>
        <v>https://knigipp.ru/api/getInfo/image/f6debb62-0c3d-11ef-a25d-00155d82e908</v>
      </c>
      <c r="AD417" s="32">
        <v>80</v>
      </c>
      <c r="AE417" s="3" t="s">
        <v>54</v>
      </c>
      <c r="AF417" s="3" t="s">
        <v>136</v>
      </c>
      <c r="AG417" s="3"/>
      <c r="AH417" s="3" t="s">
        <v>56</v>
      </c>
      <c r="AI417" s="3"/>
      <c r="AJ417" s="3"/>
      <c r="AK417" s="3" t="str">
        <f>HYPERLINK("https://knigipp.ru/api/getInfo/item/f6debb62-0c3d-11ef-a25d-00155d82e908")</f>
        <v>https://knigipp.ru/api/getInfo/item/f6debb62-0c3d-11ef-a25d-00155d82e908</v>
      </c>
      <c r="AL417" s="3" t="s">
        <v>1385</v>
      </c>
    </row>
    <row r="418" spans="1:38" ht="21" customHeight="1" outlineLevel="5" x14ac:dyDescent="0.2">
      <c r="A418" s="2">
        <v>301</v>
      </c>
      <c r="B418" s="3" t="s">
        <v>1895</v>
      </c>
      <c r="C418" s="49" t="s">
        <v>1896</v>
      </c>
      <c r="D418" s="49"/>
      <c r="E418" s="49"/>
      <c r="F418" s="49"/>
      <c r="G418" s="4" t="s">
        <v>1897</v>
      </c>
      <c r="H418" s="8"/>
      <c r="I418" s="9" t="s">
        <v>1811</v>
      </c>
      <c r="J418" s="10"/>
      <c r="K418" s="11">
        <v>10</v>
      </c>
      <c r="L418" s="10"/>
      <c r="M418" s="10" t="s">
        <v>78</v>
      </c>
      <c r="N418" s="10"/>
      <c r="O418" s="2">
        <v>7</v>
      </c>
      <c r="P418" s="17">
        <f>99*(1-S3/100)</f>
        <v>99</v>
      </c>
      <c r="Q418" s="18"/>
      <c r="R418" s="10">
        <f>P418*Q418</f>
        <v>0</v>
      </c>
      <c r="S418" s="10">
        <v>0</v>
      </c>
      <c r="T418" s="10">
        <v>0</v>
      </c>
      <c r="U418" s="21"/>
      <c r="V418" s="22" t="s">
        <v>1898</v>
      </c>
      <c r="W418" s="22" t="s">
        <v>191</v>
      </c>
      <c r="X418" s="3"/>
      <c r="Y418" s="3" t="s">
        <v>1899</v>
      </c>
      <c r="Z418" s="3" t="s">
        <v>52</v>
      </c>
      <c r="AA418" s="3"/>
      <c r="AB418" s="3"/>
      <c r="AC418" s="3" t="str">
        <f>HYPERLINK("https://knigipp.ru/api/getInfo/image/444f5d31-0c3e-11ef-a25d-00155d82e908")</f>
        <v>https://knigipp.ru/api/getInfo/image/444f5d31-0c3e-11ef-a25d-00155d82e908</v>
      </c>
      <c r="AD418" s="32">
        <v>80</v>
      </c>
      <c r="AE418" s="3" t="s">
        <v>54</v>
      </c>
      <c r="AF418" s="3" t="s">
        <v>136</v>
      </c>
      <c r="AG418" s="3"/>
      <c r="AH418" s="3" t="s">
        <v>56</v>
      </c>
      <c r="AI418" s="3"/>
      <c r="AJ418" s="3"/>
      <c r="AK418" s="3" t="str">
        <f>HYPERLINK("https://knigipp.ru/api/getInfo/item/444f5d31-0c3e-11ef-a25d-00155d82e908")</f>
        <v>https://knigipp.ru/api/getInfo/item/444f5d31-0c3e-11ef-a25d-00155d82e908</v>
      </c>
      <c r="AL418" s="3" t="s">
        <v>1385</v>
      </c>
    </row>
    <row r="419" spans="1:38" ht="23.1" customHeight="1" outlineLevel="3" x14ac:dyDescent="0.2">
      <c r="A419" s="48" t="s">
        <v>1900</v>
      </c>
      <c r="B419" s="48"/>
      <c r="C419" s="48"/>
      <c r="D419" s="48"/>
      <c r="E419" s="48"/>
      <c r="F419" s="48"/>
    </row>
    <row r="420" spans="1:38" ht="23.1" customHeight="1" outlineLevel="4" x14ac:dyDescent="0.2">
      <c r="A420" s="55" t="s">
        <v>1901</v>
      </c>
      <c r="B420" s="55"/>
      <c r="C420" s="55"/>
      <c r="D420" s="55"/>
      <c r="E420" s="55"/>
      <c r="F420" s="55"/>
    </row>
    <row r="421" spans="1:38" ht="21" customHeight="1" outlineLevel="5" x14ac:dyDescent="0.2">
      <c r="A421" s="2">
        <v>302</v>
      </c>
      <c r="B421" s="3" t="s">
        <v>1902</v>
      </c>
      <c r="C421" s="49" t="s">
        <v>1903</v>
      </c>
      <c r="D421" s="49"/>
      <c r="E421" s="49"/>
      <c r="F421" s="49"/>
      <c r="G421" s="4" t="s">
        <v>1904</v>
      </c>
      <c r="H421" s="8"/>
      <c r="I421" s="9" t="s">
        <v>1905</v>
      </c>
      <c r="J421" s="10"/>
      <c r="K421" s="11">
        <v>20</v>
      </c>
      <c r="L421" s="10"/>
      <c r="M421" s="10" t="s">
        <v>47</v>
      </c>
      <c r="N421" s="10"/>
      <c r="O421" s="2">
        <v>3</v>
      </c>
      <c r="P421" s="17">
        <f>199*(1-S3/100)</f>
        <v>199</v>
      </c>
      <c r="Q421" s="18"/>
      <c r="R421" s="10">
        <f>P421*Q421</f>
        <v>0</v>
      </c>
      <c r="S421" s="19">
        <f>0.241*Q421</f>
        <v>0</v>
      </c>
      <c r="T421" s="20">
        <f>0.00018*Q421</f>
        <v>0</v>
      </c>
      <c r="U421" s="21"/>
      <c r="V421" s="22" t="s">
        <v>1906</v>
      </c>
      <c r="W421" s="22" t="s">
        <v>191</v>
      </c>
      <c r="X421" s="3"/>
      <c r="Y421" s="3"/>
      <c r="Z421" s="3" t="s">
        <v>52</v>
      </c>
      <c r="AA421" s="3"/>
      <c r="AB421" s="3"/>
      <c r="AC421" s="3" t="str">
        <f>HYPERLINK("https://knigipp.ru/api/getInfo/image/b153f90b-b80d-11ed-a230-00155d82e902")</f>
        <v>https://knigipp.ru/api/getInfo/image/b153f90b-b80d-11ed-a230-00155d82e902</v>
      </c>
      <c r="AD421" s="32">
        <v>128</v>
      </c>
      <c r="AE421" s="3" t="s">
        <v>481</v>
      </c>
      <c r="AF421" s="3" t="s">
        <v>127</v>
      </c>
      <c r="AG421" s="3"/>
      <c r="AH421" s="3" t="s">
        <v>56</v>
      </c>
      <c r="AI421" s="3"/>
      <c r="AJ421" s="3"/>
      <c r="AK421" s="3" t="str">
        <f>HYPERLINK("https://knigipp.ru/api/getInfo/item/b153f90b-b80d-11ed-a230-00155d82e902")</f>
        <v>https://knigipp.ru/api/getInfo/item/b153f90b-b80d-11ed-a230-00155d82e902</v>
      </c>
      <c r="AL421" s="3" t="s">
        <v>1907</v>
      </c>
    </row>
    <row r="422" spans="1:38" ht="23.1" customHeight="1" outlineLevel="4" x14ac:dyDescent="0.2">
      <c r="A422" s="55" t="s">
        <v>1908</v>
      </c>
      <c r="B422" s="55"/>
      <c r="C422" s="55"/>
      <c r="D422" s="55"/>
      <c r="E422" s="55"/>
      <c r="F422" s="55"/>
    </row>
    <row r="423" spans="1:38" ht="21" customHeight="1" outlineLevel="5" x14ac:dyDescent="0.2">
      <c r="A423" s="2">
        <v>303</v>
      </c>
      <c r="B423" s="3" t="s">
        <v>1909</v>
      </c>
      <c r="C423" s="49" t="s">
        <v>1910</v>
      </c>
      <c r="D423" s="49"/>
      <c r="E423" s="49"/>
      <c r="F423" s="49"/>
      <c r="G423" s="4" t="s">
        <v>1911</v>
      </c>
      <c r="H423" s="8"/>
      <c r="I423" s="9" t="s">
        <v>1912</v>
      </c>
      <c r="J423" s="10"/>
      <c r="K423" s="11">
        <v>10</v>
      </c>
      <c r="L423" s="10"/>
      <c r="M423" s="10" t="s">
        <v>47</v>
      </c>
      <c r="N423" s="10"/>
      <c r="O423" s="2">
        <v>7</v>
      </c>
      <c r="P423" s="17">
        <f>89*(1-S3/100)</f>
        <v>89</v>
      </c>
      <c r="Q423" s="18"/>
      <c r="R423" s="10">
        <f>P423*Q423</f>
        <v>0</v>
      </c>
      <c r="S423" s="19">
        <f>0.098*Q423</f>
        <v>0</v>
      </c>
      <c r="T423" s="20">
        <f>0.00025*Q423</f>
        <v>0</v>
      </c>
      <c r="U423" s="21"/>
      <c r="V423" s="22" t="s">
        <v>1913</v>
      </c>
      <c r="W423" s="22" t="s">
        <v>191</v>
      </c>
      <c r="X423" s="3"/>
      <c r="Y423" s="3"/>
      <c r="Z423" s="3" t="s">
        <v>52</v>
      </c>
      <c r="AA423" s="3" t="s">
        <v>1431</v>
      </c>
      <c r="AB423" s="3"/>
      <c r="AC423" s="3" t="str">
        <f>HYPERLINK("https://knigipp.ru/api/getInfo/image/ec298d65-900b-11ee-a250-00155d82e908")</f>
        <v>https://knigipp.ru/api/getInfo/image/ec298d65-900b-11ee-a250-00155d82e908</v>
      </c>
      <c r="AD423" s="32">
        <v>80</v>
      </c>
      <c r="AE423" s="3" t="s">
        <v>481</v>
      </c>
      <c r="AF423" s="3" t="s">
        <v>136</v>
      </c>
      <c r="AG423" s="3"/>
      <c r="AH423" s="3" t="s">
        <v>56</v>
      </c>
      <c r="AI423" s="3"/>
      <c r="AJ423" s="3"/>
      <c r="AK423" s="3" t="str">
        <f>HYPERLINK("https://knigipp.ru/api/getInfo/item/ec298d65-900b-11ee-a250-00155d82e908")</f>
        <v>https://knigipp.ru/api/getInfo/item/ec298d65-900b-11ee-a250-00155d82e908</v>
      </c>
      <c r="AL423" s="3" t="s">
        <v>1914</v>
      </c>
    </row>
    <row r="424" spans="1:38" ht="21" customHeight="1" outlineLevel="5" x14ac:dyDescent="0.2">
      <c r="A424" s="2">
        <v>304</v>
      </c>
      <c r="B424" s="3" t="s">
        <v>1915</v>
      </c>
      <c r="C424" s="49" t="s">
        <v>1916</v>
      </c>
      <c r="D424" s="49"/>
      <c r="E424" s="49"/>
      <c r="F424" s="49"/>
      <c r="G424" s="4" t="s">
        <v>1917</v>
      </c>
      <c r="H424" s="8"/>
      <c r="I424" s="9" t="s">
        <v>1912</v>
      </c>
      <c r="J424" s="10"/>
      <c r="K424" s="11">
        <v>10</v>
      </c>
      <c r="L424" s="10"/>
      <c r="M424" s="10" t="s">
        <v>47</v>
      </c>
      <c r="N424" s="10"/>
      <c r="O424" s="2">
        <v>7</v>
      </c>
      <c r="P424" s="17">
        <f>89*(1-S3/100)</f>
        <v>89</v>
      </c>
      <c r="Q424" s="18"/>
      <c r="R424" s="10">
        <f>P424*Q424</f>
        <v>0</v>
      </c>
      <c r="S424" s="19">
        <f>0.097*Q424</f>
        <v>0</v>
      </c>
      <c r="T424" s="30">
        <f>0.0003*Q424</f>
        <v>0</v>
      </c>
      <c r="U424" s="21"/>
      <c r="V424" s="22" t="s">
        <v>1918</v>
      </c>
      <c r="W424" s="22" t="s">
        <v>191</v>
      </c>
      <c r="X424" s="3"/>
      <c r="Y424" s="3"/>
      <c r="Z424" s="3" t="s">
        <v>52</v>
      </c>
      <c r="AA424" s="3" t="s">
        <v>1431</v>
      </c>
      <c r="AB424" s="3"/>
      <c r="AC424" s="3" t="str">
        <f>HYPERLINK("https://knigipp.ru/api/getInfo/image/42aec79b-900c-11ee-a250-00155d82e908")</f>
        <v>https://knigipp.ru/api/getInfo/image/42aec79b-900c-11ee-a250-00155d82e908</v>
      </c>
      <c r="AD424" s="32">
        <v>80</v>
      </c>
      <c r="AE424" s="3" t="s">
        <v>481</v>
      </c>
      <c r="AF424" s="3" t="s">
        <v>136</v>
      </c>
      <c r="AG424" s="3"/>
      <c r="AH424" s="3" t="s">
        <v>56</v>
      </c>
      <c r="AI424" s="3"/>
      <c r="AJ424" s="3"/>
      <c r="AK424" s="3" t="str">
        <f>HYPERLINK("https://knigipp.ru/api/getInfo/item/42aec79b-900c-11ee-a250-00155d82e908")</f>
        <v>https://knigipp.ru/api/getInfo/item/42aec79b-900c-11ee-a250-00155d82e908</v>
      </c>
      <c r="AL424" s="3" t="s">
        <v>1914</v>
      </c>
    </row>
    <row r="425" spans="1:38" ht="21" customHeight="1" outlineLevel="5" x14ac:dyDescent="0.2">
      <c r="A425" s="2">
        <v>305</v>
      </c>
      <c r="B425" s="3" t="s">
        <v>1919</v>
      </c>
      <c r="C425" s="49" t="s">
        <v>1920</v>
      </c>
      <c r="D425" s="49"/>
      <c r="E425" s="49"/>
      <c r="F425" s="49"/>
      <c r="G425" s="4" t="s">
        <v>1921</v>
      </c>
      <c r="H425" s="8"/>
      <c r="I425" s="9" t="s">
        <v>1912</v>
      </c>
      <c r="J425" s="10"/>
      <c r="K425" s="11">
        <v>10</v>
      </c>
      <c r="L425" s="10"/>
      <c r="M425" s="10" t="s">
        <v>47</v>
      </c>
      <c r="N425" s="10"/>
      <c r="O425" s="2">
        <v>7</v>
      </c>
      <c r="P425" s="17">
        <f>89*(1-S3/100)</f>
        <v>89</v>
      </c>
      <c r="Q425" s="18"/>
      <c r="R425" s="10">
        <f>P425*Q425</f>
        <v>0</v>
      </c>
      <c r="S425" s="19">
        <f>0.097*Q425</f>
        <v>0</v>
      </c>
      <c r="T425" s="20">
        <f>0.00024*Q425</f>
        <v>0</v>
      </c>
      <c r="U425" s="21"/>
      <c r="V425" s="22" t="s">
        <v>1922</v>
      </c>
      <c r="W425" s="22" t="s">
        <v>191</v>
      </c>
      <c r="X425" s="3"/>
      <c r="Y425" s="3" t="s">
        <v>1923</v>
      </c>
      <c r="Z425" s="3" t="s">
        <v>52</v>
      </c>
      <c r="AA425" s="3"/>
      <c r="AB425" s="3"/>
      <c r="AC425" s="3" t="str">
        <f>HYPERLINK("https://knigipp.ru/api/getInfo/image/d4f87e86-facd-11ed-a239-00155d82e902")</f>
        <v>https://knigipp.ru/api/getInfo/image/d4f87e86-facd-11ed-a239-00155d82e902</v>
      </c>
      <c r="AD425" s="32">
        <v>80</v>
      </c>
      <c r="AE425" s="3" t="s">
        <v>481</v>
      </c>
      <c r="AF425" s="3" t="s">
        <v>136</v>
      </c>
      <c r="AG425" s="3"/>
      <c r="AH425" s="3" t="s">
        <v>56</v>
      </c>
      <c r="AI425" s="3"/>
      <c r="AJ425" s="3"/>
      <c r="AK425" s="3" t="str">
        <f>HYPERLINK("https://knigipp.ru/api/getInfo/item/d4f87e86-facd-11ed-a239-00155d82e902")</f>
        <v>https://knigipp.ru/api/getInfo/item/d4f87e86-facd-11ed-a239-00155d82e902</v>
      </c>
      <c r="AL425" s="3" t="s">
        <v>1914</v>
      </c>
    </row>
    <row r="426" spans="1:38" ht="21" customHeight="1" outlineLevel="5" x14ac:dyDescent="0.2">
      <c r="A426" s="2">
        <v>306</v>
      </c>
      <c r="B426" s="3" t="s">
        <v>1924</v>
      </c>
      <c r="C426" s="49" t="s">
        <v>1925</v>
      </c>
      <c r="D426" s="49"/>
      <c r="E426" s="49"/>
      <c r="F426" s="49"/>
      <c r="G426" s="4" t="s">
        <v>1926</v>
      </c>
      <c r="H426" s="8"/>
      <c r="I426" s="9" t="s">
        <v>1912</v>
      </c>
      <c r="J426" s="10"/>
      <c r="K426" s="11">
        <v>10</v>
      </c>
      <c r="L426" s="10"/>
      <c r="M426" s="10" t="s">
        <v>47</v>
      </c>
      <c r="N426" s="10"/>
      <c r="O426" s="2">
        <v>7</v>
      </c>
      <c r="P426" s="17">
        <f>89*(1-S3/100)</f>
        <v>89</v>
      </c>
      <c r="Q426" s="18"/>
      <c r="R426" s="10">
        <f>P426*Q426</f>
        <v>0</v>
      </c>
      <c r="S426" s="19">
        <f>0.099*Q426</f>
        <v>0</v>
      </c>
      <c r="T426" s="20">
        <f>0.00052*Q426</f>
        <v>0</v>
      </c>
      <c r="U426" s="21"/>
      <c r="V426" s="22" t="s">
        <v>1927</v>
      </c>
      <c r="W426" s="22" t="s">
        <v>191</v>
      </c>
      <c r="X426" s="3"/>
      <c r="Y426" s="3" t="s">
        <v>1928</v>
      </c>
      <c r="Z426" s="3" t="s">
        <v>52</v>
      </c>
      <c r="AA426" s="3"/>
      <c r="AB426" s="3"/>
      <c r="AC426" s="3" t="str">
        <f>HYPERLINK("https://knigipp.ru/api/getInfo/image/a239f695-face-11ed-a239-00155d82e902")</f>
        <v>https://knigipp.ru/api/getInfo/image/a239f695-face-11ed-a239-00155d82e902</v>
      </c>
      <c r="AD426" s="32">
        <v>80</v>
      </c>
      <c r="AE426" s="3" t="s">
        <v>481</v>
      </c>
      <c r="AF426" s="3" t="s">
        <v>136</v>
      </c>
      <c r="AG426" s="3"/>
      <c r="AH426" s="3" t="s">
        <v>56</v>
      </c>
      <c r="AI426" s="3"/>
      <c r="AJ426" s="3"/>
      <c r="AK426" s="3" t="str">
        <f>HYPERLINK("https://knigipp.ru/api/getInfo/item/a239f695-face-11ed-a239-00155d82e902")</f>
        <v>https://knigipp.ru/api/getInfo/item/a239f695-face-11ed-a239-00155d82e902</v>
      </c>
      <c r="AL426" s="3" t="s">
        <v>1914</v>
      </c>
    </row>
    <row r="427" spans="1:38" ht="23.1" customHeight="1" outlineLevel="4" x14ac:dyDescent="0.2">
      <c r="A427" s="55" t="s">
        <v>1929</v>
      </c>
      <c r="B427" s="55"/>
      <c r="C427" s="55"/>
      <c r="D427" s="55"/>
      <c r="E427" s="55"/>
      <c r="F427" s="55"/>
    </row>
    <row r="428" spans="1:38" ht="21" customHeight="1" outlineLevel="5" x14ac:dyDescent="0.2">
      <c r="A428" s="2">
        <v>307</v>
      </c>
      <c r="B428" s="3" t="s">
        <v>1930</v>
      </c>
      <c r="C428" s="49" t="s">
        <v>1931</v>
      </c>
      <c r="D428" s="49"/>
      <c r="E428" s="49"/>
      <c r="F428" s="49"/>
      <c r="G428" s="4" t="s">
        <v>1932</v>
      </c>
      <c r="H428" s="8"/>
      <c r="I428" s="9"/>
      <c r="J428" s="10"/>
      <c r="K428" s="11">
        <v>10</v>
      </c>
      <c r="L428" s="10"/>
      <c r="M428" s="10" t="s">
        <v>47</v>
      </c>
      <c r="N428" s="10"/>
      <c r="O428" s="2">
        <v>5</v>
      </c>
      <c r="P428" s="17">
        <f>117*(1-S3/100)</f>
        <v>117</v>
      </c>
      <c r="Q428" s="18"/>
      <c r="R428" s="10">
        <f>P428*Q428</f>
        <v>0</v>
      </c>
      <c r="S428" s="10">
        <v>0</v>
      </c>
      <c r="T428" s="10">
        <v>0</v>
      </c>
      <c r="U428" s="21"/>
      <c r="V428" s="22" t="s">
        <v>1933</v>
      </c>
      <c r="W428" s="22" t="s">
        <v>191</v>
      </c>
      <c r="X428" s="3"/>
      <c r="Y428" s="3" t="s">
        <v>1934</v>
      </c>
      <c r="Z428" s="3" t="s">
        <v>52</v>
      </c>
      <c r="AA428" s="3"/>
      <c r="AB428" s="3"/>
      <c r="AC428" s="3" t="str">
        <f>HYPERLINK("https://knigipp.ru/api/getInfo/image/f9acae23-bf69-11ee-a25a-00155d82e908")</f>
        <v>https://knigipp.ru/api/getInfo/image/f9acae23-bf69-11ee-a25a-00155d82e908</v>
      </c>
      <c r="AD428" s="32">
        <v>80</v>
      </c>
      <c r="AE428" s="3" t="s">
        <v>65</v>
      </c>
      <c r="AF428" s="3" t="s">
        <v>136</v>
      </c>
      <c r="AG428" s="3"/>
      <c r="AH428" s="3" t="s">
        <v>56</v>
      </c>
      <c r="AI428" s="3"/>
      <c r="AJ428" s="3"/>
      <c r="AK428" s="3" t="str">
        <f>HYPERLINK("https://knigipp.ru/api/getInfo/item/f9acae23-bf69-11ee-a25a-00155d82e908")</f>
        <v>https://knigipp.ru/api/getInfo/item/f9acae23-bf69-11ee-a25a-00155d82e908</v>
      </c>
      <c r="AL428" s="3" t="s">
        <v>1385</v>
      </c>
    </row>
    <row r="429" spans="1:38" ht="21" customHeight="1" outlineLevel="5" x14ac:dyDescent="0.2">
      <c r="A429" s="2">
        <v>308</v>
      </c>
      <c r="B429" s="3" t="s">
        <v>1935</v>
      </c>
      <c r="C429" s="49" t="s">
        <v>1936</v>
      </c>
      <c r="D429" s="49"/>
      <c r="E429" s="49"/>
      <c r="F429" s="49"/>
      <c r="G429" s="4" t="s">
        <v>1937</v>
      </c>
      <c r="H429" s="8"/>
      <c r="I429" s="9"/>
      <c r="J429" s="10"/>
      <c r="K429" s="11">
        <v>10</v>
      </c>
      <c r="L429" s="10"/>
      <c r="M429" s="10" t="s">
        <v>47</v>
      </c>
      <c r="N429" s="10"/>
      <c r="O429" s="2">
        <v>5</v>
      </c>
      <c r="P429" s="17">
        <f>117*(1-S3/100)</f>
        <v>117</v>
      </c>
      <c r="Q429" s="18"/>
      <c r="R429" s="10">
        <f>P429*Q429</f>
        <v>0</v>
      </c>
      <c r="S429" s="10">
        <v>0</v>
      </c>
      <c r="T429" s="10">
        <v>0</v>
      </c>
      <c r="U429" s="21"/>
      <c r="V429" s="22" t="s">
        <v>1938</v>
      </c>
      <c r="W429" s="22" t="s">
        <v>191</v>
      </c>
      <c r="X429" s="3"/>
      <c r="Y429" s="3" t="s">
        <v>1939</v>
      </c>
      <c r="Z429" s="3" t="s">
        <v>52</v>
      </c>
      <c r="AA429" s="3" t="s">
        <v>1611</v>
      </c>
      <c r="AB429" s="3"/>
      <c r="AC429" s="3" t="str">
        <f>HYPERLINK("https://knigipp.ru/api/getInfo/image/5be49ff7-bf6a-11ee-a25a-00155d82e908")</f>
        <v>https://knigipp.ru/api/getInfo/image/5be49ff7-bf6a-11ee-a25a-00155d82e908</v>
      </c>
      <c r="AD429" s="32">
        <v>80</v>
      </c>
      <c r="AE429" s="3" t="s">
        <v>65</v>
      </c>
      <c r="AF429" s="3" t="s">
        <v>136</v>
      </c>
      <c r="AG429" s="3"/>
      <c r="AH429" s="3" t="s">
        <v>56</v>
      </c>
      <c r="AI429" s="3"/>
      <c r="AJ429" s="3"/>
      <c r="AK429" s="3" t="str">
        <f>HYPERLINK("https://knigipp.ru/api/getInfo/item/5be49ff7-bf6a-11ee-a25a-00155d82e908")</f>
        <v>https://knigipp.ru/api/getInfo/item/5be49ff7-bf6a-11ee-a25a-00155d82e908</v>
      </c>
      <c r="AL429" s="3" t="s">
        <v>1385</v>
      </c>
    </row>
    <row r="430" spans="1:38" ht="21" customHeight="1" outlineLevel="5" x14ac:dyDescent="0.2">
      <c r="A430" s="2">
        <v>309</v>
      </c>
      <c r="B430" s="3" t="s">
        <v>1940</v>
      </c>
      <c r="C430" s="49" t="s">
        <v>1941</v>
      </c>
      <c r="D430" s="49"/>
      <c r="E430" s="49"/>
      <c r="F430" s="49"/>
      <c r="G430" s="4" t="s">
        <v>1942</v>
      </c>
      <c r="H430" s="8"/>
      <c r="I430" s="9"/>
      <c r="J430" s="10"/>
      <c r="K430" s="11">
        <v>10</v>
      </c>
      <c r="L430" s="10"/>
      <c r="M430" s="10" t="s">
        <v>47</v>
      </c>
      <c r="N430" s="10"/>
      <c r="O430" s="2">
        <v>5</v>
      </c>
      <c r="P430" s="17">
        <f>117*(1-S3/100)</f>
        <v>117</v>
      </c>
      <c r="Q430" s="18"/>
      <c r="R430" s="10">
        <f>P430*Q430</f>
        <v>0</v>
      </c>
      <c r="S430" s="10">
        <v>0</v>
      </c>
      <c r="T430" s="10">
        <v>0</v>
      </c>
      <c r="U430" s="21"/>
      <c r="V430" s="22" t="s">
        <v>1943</v>
      </c>
      <c r="W430" s="22" t="s">
        <v>191</v>
      </c>
      <c r="X430" s="3"/>
      <c r="Y430" s="3" t="s">
        <v>1944</v>
      </c>
      <c r="Z430" s="3" t="s">
        <v>52</v>
      </c>
      <c r="AA430" s="3" t="s">
        <v>1611</v>
      </c>
      <c r="AB430" s="3"/>
      <c r="AC430" s="3" t="str">
        <f>HYPERLINK("https://knigipp.ru/api/getInfo/image/3ead56fa-bf6a-11ee-a25a-00155d82e908")</f>
        <v>https://knigipp.ru/api/getInfo/image/3ead56fa-bf6a-11ee-a25a-00155d82e908</v>
      </c>
      <c r="AD430" s="32">
        <v>80</v>
      </c>
      <c r="AE430" s="3" t="s">
        <v>65</v>
      </c>
      <c r="AF430" s="3" t="s">
        <v>136</v>
      </c>
      <c r="AG430" s="3"/>
      <c r="AH430" s="3" t="s">
        <v>56</v>
      </c>
      <c r="AI430" s="3"/>
      <c r="AJ430" s="3"/>
      <c r="AK430" s="3" t="str">
        <f>HYPERLINK("https://knigipp.ru/api/getInfo/item/3ead56fa-bf6a-11ee-a25a-00155d82e908")</f>
        <v>https://knigipp.ru/api/getInfo/item/3ead56fa-bf6a-11ee-a25a-00155d82e908</v>
      </c>
      <c r="AL430" s="3" t="s">
        <v>1385</v>
      </c>
    </row>
    <row r="431" spans="1:38" ht="21" customHeight="1" outlineLevel="5" x14ac:dyDescent="0.2">
      <c r="A431" s="2">
        <v>310</v>
      </c>
      <c r="B431" s="3" t="s">
        <v>1945</v>
      </c>
      <c r="C431" s="49" t="s">
        <v>1946</v>
      </c>
      <c r="D431" s="49"/>
      <c r="E431" s="49"/>
      <c r="F431" s="49"/>
      <c r="G431" s="4" t="s">
        <v>1947</v>
      </c>
      <c r="H431" s="8"/>
      <c r="I431" s="9"/>
      <c r="J431" s="10"/>
      <c r="K431" s="11">
        <v>10</v>
      </c>
      <c r="L431" s="10"/>
      <c r="M431" s="10" t="s">
        <v>47</v>
      </c>
      <c r="N431" s="10"/>
      <c r="O431" s="2">
        <v>5</v>
      </c>
      <c r="P431" s="17">
        <f>117*(1-S3/100)</f>
        <v>117</v>
      </c>
      <c r="Q431" s="18"/>
      <c r="R431" s="10">
        <f>P431*Q431</f>
        <v>0</v>
      </c>
      <c r="S431" s="10">
        <v>0</v>
      </c>
      <c r="T431" s="10">
        <v>0</v>
      </c>
      <c r="U431" s="21"/>
      <c r="V431" s="22" t="s">
        <v>1948</v>
      </c>
      <c r="W431" s="22" t="s">
        <v>191</v>
      </c>
      <c r="X431" s="3"/>
      <c r="Y431" s="3" t="s">
        <v>1949</v>
      </c>
      <c r="Z431" s="3" t="s">
        <v>52</v>
      </c>
      <c r="AA431" s="3" t="s">
        <v>1611</v>
      </c>
      <c r="AB431" s="3"/>
      <c r="AC431" s="3" t="str">
        <f>HYPERLINK("https://knigipp.ru/api/getInfo/image/21d56bde-bf6a-11ee-a25a-00155d82e908")</f>
        <v>https://knigipp.ru/api/getInfo/image/21d56bde-bf6a-11ee-a25a-00155d82e908</v>
      </c>
      <c r="AD431" s="32">
        <v>80</v>
      </c>
      <c r="AE431" s="3" t="s">
        <v>65</v>
      </c>
      <c r="AF431" s="3" t="s">
        <v>136</v>
      </c>
      <c r="AG431" s="3"/>
      <c r="AH431" s="3" t="s">
        <v>56</v>
      </c>
      <c r="AI431" s="3"/>
      <c r="AJ431" s="3"/>
      <c r="AK431" s="3" t="str">
        <f>HYPERLINK("https://knigipp.ru/api/getInfo/item/21d56bde-bf6a-11ee-a25a-00155d82e908")</f>
        <v>https://knigipp.ru/api/getInfo/item/21d56bde-bf6a-11ee-a25a-00155d82e908</v>
      </c>
      <c r="AL431" s="3" t="s">
        <v>1385</v>
      </c>
    </row>
    <row r="432" spans="1:38" ht="23.1" customHeight="1" outlineLevel="4" x14ac:dyDescent="0.2">
      <c r="A432" s="55" t="s">
        <v>1950</v>
      </c>
      <c r="B432" s="55"/>
      <c r="C432" s="55"/>
      <c r="D432" s="55"/>
      <c r="E432" s="55"/>
      <c r="F432" s="55"/>
    </row>
    <row r="433" spans="1:38" ht="21" customHeight="1" outlineLevel="5" x14ac:dyDescent="0.2">
      <c r="A433" s="2">
        <v>311</v>
      </c>
      <c r="B433" s="3" t="s">
        <v>1951</v>
      </c>
      <c r="C433" s="49" t="s">
        <v>1952</v>
      </c>
      <c r="D433" s="49"/>
      <c r="E433" s="49"/>
      <c r="F433" s="49"/>
      <c r="G433" s="4" t="s">
        <v>1953</v>
      </c>
      <c r="H433" s="8"/>
      <c r="I433" s="9" t="s">
        <v>1954</v>
      </c>
      <c r="J433" s="10"/>
      <c r="K433" s="11">
        <v>10</v>
      </c>
      <c r="L433" s="10"/>
      <c r="M433" s="10" t="s">
        <v>47</v>
      </c>
      <c r="N433" s="10"/>
      <c r="O433" s="2">
        <v>3</v>
      </c>
      <c r="P433" s="17">
        <f>247*(1-S3/100)</f>
        <v>247</v>
      </c>
      <c r="Q433" s="18"/>
      <c r="R433" s="10">
        <f>P433*Q433</f>
        <v>0</v>
      </c>
      <c r="S433" s="10">
        <v>0</v>
      </c>
      <c r="T433" s="10">
        <v>0</v>
      </c>
      <c r="U433" s="21"/>
      <c r="V433" s="22" t="s">
        <v>1955</v>
      </c>
      <c r="W433" s="22" t="s">
        <v>191</v>
      </c>
      <c r="X433" s="3"/>
      <c r="Y433" s="3" t="s">
        <v>1956</v>
      </c>
      <c r="Z433" s="3" t="s">
        <v>52</v>
      </c>
      <c r="AA433" s="3" t="s">
        <v>1957</v>
      </c>
      <c r="AB433" s="3"/>
      <c r="AC433" s="3" t="str">
        <f>HYPERLINK("https://knigipp.ru/api/getInfo/image/fb62ac63-8781-11ee-a248-00155d82e902")</f>
        <v>https://knigipp.ru/api/getInfo/image/fb62ac63-8781-11ee-a248-00155d82e902</v>
      </c>
      <c r="AD433" s="32">
        <v>128</v>
      </c>
      <c r="AE433" s="3" t="s">
        <v>1958</v>
      </c>
      <c r="AF433" s="3" t="s">
        <v>127</v>
      </c>
      <c r="AG433" s="3"/>
      <c r="AH433" s="3" t="s">
        <v>56</v>
      </c>
      <c r="AI433" s="3"/>
      <c r="AJ433" s="3"/>
      <c r="AK433" s="3" t="str">
        <f>HYPERLINK("https://knigipp.ru/api/getInfo/item/fb62ac63-8781-11ee-a248-00155d82e902")</f>
        <v>https://knigipp.ru/api/getInfo/item/fb62ac63-8781-11ee-a248-00155d82e902</v>
      </c>
      <c r="AL433" s="3" t="s">
        <v>1959</v>
      </c>
    </row>
    <row r="434" spans="1:38" ht="21" customHeight="1" outlineLevel="5" x14ac:dyDescent="0.2">
      <c r="A434" s="2">
        <v>312</v>
      </c>
      <c r="B434" s="3" t="s">
        <v>1960</v>
      </c>
      <c r="C434" s="49" t="s">
        <v>1961</v>
      </c>
      <c r="D434" s="49"/>
      <c r="E434" s="49"/>
      <c r="F434" s="49"/>
      <c r="G434" s="4" t="s">
        <v>1962</v>
      </c>
      <c r="H434" s="8"/>
      <c r="I434" s="9" t="s">
        <v>1954</v>
      </c>
      <c r="J434" s="10"/>
      <c r="K434" s="11">
        <v>10</v>
      </c>
      <c r="L434" s="10"/>
      <c r="M434" s="10" t="s">
        <v>47</v>
      </c>
      <c r="N434" s="10"/>
      <c r="O434" s="2">
        <v>3</v>
      </c>
      <c r="P434" s="17">
        <f>247*(1-S3/100)</f>
        <v>247</v>
      </c>
      <c r="Q434" s="18"/>
      <c r="R434" s="10">
        <f>P434*Q434</f>
        <v>0</v>
      </c>
      <c r="S434" s="10">
        <v>0</v>
      </c>
      <c r="T434" s="10">
        <v>0</v>
      </c>
      <c r="U434" s="21"/>
      <c r="V434" s="22" t="s">
        <v>1963</v>
      </c>
      <c r="W434" s="22" t="s">
        <v>191</v>
      </c>
      <c r="X434" s="3"/>
      <c r="Y434" s="3" t="s">
        <v>1964</v>
      </c>
      <c r="Z434" s="3" t="s">
        <v>52</v>
      </c>
      <c r="AA434" s="3" t="s">
        <v>1957</v>
      </c>
      <c r="AB434" s="3"/>
      <c r="AC434" s="3" t="str">
        <f>HYPERLINK("https://knigipp.ru/api/getInfo/image/b8ef6653-8781-11ee-a248-00155d82e902")</f>
        <v>https://knigipp.ru/api/getInfo/image/b8ef6653-8781-11ee-a248-00155d82e902</v>
      </c>
      <c r="AD434" s="32">
        <v>128</v>
      </c>
      <c r="AE434" s="3" t="s">
        <v>1958</v>
      </c>
      <c r="AF434" s="3" t="s">
        <v>127</v>
      </c>
      <c r="AG434" s="3"/>
      <c r="AH434" s="3" t="s">
        <v>56</v>
      </c>
      <c r="AI434" s="3"/>
      <c r="AJ434" s="3"/>
      <c r="AK434" s="3" t="str">
        <f>HYPERLINK("https://knigipp.ru/api/getInfo/item/b8ef6653-8781-11ee-a248-00155d82e902")</f>
        <v>https://knigipp.ru/api/getInfo/item/b8ef6653-8781-11ee-a248-00155d82e902</v>
      </c>
      <c r="AL434" s="3" t="s">
        <v>1959</v>
      </c>
    </row>
    <row r="435" spans="1:38" ht="21" customHeight="1" outlineLevel="5" x14ac:dyDescent="0.2">
      <c r="A435" s="2">
        <v>313</v>
      </c>
      <c r="B435" s="3" t="s">
        <v>1965</v>
      </c>
      <c r="C435" s="49" t="s">
        <v>1966</v>
      </c>
      <c r="D435" s="49"/>
      <c r="E435" s="49"/>
      <c r="F435" s="49"/>
      <c r="G435" s="4" t="s">
        <v>1967</v>
      </c>
      <c r="H435" s="8"/>
      <c r="I435" s="9" t="s">
        <v>1954</v>
      </c>
      <c r="J435" s="10"/>
      <c r="K435" s="11">
        <v>10</v>
      </c>
      <c r="L435" s="10"/>
      <c r="M435" s="10" t="s">
        <v>47</v>
      </c>
      <c r="N435" s="10"/>
      <c r="O435" s="2">
        <v>3</v>
      </c>
      <c r="P435" s="17">
        <f>247*(1-S3/100)</f>
        <v>247</v>
      </c>
      <c r="Q435" s="18"/>
      <c r="R435" s="10">
        <f>P435*Q435</f>
        <v>0</v>
      </c>
      <c r="S435" s="10">
        <v>0</v>
      </c>
      <c r="T435" s="10">
        <v>0</v>
      </c>
      <c r="U435" s="21"/>
      <c r="V435" s="22" t="s">
        <v>1968</v>
      </c>
      <c r="W435" s="22" t="s">
        <v>191</v>
      </c>
      <c r="X435" s="3"/>
      <c r="Y435" s="3" t="s">
        <v>1969</v>
      </c>
      <c r="Z435" s="3" t="s">
        <v>52</v>
      </c>
      <c r="AA435" s="3" t="s">
        <v>1970</v>
      </c>
      <c r="AB435" s="3"/>
      <c r="AC435" s="3" t="str">
        <f>HYPERLINK("https://knigipp.ru/api/getInfo/image/d798306f-8781-11ee-a248-00155d82e902")</f>
        <v>https://knigipp.ru/api/getInfo/image/d798306f-8781-11ee-a248-00155d82e902</v>
      </c>
      <c r="AD435" s="32">
        <v>128</v>
      </c>
      <c r="AE435" s="3" t="s">
        <v>1958</v>
      </c>
      <c r="AF435" s="3" t="s">
        <v>127</v>
      </c>
      <c r="AG435" s="3"/>
      <c r="AH435" s="3" t="s">
        <v>56</v>
      </c>
      <c r="AI435" s="3"/>
      <c r="AJ435" s="3"/>
      <c r="AK435" s="3" t="str">
        <f>HYPERLINK("https://knigipp.ru/api/getInfo/item/d798306f-8781-11ee-a248-00155d82e902")</f>
        <v>https://knigipp.ru/api/getInfo/item/d798306f-8781-11ee-a248-00155d82e902</v>
      </c>
      <c r="AL435" s="3" t="s">
        <v>1959</v>
      </c>
    </row>
    <row r="436" spans="1:38" ht="21" customHeight="1" outlineLevel="5" x14ac:dyDescent="0.2">
      <c r="A436" s="2">
        <v>314</v>
      </c>
      <c r="B436" s="3" t="s">
        <v>1971</v>
      </c>
      <c r="C436" s="49" t="s">
        <v>1972</v>
      </c>
      <c r="D436" s="49"/>
      <c r="E436" s="49"/>
      <c r="F436" s="49"/>
      <c r="G436" s="4" t="s">
        <v>1973</v>
      </c>
      <c r="H436" s="8"/>
      <c r="I436" s="9" t="s">
        <v>1954</v>
      </c>
      <c r="J436" s="10"/>
      <c r="K436" s="11">
        <v>10</v>
      </c>
      <c r="L436" s="10"/>
      <c r="M436" s="10" t="s">
        <v>47</v>
      </c>
      <c r="N436" s="10"/>
      <c r="O436" s="2">
        <v>3</v>
      </c>
      <c r="P436" s="17">
        <f>247*(1-S3/100)</f>
        <v>247</v>
      </c>
      <c r="Q436" s="18"/>
      <c r="R436" s="10">
        <f>P436*Q436</f>
        <v>0</v>
      </c>
      <c r="S436" s="10">
        <v>0</v>
      </c>
      <c r="T436" s="10">
        <v>0</v>
      </c>
      <c r="U436" s="21"/>
      <c r="V436" s="22" t="s">
        <v>1974</v>
      </c>
      <c r="W436" s="22" t="s">
        <v>191</v>
      </c>
      <c r="X436" s="3"/>
      <c r="Y436" s="3" t="s">
        <v>1975</v>
      </c>
      <c r="Z436" s="3" t="s">
        <v>52</v>
      </c>
      <c r="AA436" s="3" t="s">
        <v>1970</v>
      </c>
      <c r="AB436" s="3"/>
      <c r="AC436" s="3" t="str">
        <f>HYPERLINK("https://knigipp.ru/api/getInfo/image/961cdeed-8781-11ee-a248-00155d82e902")</f>
        <v>https://knigipp.ru/api/getInfo/image/961cdeed-8781-11ee-a248-00155d82e902</v>
      </c>
      <c r="AD436" s="32">
        <v>128</v>
      </c>
      <c r="AE436" s="3" t="s">
        <v>1958</v>
      </c>
      <c r="AF436" s="3" t="s">
        <v>127</v>
      </c>
      <c r="AG436" s="3"/>
      <c r="AH436" s="3" t="s">
        <v>56</v>
      </c>
      <c r="AI436" s="3"/>
      <c r="AJ436" s="3"/>
      <c r="AK436" s="3" t="str">
        <f>HYPERLINK("https://knigipp.ru/api/getInfo/item/961cdeed-8781-11ee-a248-00155d82e902")</f>
        <v>https://knigipp.ru/api/getInfo/item/961cdeed-8781-11ee-a248-00155d82e902</v>
      </c>
      <c r="AL436" s="3" t="s">
        <v>1959</v>
      </c>
    </row>
    <row r="437" spans="1:38" ht="23.1" customHeight="1" outlineLevel="4" x14ac:dyDescent="0.2">
      <c r="A437" s="55" t="s">
        <v>1976</v>
      </c>
      <c r="B437" s="55"/>
      <c r="C437" s="55"/>
      <c r="D437" s="55"/>
      <c r="E437" s="55"/>
      <c r="F437" s="55"/>
    </row>
    <row r="438" spans="1:38" ht="21" customHeight="1" outlineLevel="5" x14ac:dyDescent="0.2">
      <c r="A438" s="2">
        <v>315</v>
      </c>
      <c r="B438" s="3" t="s">
        <v>1977</v>
      </c>
      <c r="C438" s="49" t="s">
        <v>1978</v>
      </c>
      <c r="D438" s="49"/>
      <c r="E438" s="49"/>
      <c r="F438" s="49"/>
      <c r="G438" s="4" t="s">
        <v>1979</v>
      </c>
      <c r="H438" s="8"/>
      <c r="I438" s="9" t="s">
        <v>1980</v>
      </c>
      <c r="J438" s="10"/>
      <c r="K438" s="11">
        <v>10</v>
      </c>
      <c r="L438" s="10"/>
      <c r="M438" s="10" t="s">
        <v>78</v>
      </c>
      <c r="N438" s="10"/>
      <c r="O438" s="2">
        <v>7</v>
      </c>
      <c r="P438" s="17">
        <f>99*(1-S3/100)</f>
        <v>99</v>
      </c>
      <c r="Q438" s="18"/>
      <c r="R438" s="10">
        <f>P438*Q438</f>
        <v>0</v>
      </c>
      <c r="S438" s="10">
        <v>0</v>
      </c>
      <c r="T438" s="10">
        <v>0</v>
      </c>
      <c r="U438" s="21"/>
      <c r="V438" s="22" t="s">
        <v>1981</v>
      </c>
      <c r="W438" s="22" t="s">
        <v>191</v>
      </c>
      <c r="X438" s="3"/>
      <c r="Y438" s="3" t="s">
        <v>1982</v>
      </c>
      <c r="Z438" s="3" t="s">
        <v>52</v>
      </c>
      <c r="AA438" s="3"/>
      <c r="AB438" s="3"/>
      <c r="AC438" s="3" t="str">
        <f>HYPERLINK("https://knigipp.ru/api/getInfo/image/14646c96-5ed6-11ee-a245-00155d82e902")</f>
        <v>https://knigipp.ru/api/getInfo/image/14646c96-5ed6-11ee-a245-00155d82e902</v>
      </c>
      <c r="AD438" s="32">
        <v>80</v>
      </c>
      <c r="AE438" s="3" t="s">
        <v>481</v>
      </c>
      <c r="AF438" s="3" t="s">
        <v>136</v>
      </c>
      <c r="AG438" s="3"/>
      <c r="AH438" s="3" t="s">
        <v>56</v>
      </c>
      <c r="AI438" s="3"/>
      <c r="AJ438" s="3"/>
      <c r="AK438" s="3" t="str">
        <f>HYPERLINK("https://knigipp.ru/api/getInfo/item/14646c96-5ed6-11ee-a245-00155d82e902")</f>
        <v>https://knigipp.ru/api/getInfo/item/14646c96-5ed6-11ee-a245-00155d82e902</v>
      </c>
      <c r="AL438" s="3" t="s">
        <v>1385</v>
      </c>
    </row>
    <row r="439" spans="1:38" ht="21" customHeight="1" outlineLevel="5" x14ac:dyDescent="0.2">
      <c r="A439" s="2">
        <v>316</v>
      </c>
      <c r="B439" s="3" t="s">
        <v>1983</v>
      </c>
      <c r="C439" s="49" t="s">
        <v>1984</v>
      </c>
      <c r="D439" s="49"/>
      <c r="E439" s="49"/>
      <c r="F439" s="49"/>
      <c r="G439" s="4" t="s">
        <v>1985</v>
      </c>
      <c r="H439" s="8"/>
      <c r="I439" s="9" t="s">
        <v>1980</v>
      </c>
      <c r="J439" s="10"/>
      <c r="K439" s="11">
        <v>10</v>
      </c>
      <c r="L439" s="10"/>
      <c r="M439" s="10" t="s">
        <v>78</v>
      </c>
      <c r="N439" s="10"/>
      <c r="O439" s="2">
        <v>7</v>
      </c>
      <c r="P439" s="17">
        <f>99*(1-S3/100)</f>
        <v>99</v>
      </c>
      <c r="Q439" s="18"/>
      <c r="R439" s="10">
        <f>P439*Q439</f>
        <v>0</v>
      </c>
      <c r="S439" s="10">
        <v>0</v>
      </c>
      <c r="T439" s="10">
        <v>0</v>
      </c>
      <c r="U439" s="21"/>
      <c r="V439" s="22" t="s">
        <v>1986</v>
      </c>
      <c r="W439" s="22" t="s">
        <v>191</v>
      </c>
      <c r="X439" s="3"/>
      <c r="Y439" s="3" t="s">
        <v>1987</v>
      </c>
      <c r="Z439" s="3" t="s">
        <v>52</v>
      </c>
      <c r="AA439" s="3"/>
      <c r="AB439" s="3"/>
      <c r="AC439" s="3" t="str">
        <f>HYPERLINK("https://knigipp.ru/api/getInfo/image/ce8160ec-5ed5-11ee-a245-00155d82e902")</f>
        <v>https://knigipp.ru/api/getInfo/image/ce8160ec-5ed5-11ee-a245-00155d82e902</v>
      </c>
      <c r="AD439" s="32">
        <v>80</v>
      </c>
      <c r="AE439" s="3" t="s">
        <v>481</v>
      </c>
      <c r="AF439" s="3" t="s">
        <v>136</v>
      </c>
      <c r="AG439" s="3"/>
      <c r="AH439" s="3" t="s">
        <v>56</v>
      </c>
      <c r="AI439" s="3"/>
      <c r="AJ439" s="3"/>
      <c r="AK439" s="3" t="str">
        <f>HYPERLINK("https://knigipp.ru/api/getInfo/item/ce8160ec-5ed5-11ee-a245-00155d82e902")</f>
        <v>https://knigipp.ru/api/getInfo/item/ce8160ec-5ed5-11ee-a245-00155d82e902</v>
      </c>
      <c r="AL439" s="3" t="s">
        <v>1385</v>
      </c>
    </row>
    <row r="440" spans="1:38" ht="21" customHeight="1" outlineLevel="5" x14ac:dyDescent="0.2">
      <c r="A440" s="2">
        <v>317</v>
      </c>
      <c r="B440" s="3" t="s">
        <v>1988</v>
      </c>
      <c r="C440" s="49" t="s">
        <v>1989</v>
      </c>
      <c r="D440" s="49"/>
      <c r="E440" s="49"/>
      <c r="F440" s="49"/>
      <c r="G440" s="4" t="s">
        <v>1990</v>
      </c>
      <c r="H440" s="8"/>
      <c r="I440" s="9" t="s">
        <v>1980</v>
      </c>
      <c r="J440" s="10"/>
      <c r="K440" s="11">
        <v>10</v>
      </c>
      <c r="L440" s="10"/>
      <c r="M440" s="10" t="s">
        <v>47</v>
      </c>
      <c r="N440" s="10"/>
      <c r="O440" s="2">
        <v>7</v>
      </c>
      <c r="P440" s="17">
        <f>99*(1-S3/100)</f>
        <v>99</v>
      </c>
      <c r="Q440" s="18"/>
      <c r="R440" s="10">
        <f>P440*Q440</f>
        <v>0</v>
      </c>
      <c r="S440" s="28">
        <f>0.11*Q440</f>
        <v>0</v>
      </c>
      <c r="T440" s="20">
        <f>0.00017*Q440</f>
        <v>0</v>
      </c>
      <c r="U440" s="21"/>
      <c r="V440" s="22" t="s">
        <v>1991</v>
      </c>
      <c r="W440" s="22" t="s">
        <v>191</v>
      </c>
      <c r="X440" s="3"/>
      <c r="Y440" s="3" t="s">
        <v>1992</v>
      </c>
      <c r="Z440" s="3" t="s">
        <v>52</v>
      </c>
      <c r="AA440" s="3"/>
      <c r="AB440" s="3"/>
      <c r="AC440" s="3" t="str">
        <f>HYPERLINK("https://knigipp.ru/api/getInfo/image/f3299833-5ed5-11ee-a245-00155d82e902")</f>
        <v>https://knigipp.ru/api/getInfo/image/f3299833-5ed5-11ee-a245-00155d82e902</v>
      </c>
      <c r="AD440" s="32">
        <v>80</v>
      </c>
      <c r="AE440" s="3" t="s">
        <v>481</v>
      </c>
      <c r="AF440" s="3" t="s">
        <v>136</v>
      </c>
      <c r="AG440" s="3"/>
      <c r="AH440" s="3" t="s">
        <v>56</v>
      </c>
      <c r="AI440" s="3"/>
      <c r="AJ440" s="3"/>
      <c r="AK440" s="3" t="str">
        <f>HYPERLINK("https://knigipp.ru/api/getInfo/item/f3299833-5ed5-11ee-a245-00155d82e902")</f>
        <v>https://knigipp.ru/api/getInfo/item/f3299833-5ed5-11ee-a245-00155d82e902</v>
      </c>
      <c r="AL440" s="3" t="s">
        <v>1385</v>
      </c>
    </row>
    <row r="441" spans="1:38" ht="23.1" customHeight="1" outlineLevel="4" x14ac:dyDescent="0.2">
      <c r="A441" s="55" t="s">
        <v>1993</v>
      </c>
      <c r="B441" s="55"/>
      <c r="C441" s="55"/>
      <c r="D441" s="55"/>
      <c r="E441" s="55"/>
      <c r="F441" s="55"/>
    </row>
    <row r="442" spans="1:38" ht="21" customHeight="1" outlineLevel="5" x14ac:dyDescent="0.2">
      <c r="A442" s="2">
        <v>318</v>
      </c>
      <c r="B442" s="3" t="s">
        <v>1994</v>
      </c>
      <c r="C442" s="49" t="s">
        <v>1995</v>
      </c>
      <c r="D442" s="49"/>
      <c r="E442" s="49"/>
      <c r="F442" s="49"/>
      <c r="G442" s="4" t="s">
        <v>1996</v>
      </c>
      <c r="H442" s="8"/>
      <c r="I442" s="9" t="s">
        <v>1980</v>
      </c>
      <c r="J442" s="10"/>
      <c r="K442" s="11">
        <v>10</v>
      </c>
      <c r="L442" s="10"/>
      <c r="M442" s="10" t="s">
        <v>47</v>
      </c>
      <c r="N442" s="10"/>
      <c r="O442" s="2">
        <v>7</v>
      </c>
      <c r="P442" s="17">
        <f>99*(1-S3/100)</f>
        <v>99</v>
      </c>
      <c r="Q442" s="18"/>
      <c r="R442" s="10">
        <f>P442*Q442</f>
        <v>0</v>
      </c>
      <c r="S442" s="10">
        <v>0</v>
      </c>
      <c r="T442" s="10">
        <v>0</v>
      </c>
      <c r="U442" s="21"/>
      <c r="V442" s="22" t="s">
        <v>1997</v>
      </c>
      <c r="W442" s="22" t="s">
        <v>191</v>
      </c>
      <c r="X442" s="3"/>
      <c r="Y442" s="3" t="s">
        <v>1998</v>
      </c>
      <c r="Z442" s="3" t="s">
        <v>52</v>
      </c>
      <c r="AA442" s="3"/>
      <c r="AB442" s="3"/>
      <c r="AC442" s="3" t="str">
        <f>HYPERLINK("https://knigipp.ru/api/getInfo/image/bf15b6ce-594e-11ee-a245-00155d82e902")</f>
        <v>https://knigipp.ru/api/getInfo/image/bf15b6ce-594e-11ee-a245-00155d82e902</v>
      </c>
      <c r="AD442" s="32">
        <v>80</v>
      </c>
      <c r="AE442" s="3" t="s">
        <v>481</v>
      </c>
      <c r="AF442" s="3" t="s">
        <v>136</v>
      </c>
      <c r="AG442" s="3"/>
      <c r="AH442" s="3" t="s">
        <v>56</v>
      </c>
      <c r="AI442" s="3"/>
      <c r="AJ442" s="3"/>
      <c r="AK442" s="3" t="str">
        <f>HYPERLINK("https://knigipp.ru/api/getInfo/item/bf15b6ce-594e-11ee-a245-00155d82e902")</f>
        <v>https://knigipp.ru/api/getInfo/item/bf15b6ce-594e-11ee-a245-00155d82e902</v>
      </c>
      <c r="AL442" s="3" t="s">
        <v>1385</v>
      </c>
    </row>
    <row r="443" spans="1:38" ht="21" customHeight="1" outlineLevel="5" x14ac:dyDescent="0.2">
      <c r="A443" s="2">
        <v>319</v>
      </c>
      <c r="B443" s="3" t="s">
        <v>1999</v>
      </c>
      <c r="C443" s="49" t="s">
        <v>2000</v>
      </c>
      <c r="D443" s="49"/>
      <c r="E443" s="49"/>
      <c r="F443" s="49"/>
      <c r="G443" s="4" t="s">
        <v>2001</v>
      </c>
      <c r="H443" s="8"/>
      <c r="I443" s="9" t="s">
        <v>1980</v>
      </c>
      <c r="J443" s="10"/>
      <c r="K443" s="11">
        <v>10</v>
      </c>
      <c r="L443" s="10"/>
      <c r="M443" s="10" t="s">
        <v>47</v>
      </c>
      <c r="N443" s="10"/>
      <c r="O443" s="2">
        <v>7</v>
      </c>
      <c r="P443" s="17">
        <f>99*(1-S3/100)</f>
        <v>99</v>
      </c>
      <c r="Q443" s="18"/>
      <c r="R443" s="10">
        <f>P443*Q443</f>
        <v>0</v>
      </c>
      <c r="S443" s="10">
        <v>0</v>
      </c>
      <c r="T443" s="10">
        <v>0</v>
      </c>
      <c r="U443" s="21"/>
      <c r="V443" s="22" t="s">
        <v>2002</v>
      </c>
      <c r="W443" s="22" t="s">
        <v>191</v>
      </c>
      <c r="X443" s="3"/>
      <c r="Y443" s="3" t="s">
        <v>1998</v>
      </c>
      <c r="Z443" s="3" t="s">
        <v>52</v>
      </c>
      <c r="AA443" s="3"/>
      <c r="AB443" s="3"/>
      <c r="AC443" s="3" t="str">
        <f>HYPERLINK("https://knigipp.ru/api/getInfo/image/605e39f5-594e-11ee-a245-00155d82e902")</f>
        <v>https://knigipp.ru/api/getInfo/image/605e39f5-594e-11ee-a245-00155d82e902</v>
      </c>
      <c r="AD443" s="32">
        <v>80</v>
      </c>
      <c r="AE443" s="3" t="s">
        <v>481</v>
      </c>
      <c r="AF443" s="3" t="s">
        <v>136</v>
      </c>
      <c r="AG443" s="3"/>
      <c r="AH443" s="3" t="s">
        <v>56</v>
      </c>
      <c r="AI443" s="3"/>
      <c r="AJ443" s="3"/>
      <c r="AK443" s="3" t="str">
        <f>HYPERLINK("https://knigipp.ru/api/getInfo/item/605e39f5-594e-11ee-a245-00155d82e902")</f>
        <v>https://knigipp.ru/api/getInfo/item/605e39f5-594e-11ee-a245-00155d82e902</v>
      </c>
      <c r="AL443" s="3" t="s">
        <v>1385</v>
      </c>
    </row>
    <row r="444" spans="1:38" ht="21" customHeight="1" outlineLevel="5" x14ac:dyDescent="0.2">
      <c r="A444" s="2">
        <v>320</v>
      </c>
      <c r="B444" s="3" t="s">
        <v>2003</v>
      </c>
      <c r="C444" s="49" t="s">
        <v>2004</v>
      </c>
      <c r="D444" s="49"/>
      <c r="E444" s="49"/>
      <c r="F444" s="49"/>
      <c r="G444" s="4" t="s">
        <v>2005</v>
      </c>
      <c r="H444" s="8"/>
      <c r="I444" s="9" t="s">
        <v>1980</v>
      </c>
      <c r="J444" s="10"/>
      <c r="K444" s="11">
        <v>10</v>
      </c>
      <c r="L444" s="10"/>
      <c r="M444" s="10" t="s">
        <v>47</v>
      </c>
      <c r="N444" s="10"/>
      <c r="O444" s="2">
        <v>7</v>
      </c>
      <c r="P444" s="17">
        <f>99*(1-S3/100)</f>
        <v>99</v>
      </c>
      <c r="Q444" s="18"/>
      <c r="R444" s="10">
        <f>P444*Q444</f>
        <v>0</v>
      </c>
      <c r="S444" s="10">
        <v>0</v>
      </c>
      <c r="T444" s="10">
        <v>0</v>
      </c>
      <c r="U444" s="21"/>
      <c r="V444" s="22" t="s">
        <v>2006</v>
      </c>
      <c r="W444" s="22" t="s">
        <v>191</v>
      </c>
      <c r="X444" s="3"/>
      <c r="Y444" s="3" t="s">
        <v>1998</v>
      </c>
      <c r="Z444" s="3" t="s">
        <v>52</v>
      </c>
      <c r="AA444" s="3"/>
      <c r="AB444" s="3"/>
      <c r="AC444" s="3" t="str">
        <f>HYPERLINK("https://knigipp.ru/api/getInfo/image/a268b4ac-594e-11ee-a245-00155d82e902")</f>
        <v>https://knigipp.ru/api/getInfo/image/a268b4ac-594e-11ee-a245-00155d82e902</v>
      </c>
      <c r="AD444" s="32">
        <v>80</v>
      </c>
      <c r="AE444" s="3" t="s">
        <v>481</v>
      </c>
      <c r="AF444" s="3" t="s">
        <v>136</v>
      </c>
      <c r="AG444" s="3"/>
      <c r="AH444" s="3" t="s">
        <v>56</v>
      </c>
      <c r="AI444" s="3"/>
      <c r="AJ444" s="3"/>
      <c r="AK444" s="3" t="str">
        <f>HYPERLINK("https://knigipp.ru/api/getInfo/item/a268b4ac-594e-11ee-a245-00155d82e902")</f>
        <v>https://knigipp.ru/api/getInfo/item/a268b4ac-594e-11ee-a245-00155d82e902</v>
      </c>
      <c r="AL444" s="3" t="s">
        <v>1385</v>
      </c>
    </row>
    <row r="445" spans="1:38" ht="23.1" customHeight="1" outlineLevel="4" x14ac:dyDescent="0.2">
      <c r="A445" s="55" t="s">
        <v>2007</v>
      </c>
      <c r="B445" s="55"/>
      <c r="C445" s="55"/>
      <c r="D445" s="55"/>
      <c r="E445" s="55"/>
      <c r="F445" s="55"/>
    </row>
    <row r="446" spans="1:38" ht="21" customHeight="1" outlineLevel="5" x14ac:dyDescent="0.2">
      <c r="A446" s="2">
        <v>321</v>
      </c>
      <c r="B446" s="3" t="s">
        <v>2008</v>
      </c>
      <c r="C446" s="49" t="s">
        <v>2009</v>
      </c>
      <c r="D446" s="49"/>
      <c r="E446" s="49"/>
      <c r="F446" s="49"/>
      <c r="G446" s="4" t="s">
        <v>2010</v>
      </c>
      <c r="H446" s="8"/>
      <c r="I446" s="9" t="s">
        <v>2011</v>
      </c>
      <c r="J446" s="10"/>
      <c r="K446" s="11">
        <v>10</v>
      </c>
      <c r="L446" s="10"/>
      <c r="M446" s="10" t="s">
        <v>304</v>
      </c>
      <c r="N446" s="10"/>
      <c r="O446" s="2">
        <v>7</v>
      </c>
      <c r="P446" s="17">
        <f>99*(1-S3/100)</f>
        <v>99</v>
      </c>
      <c r="Q446" s="18"/>
      <c r="R446" s="10">
        <f>P446*Q446</f>
        <v>0</v>
      </c>
      <c r="S446" s="19">
        <f>0.118*Q446</f>
        <v>0</v>
      </c>
      <c r="T446" s="20">
        <f>0.00023*Q446</f>
        <v>0</v>
      </c>
      <c r="U446" s="21"/>
      <c r="V446" s="22" t="s">
        <v>2012</v>
      </c>
      <c r="W446" s="22" t="s">
        <v>191</v>
      </c>
      <c r="X446" s="3"/>
      <c r="Y446" s="3" t="s">
        <v>2013</v>
      </c>
      <c r="Z446" s="3" t="s">
        <v>52</v>
      </c>
      <c r="AA446" s="3" t="s">
        <v>1611</v>
      </c>
      <c r="AB446" s="3"/>
      <c r="AC446" s="3" t="str">
        <f>HYPERLINK("https://knigipp.ru/api/getInfo/image/0f5f7605-bf66-11ee-a25a-00155d82e908")</f>
        <v>https://knigipp.ru/api/getInfo/image/0f5f7605-bf66-11ee-a25a-00155d82e908</v>
      </c>
      <c r="AD446" s="32">
        <v>80</v>
      </c>
      <c r="AE446" s="3" t="s">
        <v>481</v>
      </c>
      <c r="AF446" s="3" t="s">
        <v>136</v>
      </c>
      <c r="AG446" s="3"/>
      <c r="AH446" s="3" t="s">
        <v>56</v>
      </c>
      <c r="AI446" s="3"/>
      <c r="AJ446" s="3"/>
      <c r="AK446" s="3" t="str">
        <f>HYPERLINK("https://knigipp.ru/api/getInfo/item/0f5f7605-bf66-11ee-a25a-00155d82e908")</f>
        <v>https://knigipp.ru/api/getInfo/item/0f5f7605-bf66-11ee-a25a-00155d82e908</v>
      </c>
      <c r="AL446" s="3" t="s">
        <v>1385</v>
      </c>
    </row>
    <row r="447" spans="1:38" ht="23.1" customHeight="1" outlineLevel="4" x14ac:dyDescent="0.2">
      <c r="A447" s="55" t="s">
        <v>2014</v>
      </c>
      <c r="B447" s="55"/>
      <c r="C447" s="55"/>
      <c r="D447" s="55"/>
      <c r="E447" s="55"/>
      <c r="F447" s="55"/>
    </row>
    <row r="448" spans="1:38" ht="21" customHeight="1" outlineLevel="5" x14ac:dyDescent="0.2">
      <c r="A448" s="2">
        <v>322</v>
      </c>
      <c r="B448" s="3" t="s">
        <v>2015</v>
      </c>
      <c r="C448" s="49" t="s">
        <v>2016</v>
      </c>
      <c r="D448" s="49"/>
      <c r="E448" s="49"/>
      <c r="F448" s="49"/>
      <c r="G448" s="4" t="s">
        <v>2017</v>
      </c>
      <c r="H448" s="8"/>
      <c r="I448" s="9"/>
      <c r="J448" s="10"/>
      <c r="K448" s="11">
        <v>10</v>
      </c>
      <c r="L448" s="10"/>
      <c r="M448" s="10" t="s">
        <v>304</v>
      </c>
      <c r="N448" s="10"/>
      <c r="O448" s="2">
        <v>7</v>
      </c>
      <c r="P448" s="17">
        <f>99*(1-S3/100)</f>
        <v>99</v>
      </c>
      <c r="Q448" s="18"/>
      <c r="R448" s="10">
        <f>P448*Q448</f>
        <v>0</v>
      </c>
      <c r="S448" s="28">
        <f>0.11*Q448</f>
        <v>0</v>
      </c>
      <c r="T448" s="20">
        <f>0.00014*Q448</f>
        <v>0</v>
      </c>
      <c r="U448" s="21"/>
      <c r="V448" s="22" t="s">
        <v>2018</v>
      </c>
      <c r="W448" s="22" t="s">
        <v>191</v>
      </c>
      <c r="X448" s="3"/>
      <c r="Y448" s="3" t="s">
        <v>2019</v>
      </c>
      <c r="Z448" s="3" t="s">
        <v>52</v>
      </c>
      <c r="AA448" s="3" t="s">
        <v>1405</v>
      </c>
      <c r="AB448" s="3"/>
      <c r="AC448" s="3" t="str">
        <f>HYPERLINK("https://knigipp.ru/api/getInfo/image/13ec7ca8-8786-11ee-a248-00155d82e902")</f>
        <v>https://knigipp.ru/api/getInfo/image/13ec7ca8-8786-11ee-a248-00155d82e902</v>
      </c>
      <c r="AD448" s="32">
        <v>80</v>
      </c>
      <c r="AE448" s="3" t="s">
        <v>355</v>
      </c>
      <c r="AF448" s="3" t="s">
        <v>136</v>
      </c>
      <c r="AG448" s="3"/>
      <c r="AH448" s="3" t="s">
        <v>56</v>
      </c>
      <c r="AI448" s="3"/>
      <c r="AJ448" s="3"/>
      <c r="AK448" s="3" t="str">
        <f>HYPERLINK("https://knigipp.ru/api/getInfo/item/13ec7ca8-8786-11ee-a248-00155d82e902")</f>
        <v>https://knigipp.ru/api/getInfo/item/13ec7ca8-8786-11ee-a248-00155d82e902</v>
      </c>
      <c r="AL448" s="3" t="s">
        <v>1385</v>
      </c>
    </row>
    <row r="449" spans="1:38" ht="23.1" customHeight="1" outlineLevel="4" x14ac:dyDescent="0.2">
      <c r="A449" s="55" t="s">
        <v>2020</v>
      </c>
      <c r="B449" s="55"/>
      <c r="C449" s="55"/>
      <c r="D449" s="55"/>
      <c r="E449" s="55"/>
      <c r="F449" s="55"/>
    </row>
    <row r="450" spans="1:38" ht="21" customHeight="1" outlineLevel="5" x14ac:dyDescent="0.2">
      <c r="A450" s="2">
        <v>323</v>
      </c>
      <c r="B450" s="3" t="s">
        <v>2021</v>
      </c>
      <c r="C450" s="49" t="s">
        <v>2022</v>
      </c>
      <c r="D450" s="49"/>
      <c r="E450" s="49"/>
      <c r="F450" s="49"/>
      <c r="G450" s="4" t="s">
        <v>2023</v>
      </c>
      <c r="H450" s="8"/>
      <c r="I450" s="9" t="s">
        <v>1714</v>
      </c>
      <c r="J450" s="10"/>
      <c r="K450" s="11">
        <v>20</v>
      </c>
      <c r="L450" s="10"/>
      <c r="M450" s="10" t="s">
        <v>47</v>
      </c>
      <c r="N450" s="10"/>
      <c r="O450" s="2">
        <v>10</v>
      </c>
      <c r="P450" s="17">
        <f>67*(1-S3/100)</f>
        <v>67</v>
      </c>
      <c r="Q450" s="18"/>
      <c r="R450" s="10">
        <f>P450*Q450</f>
        <v>0</v>
      </c>
      <c r="S450" s="19">
        <f>0.044*Q450</f>
        <v>0</v>
      </c>
      <c r="T450" s="20">
        <f>0.00013*Q450</f>
        <v>0</v>
      </c>
      <c r="U450" s="21"/>
      <c r="V450" s="22" t="s">
        <v>2024</v>
      </c>
      <c r="W450" s="22" t="s">
        <v>191</v>
      </c>
      <c r="X450" s="3"/>
      <c r="Y450" s="3" t="s">
        <v>2025</v>
      </c>
      <c r="Z450" s="3" t="s">
        <v>52</v>
      </c>
      <c r="AA450" s="3"/>
      <c r="AB450" s="3"/>
      <c r="AC450" s="3" t="str">
        <f>HYPERLINK("https://knigipp.ru/api/getInfo/image/f1c94382-c1a4-11ee-a25a-00155d82e908")</f>
        <v>https://knigipp.ru/api/getInfo/image/f1c94382-c1a4-11ee-a25a-00155d82e908</v>
      </c>
      <c r="AD450" s="32">
        <v>64</v>
      </c>
      <c r="AE450" s="3" t="s">
        <v>355</v>
      </c>
      <c r="AF450" s="3" t="s">
        <v>136</v>
      </c>
      <c r="AG450" s="3"/>
      <c r="AH450" s="3" t="s">
        <v>56</v>
      </c>
      <c r="AI450" s="3"/>
      <c r="AJ450" s="3"/>
      <c r="AK450" s="3" t="str">
        <f>HYPERLINK("https://knigipp.ru/api/getInfo/item/f1c94382-c1a4-11ee-a25a-00155d82e908")</f>
        <v>https://knigipp.ru/api/getInfo/item/f1c94382-c1a4-11ee-a25a-00155d82e908</v>
      </c>
      <c r="AL450" s="3" t="s">
        <v>2026</v>
      </c>
    </row>
    <row r="451" spans="1:38" ht="21" customHeight="1" outlineLevel="5" x14ac:dyDescent="0.2">
      <c r="A451" s="2">
        <v>324</v>
      </c>
      <c r="B451" s="3" t="s">
        <v>2027</v>
      </c>
      <c r="C451" s="49" t="s">
        <v>2028</v>
      </c>
      <c r="D451" s="49"/>
      <c r="E451" s="49"/>
      <c r="F451" s="49"/>
      <c r="G451" s="4" t="s">
        <v>2029</v>
      </c>
      <c r="H451" s="8"/>
      <c r="I451" s="9" t="s">
        <v>1714</v>
      </c>
      <c r="J451" s="10"/>
      <c r="K451" s="11">
        <v>20</v>
      </c>
      <c r="L451" s="10"/>
      <c r="M451" s="10" t="s">
        <v>47</v>
      </c>
      <c r="N451" s="10"/>
      <c r="O451" s="2">
        <v>10</v>
      </c>
      <c r="P451" s="17">
        <f>67*(1-S3/100)</f>
        <v>67</v>
      </c>
      <c r="Q451" s="18"/>
      <c r="R451" s="10">
        <f>P451*Q451</f>
        <v>0</v>
      </c>
      <c r="S451" s="19">
        <f>0.044*Q451</f>
        <v>0</v>
      </c>
      <c r="T451" s="20">
        <f>0.00013*Q451</f>
        <v>0</v>
      </c>
      <c r="U451" s="21"/>
      <c r="V451" s="22" t="s">
        <v>2030</v>
      </c>
      <c r="W451" s="22" t="s">
        <v>191</v>
      </c>
      <c r="X451" s="3"/>
      <c r="Y451" s="3" t="s">
        <v>2031</v>
      </c>
      <c r="Z451" s="3" t="s">
        <v>52</v>
      </c>
      <c r="AA451" s="3"/>
      <c r="AB451" s="3"/>
      <c r="AC451" s="3" t="str">
        <f>HYPERLINK("https://knigipp.ru/api/getInfo/image/1b7db725-c1a5-11ee-a25a-00155d82e908")</f>
        <v>https://knigipp.ru/api/getInfo/image/1b7db725-c1a5-11ee-a25a-00155d82e908</v>
      </c>
      <c r="AD451" s="32">
        <v>64</v>
      </c>
      <c r="AE451" s="3" t="s">
        <v>355</v>
      </c>
      <c r="AF451" s="3" t="s">
        <v>136</v>
      </c>
      <c r="AG451" s="3"/>
      <c r="AH451" s="3" t="s">
        <v>56</v>
      </c>
      <c r="AI451" s="3"/>
      <c r="AJ451" s="3"/>
      <c r="AK451" s="3" t="str">
        <f>HYPERLINK("https://knigipp.ru/api/getInfo/item/1b7db725-c1a5-11ee-a25a-00155d82e908")</f>
        <v>https://knigipp.ru/api/getInfo/item/1b7db725-c1a5-11ee-a25a-00155d82e908</v>
      </c>
      <c r="AL451" s="3" t="s">
        <v>2026</v>
      </c>
    </row>
    <row r="452" spans="1:38" ht="21" customHeight="1" outlineLevel="5" x14ac:dyDescent="0.2">
      <c r="A452" s="2">
        <v>325</v>
      </c>
      <c r="B452" s="3" t="s">
        <v>2032</v>
      </c>
      <c r="C452" s="49" t="s">
        <v>2033</v>
      </c>
      <c r="D452" s="49"/>
      <c r="E452" s="49"/>
      <c r="F452" s="49"/>
      <c r="G452" s="4" t="s">
        <v>2034</v>
      </c>
      <c r="H452" s="8"/>
      <c r="I452" s="9" t="s">
        <v>1714</v>
      </c>
      <c r="J452" s="10"/>
      <c r="K452" s="11">
        <v>20</v>
      </c>
      <c r="L452" s="10"/>
      <c r="M452" s="10" t="s">
        <v>47</v>
      </c>
      <c r="N452" s="10"/>
      <c r="O452" s="2">
        <v>10</v>
      </c>
      <c r="P452" s="17">
        <f>67*(1-S3/100)</f>
        <v>67</v>
      </c>
      <c r="Q452" s="18"/>
      <c r="R452" s="10">
        <f>P452*Q452</f>
        <v>0</v>
      </c>
      <c r="S452" s="19">
        <f>0.044*Q452</f>
        <v>0</v>
      </c>
      <c r="T452" s="20">
        <f>0.00013*Q452</f>
        <v>0</v>
      </c>
      <c r="U452" s="21"/>
      <c r="V452" s="22" t="s">
        <v>2035</v>
      </c>
      <c r="W452" s="22" t="s">
        <v>191</v>
      </c>
      <c r="X452" s="3"/>
      <c r="Y452" s="3" t="s">
        <v>2036</v>
      </c>
      <c r="Z452" s="3" t="s">
        <v>52</v>
      </c>
      <c r="AA452" s="3"/>
      <c r="AB452" s="3"/>
      <c r="AC452" s="3" t="str">
        <f>HYPERLINK("https://knigipp.ru/api/getInfo/image/4d5130de-c1a5-11ee-a25a-00155d82e908")</f>
        <v>https://knigipp.ru/api/getInfo/image/4d5130de-c1a5-11ee-a25a-00155d82e908</v>
      </c>
      <c r="AD452" s="32">
        <v>64</v>
      </c>
      <c r="AE452" s="3" t="s">
        <v>355</v>
      </c>
      <c r="AF452" s="3" t="s">
        <v>136</v>
      </c>
      <c r="AG452" s="3"/>
      <c r="AH452" s="3" t="s">
        <v>56</v>
      </c>
      <c r="AI452" s="3"/>
      <c r="AJ452" s="3"/>
      <c r="AK452" s="3" t="str">
        <f>HYPERLINK("https://knigipp.ru/api/getInfo/item/4d5130de-c1a5-11ee-a25a-00155d82e908")</f>
        <v>https://knigipp.ru/api/getInfo/item/4d5130de-c1a5-11ee-a25a-00155d82e908</v>
      </c>
      <c r="AL452" s="3" t="s">
        <v>2026</v>
      </c>
    </row>
    <row r="453" spans="1:38" ht="21" customHeight="1" outlineLevel="5" x14ac:dyDescent="0.2">
      <c r="A453" s="2">
        <v>326</v>
      </c>
      <c r="B453" s="3" t="s">
        <v>2037</v>
      </c>
      <c r="C453" s="49" t="s">
        <v>2038</v>
      </c>
      <c r="D453" s="49"/>
      <c r="E453" s="49"/>
      <c r="F453" s="49"/>
      <c r="G453" s="4" t="s">
        <v>2039</v>
      </c>
      <c r="H453" s="8"/>
      <c r="I453" s="9" t="s">
        <v>1714</v>
      </c>
      <c r="J453" s="10"/>
      <c r="K453" s="11">
        <v>20</v>
      </c>
      <c r="L453" s="10"/>
      <c r="M453" s="10" t="s">
        <v>47</v>
      </c>
      <c r="N453" s="10"/>
      <c r="O453" s="2">
        <v>10</v>
      </c>
      <c r="P453" s="17">
        <f>67*(1-S3/100)</f>
        <v>67</v>
      </c>
      <c r="Q453" s="18"/>
      <c r="R453" s="10">
        <f>P453*Q453</f>
        <v>0</v>
      </c>
      <c r="S453" s="19">
        <f>0.044*Q453</f>
        <v>0</v>
      </c>
      <c r="T453" s="20">
        <f>0.00013*Q453</f>
        <v>0</v>
      </c>
      <c r="U453" s="21"/>
      <c r="V453" s="22" t="s">
        <v>2040</v>
      </c>
      <c r="W453" s="22" t="s">
        <v>191</v>
      </c>
      <c r="X453" s="3"/>
      <c r="Y453" s="3" t="s">
        <v>2041</v>
      </c>
      <c r="Z453" s="3" t="s">
        <v>52</v>
      </c>
      <c r="AA453" s="3"/>
      <c r="AB453" s="3"/>
      <c r="AC453" s="3" t="str">
        <f>HYPERLINK("https://knigipp.ru/api/getInfo/image/cc7eec1e-c1a4-11ee-a25a-00155d82e908")</f>
        <v>https://knigipp.ru/api/getInfo/image/cc7eec1e-c1a4-11ee-a25a-00155d82e908</v>
      </c>
      <c r="AD453" s="32">
        <v>64</v>
      </c>
      <c r="AE453" s="3" t="s">
        <v>355</v>
      </c>
      <c r="AF453" s="3" t="s">
        <v>136</v>
      </c>
      <c r="AG453" s="3"/>
      <c r="AH453" s="3" t="s">
        <v>56</v>
      </c>
      <c r="AI453" s="3"/>
      <c r="AJ453" s="3"/>
      <c r="AK453" s="3" t="str">
        <f>HYPERLINK("https://knigipp.ru/api/getInfo/item/cc7eec1e-c1a4-11ee-a25a-00155d82e908")</f>
        <v>https://knigipp.ru/api/getInfo/item/cc7eec1e-c1a4-11ee-a25a-00155d82e908</v>
      </c>
      <c r="AL453" s="3" t="s">
        <v>2026</v>
      </c>
    </row>
    <row r="454" spans="1:38" ht="23.1" customHeight="1" outlineLevel="3" x14ac:dyDescent="0.2">
      <c r="A454" s="48" t="s">
        <v>2042</v>
      </c>
      <c r="B454" s="48"/>
      <c r="C454" s="48"/>
      <c r="D454" s="48"/>
      <c r="E454" s="48"/>
      <c r="F454" s="48"/>
    </row>
    <row r="455" spans="1:38" ht="23.1" customHeight="1" outlineLevel="4" x14ac:dyDescent="0.2">
      <c r="A455" s="55" t="s">
        <v>2043</v>
      </c>
      <c r="B455" s="55"/>
      <c r="C455" s="55"/>
      <c r="D455" s="55"/>
      <c r="E455" s="55"/>
      <c r="F455" s="55"/>
    </row>
    <row r="456" spans="1:38" ht="21" customHeight="1" outlineLevel="5" x14ac:dyDescent="0.2">
      <c r="A456" s="2">
        <v>327</v>
      </c>
      <c r="B456" s="3" t="s">
        <v>2044</v>
      </c>
      <c r="C456" s="49" t="s">
        <v>2045</v>
      </c>
      <c r="D456" s="49"/>
      <c r="E456" s="49"/>
      <c r="F456" s="49"/>
      <c r="G456" s="4" t="s">
        <v>2046</v>
      </c>
      <c r="H456" s="8"/>
      <c r="I456" s="9" t="s">
        <v>2047</v>
      </c>
      <c r="J456" s="10"/>
      <c r="K456" s="11">
        <v>20</v>
      </c>
      <c r="L456" s="10"/>
      <c r="M456" s="10" t="s">
        <v>47</v>
      </c>
      <c r="N456" s="10"/>
      <c r="O456" s="2">
        <v>4</v>
      </c>
      <c r="P456" s="17">
        <f>153*(1-S3/100)</f>
        <v>153</v>
      </c>
      <c r="Q456" s="18"/>
      <c r="R456" s="10">
        <f>P456*Q456</f>
        <v>0</v>
      </c>
      <c r="S456" s="28">
        <f>0.17*Q456</f>
        <v>0</v>
      </c>
      <c r="T456" s="20">
        <f>0.00046*Q456</f>
        <v>0</v>
      </c>
      <c r="U456" s="21"/>
      <c r="V456" s="22" t="s">
        <v>2048</v>
      </c>
      <c r="W456" s="22" t="s">
        <v>191</v>
      </c>
      <c r="X456" s="3"/>
      <c r="Y456" s="3"/>
      <c r="Z456" s="3"/>
      <c r="AA456" s="3"/>
      <c r="AB456" s="3"/>
      <c r="AC456" s="3" t="str">
        <f>HYPERLINK("https://knigipp.ru/api/getInfo/image/e6def132-66d7-11ec-a20f-ac1f6b442185")</f>
        <v>https://knigipp.ru/api/getInfo/image/e6def132-66d7-11ec-a20f-ac1f6b442185</v>
      </c>
      <c r="AD456" s="32">
        <v>96</v>
      </c>
      <c r="AE456" s="3" t="s">
        <v>54</v>
      </c>
      <c r="AF456" s="3" t="s">
        <v>55</v>
      </c>
      <c r="AG456" s="3"/>
      <c r="AH456" s="3" t="s">
        <v>56</v>
      </c>
      <c r="AI456" s="3"/>
      <c r="AJ456" s="3"/>
      <c r="AK456" s="3" t="str">
        <f>HYPERLINK("https://knigipp.ru/api/getInfo/item/e6def132-66d7-11ec-a20f-ac1f6b442185")</f>
        <v>https://knigipp.ru/api/getInfo/item/e6def132-66d7-11ec-a20f-ac1f6b442185</v>
      </c>
      <c r="AL456" s="3" t="s">
        <v>2049</v>
      </c>
    </row>
    <row r="457" spans="1:38" ht="21" customHeight="1" outlineLevel="5" x14ac:dyDescent="0.2">
      <c r="A457" s="2">
        <v>328</v>
      </c>
      <c r="B457" s="3" t="s">
        <v>2050</v>
      </c>
      <c r="C457" s="49" t="s">
        <v>2051</v>
      </c>
      <c r="D457" s="49"/>
      <c r="E457" s="49"/>
      <c r="F457" s="49"/>
      <c r="G457" s="4" t="s">
        <v>2052</v>
      </c>
      <c r="H457" s="8"/>
      <c r="I457" s="9" t="s">
        <v>2047</v>
      </c>
      <c r="J457" s="10"/>
      <c r="K457" s="11">
        <v>20</v>
      </c>
      <c r="L457" s="10"/>
      <c r="M457" s="10" t="s">
        <v>47</v>
      </c>
      <c r="N457" s="10"/>
      <c r="O457" s="2">
        <v>4</v>
      </c>
      <c r="P457" s="17">
        <f>153*(1-S3/100)</f>
        <v>153</v>
      </c>
      <c r="Q457" s="18"/>
      <c r="R457" s="10">
        <f>P457*Q457</f>
        <v>0</v>
      </c>
      <c r="S457" s="28">
        <f>0.17*Q457</f>
        <v>0</v>
      </c>
      <c r="T457" s="20">
        <f>0.00046*Q457</f>
        <v>0</v>
      </c>
      <c r="U457" s="21"/>
      <c r="V457" s="22" t="s">
        <v>2053</v>
      </c>
      <c r="W457" s="22" t="s">
        <v>191</v>
      </c>
      <c r="X457" s="3"/>
      <c r="Y457" s="3"/>
      <c r="Z457" s="3" t="s">
        <v>52</v>
      </c>
      <c r="AA457" s="3"/>
      <c r="AB457" s="3"/>
      <c r="AC457" s="3" t="str">
        <f>HYPERLINK("https://knigipp.ru/api/getInfo/image/13ad54b0-66d7-11ec-a20f-ac1f6b442185")</f>
        <v>https://knigipp.ru/api/getInfo/image/13ad54b0-66d7-11ec-a20f-ac1f6b442185</v>
      </c>
      <c r="AD457" s="32">
        <v>96</v>
      </c>
      <c r="AE457" s="3" t="s">
        <v>54</v>
      </c>
      <c r="AF457" s="3" t="s">
        <v>55</v>
      </c>
      <c r="AG457" s="3"/>
      <c r="AH457" s="3" t="s">
        <v>56</v>
      </c>
      <c r="AI457" s="3"/>
      <c r="AJ457" s="3"/>
      <c r="AK457" s="3" t="str">
        <f>HYPERLINK("https://knigipp.ru/api/getInfo/item/13ad54b0-66d7-11ec-a20f-ac1f6b442185")</f>
        <v>https://knigipp.ru/api/getInfo/item/13ad54b0-66d7-11ec-a20f-ac1f6b442185</v>
      </c>
      <c r="AL457" s="3" t="s">
        <v>2049</v>
      </c>
    </row>
    <row r="458" spans="1:38" ht="23.1" customHeight="1" outlineLevel="3" x14ac:dyDescent="0.2">
      <c r="A458" s="48" t="s">
        <v>2054</v>
      </c>
      <c r="B458" s="48"/>
      <c r="C458" s="48"/>
      <c r="D458" s="48"/>
      <c r="E458" s="48"/>
      <c r="F458" s="48"/>
    </row>
    <row r="459" spans="1:38" ht="23.1" customHeight="1" outlineLevel="4" x14ac:dyDescent="0.2">
      <c r="A459" s="55" t="s">
        <v>2055</v>
      </c>
      <c r="B459" s="55"/>
      <c r="C459" s="55"/>
      <c r="D459" s="55"/>
      <c r="E459" s="55"/>
      <c r="F459" s="55"/>
    </row>
    <row r="460" spans="1:38" ht="23.1" customHeight="1" outlineLevel="5" x14ac:dyDescent="0.2">
      <c r="A460" s="56" t="s">
        <v>2056</v>
      </c>
      <c r="B460" s="56"/>
      <c r="C460" s="56"/>
      <c r="D460" s="56"/>
      <c r="E460" s="56"/>
      <c r="F460" s="56"/>
    </row>
    <row r="461" spans="1:38" ht="21" customHeight="1" outlineLevel="6" x14ac:dyDescent="0.2">
      <c r="A461" s="2">
        <v>329</v>
      </c>
      <c r="B461" s="3" t="s">
        <v>2057</v>
      </c>
      <c r="C461" s="49" t="s">
        <v>2058</v>
      </c>
      <c r="D461" s="49"/>
      <c r="E461" s="49"/>
      <c r="F461" s="49"/>
      <c r="G461" s="4" t="s">
        <v>2059</v>
      </c>
      <c r="H461" s="8"/>
      <c r="I461" s="9" t="s">
        <v>2060</v>
      </c>
      <c r="J461" s="10"/>
      <c r="K461" s="11">
        <v>20</v>
      </c>
      <c r="L461" s="10"/>
      <c r="M461" s="10" t="s">
        <v>47</v>
      </c>
      <c r="N461" s="10"/>
      <c r="O461" s="2">
        <v>1</v>
      </c>
      <c r="P461" s="17">
        <f>249*(1-S3/100)</f>
        <v>249</v>
      </c>
      <c r="Q461" s="18"/>
      <c r="R461" s="10">
        <f>P461*Q461</f>
        <v>0</v>
      </c>
      <c r="S461" s="28">
        <f>0.39*Q461</f>
        <v>0</v>
      </c>
      <c r="T461" s="20">
        <f>0.00031*Q461</f>
        <v>0</v>
      </c>
      <c r="U461" s="21"/>
      <c r="V461" s="22" t="s">
        <v>2061</v>
      </c>
      <c r="W461" s="22" t="s">
        <v>191</v>
      </c>
      <c r="X461" s="3"/>
      <c r="Y461" s="3" t="s">
        <v>2062</v>
      </c>
      <c r="Z461" s="3" t="s">
        <v>52</v>
      </c>
      <c r="AA461" s="3"/>
      <c r="AB461" s="3"/>
      <c r="AC461" s="3" t="str">
        <f>HYPERLINK("https://knigipp.ru/api/getInfo/image/aac369fd-777b-11eb-a273-ac1f6b442184")</f>
        <v>https://knigipp.ru/api/getInfo/image/aac369fd-777b-11eb-a273-ac1f6b442184</v>
      </c>
      <c r="AD461" s="32">
        <v>80</v>
      </c>
      <c r="AE461" s="3"/>
      <c r="AF461" s="3" t="s">
        <v>741</v>
      </c>
      <c r="AG461" s="3"/>
      <c r="AH461" s="3" t="s">
        <v>56</v>
      </c>
      <c r="AI461" s="3"/>
      <c r="AJ461" s="3"/>
      <c r="AK461" s="3" t="str">
        <f>HYPERLINK("https://knigipp.ru/api/getInfo/item/aac369fd-777b-11eb-a273-ac1f6b442184")</f>
        <v>https://knigipp.ru/api/getInfo/item/aac369fd-777b-11eb-a273-ac1f6b442184</v>
      </c>
      <c r="AL461" s="3" t="s">
        <v>2063</v>
      </c>
    </row>
    <row r="462" spans="1:38" ht="21" customHeight="1" outlineLevel="6" x14ac:dyDescent="0.2">
      <c r="A462" s="2">
        <v>330</v>
      </c>
      <c r="B462" s="3" t="s">
        <v>2064</v>
      </c>
      <c r="C462" s="49" t="s">
        <v>2065</v>
      </c>
      <c r="D462" s="49"/>
      <c r="E462" s="49"/>
      <c r="F462" s="49"/>
      <c r="G462" s="4" t="s">
        <v>2066</v>
      </c>
      <c r="H462" s="8"/>
      <c r="I462" s="9" t="s">
        <v>2060</v>
      </c>
      <c r="J462" s="10"/>
      <c r="K462" s="11">
        <v>20</v>
      </c>
      <c r="L462" s="10"/>
      <c r="M462" s="10" t="s">
        <v>47</v>
      </c>
      <c r="N462" s="10"/>
      <c r="O462" s="2">
        <v>1</v>
      </c>
      <c r="P462" s="17">
        <f>249*(1-S3/100)</f>
        <v>249</v>
      </c>
      <c r="Q462" s="18"/>
      <c r="R462" s="10">
        <f>P462*Q462</f>
        <v>0</v>
      </c>
      <c r="S462" s="28">
        <f>0.39*Q462</f>
        <v>0</v>
      </c>
      <c r="T462" s="20">
        <f>0.00031*Q462</f>
        <v>0</v>
      </c>
      <c r="U462" s="21"/>
      <c r="V462" s="22" t="s">
        <v>2067</v>
      </c>
      <c r="W462" s="22" t="s">
        <v>191</v>
      </c>
      <c r="X462" s="3"/>
      <c r="Y462" s="3" t="s">
        <v>2068</v>
      </c>
      <c r="Z462" s="3" t="s">
        <v>52</v>
      </c>
      <c r="AA462" s="3"/>
      <c r="AB462" s="3"/>
      <c r="AC462" s="3" t="str">
        <f>HYPERLINK("https://knigipp.ru/api/getInfo/image/29420e26-777c-11eb-a273-ac1f6b442184")</f>
        <v>https://knigipp.ru/api/getInfo/image/29420e26-777c-11eb-a273-ac1f6b442184</v>
      </c>
      <c r="AD462" s="32">
        <v>80</v>
      </c>
      <c r="AE462" s="3"/>
      <c r="AF462" s="3" t="s">
        <v>741</v>
      </c>
      <c r="AG462" s="3"/>
      <c r="AH462" s="3" t="s">
        <v>56</v>
      </c>
      <c r="AI462" s="3"/>
      <c r="AJ462" s="3"/>
      <c r="AK462" s="3" t="str">
        <f>HYPERLINK("https://knigipp.ru/api/getInfo/item/29420e26-777c-11eb-a273-ac1f6b442184")</f>
        <v>https://knigipp.ru/api/getInfo/item/29420e26-777c-11eb-a273-ac1f6b442184</v>
      </c>
      <c r="AL462" s="3" t="s">
        <v>2063</v>
      </c>
    </row>
    <row r="463" spans="1:38" ht="21" customHeight="1" outlineLevel="6" x14ac:dyDescent="0.2">
      <c r="A463" s="2">
        <v>331</v>
      </c>
      <c r="B463" s="3" t="s">
        <v>2069</v>
      </c>
      <c r="C463" s="49" t="s">
        <v>2070</v>
      </c>
      <c r="D463" s="49"/>
      <c r="E463" s="49"/>
      <c r="F463" s="49"/>
      <c r="G463" s="4" t="s">
        <v>2071</v>
      </c>
      <c r="H463" s="8"/>
      <c r="I463" s="9" t="s">
        <v>2060</v>
      </c>
      <c r="J463" s="10"/>
      <c r="K463" s="11">
        <v>20</v>
      </c>
      <c r="L463" s="10"/>
      <c r="M463" s="10" t="s">
        <v>47</v>
      </c>
      <c r="N463" s="10"/>
      <c r="O463" s="2">
        <v>1</v>
      </c>
      <c r="P463" s="17">
        <f>249*(1-S3/100)</f>
        <v>249</v>
      </c>
      <c r="Q463" s="18"/>
      <c r="R463" s="10">
        <f>P463*Q463</f>
        <v>0</v>
      </c>
      <c r="S463" s="19">
        <f>0.382*Q463</f>
        <v>0</v>
      </c>
      <c r="T463" s="20">
        <f>0.00055*Q463</f>
        <v>0</v>
      </c>
      <c r="U463" s="21"/>
      <c r="V463" s="22" t="s">
        <v>2072</v>
      </c>
      <c r="W463" s="22" t="s">
        <v>191</v>
      </c>
      <c r="X463" s="3"/>
      <c r="Y463" s="3" t="s">
        <v>2073</v>
      </c>
      <c r="Z463" s="3" t="s">
        <v>52</v>
      </c>
      <c r="AA463" s="3"/>
      <c r="AB463" s="3"/>
      <c r="AC463" s="3" t="str">
        <f>HYPERLINK("https://knigipp.ru/api/getInfo/image/043e6b51-777c-11eb-a273-ac1f6b442184")</f>
        <v>https://knigipp.ru/api/getInfo/image/043e6b51-777c-11eb-a273-ac1f6b442184</v>
      </c>
      <c r="AD463" s="32">
        <v>80</v>
      </c>
      <c r="AE463" s="3"/>
      <c r="AF463" s="3" t="s">
        <v>741</v>
      </c>
      <c r="AG463" s="3"/>
      <c r="AH463" s="3" t="s">
        <v>56</v>
      </c>
      <c r="AI463" s="3"/>
      <c r="AJ463" s="3"/>
      <c r="AK463" s="3" t="str">
        <f>HYPERLINK("https://knigipp.ru/api/getInfo/item/043e6b51-777c-11eb-a273-ac1f6b442184")</f>
        <v>https://knigipp.ru/api/getInfo/item/043e6b51-777c-11eb-a273-ac1f6b442184</v>
      </c>
      <c r="AL463" s="3" t="s">
        <v>2063</v>
      </c>
    </row>
    <row r="464" spans="1:38" ht="23.1" customHeight="1" outlineLevel="5" x14ac:dyDescent="0.2">
      <c r="A464" s="56" t="s">
        <v>2074</v>
      </c>
      <c r="B464" s="56"/>
      <c r="C464" s="56"/>
      <c r="D464" s="56"/>
      <c r="E464" s="56"/>
      <c r="F464" s="56"/>
    </row>
    <row r="465" spans="1:38" ht="21" customHeight="1" outlineLevel="6" x14ac:dyDescent="0.2">
      <c r="A465" s="2">
        <v>332</v>
      </c>
      <c r="B465" s="3" t="s">
        <v>2075</v>
      </c>
      <c r="C465" s="49" t="s">
        <v>2076</v>
      </c>
      <c r="D465" s="49"/>
      <c r="E465" s="49"/>
      <c r="F465" s="49"/>
      <c r="G465" s="4" t="s">
        <v>2077</v>
      </c>
      <c r="H465" s="8"/>
      <c r="I465" s="9" t="s">
        <v>2078</v>
      </c>
      <c r="J465" s="10"/>
      <c r="K465" s="11">
        <v>10</v>
      </c>
      <c r="L465" s="10"/>
      <c r="M465" s="10" t="s">
        <v>47</v>
      </c>
      <c r="N465" s="10"/>
      <c r="O465" s="2">
        <v>3</v>
      </c>
      <c r="P465" s="17">
        <f>249*(1-S3/100)</f>
        <v>249</v>
      </c>
      <c r="Q465" s="18"/>
      <c r="R465" s="10">
        <f>P465*Q465</f>
        <v>0</v>
      </c>
      <c r="S465" s="19">
        <f>0.319*Q465</f>
        <v>0</v>
      </c>
      <c r="T465" s="19">
        <f>0.001*Q465</f>
        <v>0</v>
      </c>
      <c r="U465" s="21"/>
      <c r="V465" s="22" t="s">
        <v>2079</v>
      </c>
      <c r="W465" s="22" t="s">
        <v>191</v>
      </c>
      <c r="X465" s="3"/>
      <c r="Y465" s="3"/>
      <c r="Z465" s="3" t="s">
        <v>52</v>
      </c>
      <c r="AA465" s="3"/>
      <c r="AB465" s="3"/>
      <c r="AC465" s="3" t="str">
        <f>HYPERLINK("https://knigipp.ru/api/getInfo/image/1546b00b-59f0-11ed-a220-ac1f6b442185")</f>
        <v>https://knigipp.ru/api/getInfo/image/1546b00b-59f0-11ed-a220-ac1f6b442185</v>
      </c>
      <c r="AD465" s="32">
        <v>128</v>
      </c>
      <c r="AE465" s="3" t="s">
        <v>355</v>
      </c>
      <c r="AF465" s="3" t="s">
        <v>741</v>
      </c>
      <c r="AG465" s="3"/>
      <c r="AH465" s="3" t="s">
        <v>56</v>
      </c>
      <c r="AI465" s="3"/>
      <c r="AJ465" s="3"/>
      <c r="AK465" s="3" t="str">
        <f>HYPERLINK("https://knigipp.ru/api/getInfo/item/1546b00b-59f0-11ed-a220-ac1f6b442185")</f>
        <v>https://knigipp.ru/api/getInfo/item/1546b00b-59f0-11ed-a220-ac1f6b442185</v>
      </c>
      <c r="AL465" s="3" t="s">
        <v>2080</v>
      </c>
    </row>
    <row r="466" spans="1:38" ht="21" customHeight="1" outlineLevel="6" x14ac:dyDescent="0.2">
      <c r="A466" s="2">
        <v>333</v>
      </c>
      <c r="B466" s="3" t="s">
        <v>2081</v>
      </c>
      <c r="C466" s="49" t="s">
        <v>2082</v>
      </c>
      <c r="D466" s="49"/>
      <c r="E466" s="49"/>
      <c r="F466" s="49"/>
      <c r="G466" s="4" t="s">
        <v>2083</v>
      </c>
      <c r="H466" s="8"/>
      <c r="I466" s="9" t="s">
        <v>2078</v>
      </c>
      <c r="J466" s="10"/>
      <c r="K466" s="11">
        <v>10</v>
      </c>
      <c r="L466" s="10"/>
      <c r="M466" s="10" t="s">
        <v>47</v>
      </c>
      <c r="N466" s="10"/>
      <c r="O466" s="2">
        <v>3</v>
      </c>
      <c r="P466" s="17">
        <f>249*(1-S3/100)</f>
        <v>249</v>
      </c>
      <c r="Q466" s="18"/>
      <c r="R466" s="10">
        <f>P466*Q466</f>
        <v>0</v>
      </c>
      <c r="S466" s="19">
        <f>0.319*Q466</f>
        <v>0</v>
      </c>
      <c r="T466" s="20">
        <f>0.00104*Q466</f>
        <v>0</v>
      </c>
      <c r="U466" s="21"/>
      <c r="V466" s="22" t="s">
        <v>2084</v>
      </c>
      <c r="W466" s="22" t="s">
        <v>191</v>
      </c>
      <c r="X466" s="3"/>
      <c r="Y466" s="3"/>
      <c r="Z466" s="3" t="s">
        <v>52</v>
      </c>
      <c r="AA466" s="3"/>
      <c r="AB466" s="3"/>
      <c r="AC466" s="3" t="str">
        <f>HYPERLINK("https://knigipp.ru/api/getInfo/image/c18efe5d-59ef-11ed-a220-ac1f6b442185")</f>
        <v>https://knigipp.ru/api/getInfo/image/c18efe5d-59ef-11ed-a220-ac1f6b442185</v>
      </c>
      <c r="AD466" s="32">
        <v>128</v>
      </c>
      <c r="AE466" s="3" t="s">
        <v>355</v>
      </c>
      <c r="AF466" s="3" t="s">
        <v>741</v>
      </c>
      <c r="AG466" s="3"/>
      <c r="AH466" s="3" t="s">
        <v>56</v>
      </c>
      <c r="AI466" s="3"/>
      <c r="AJ466" s="3"/>
      <c r="AK466" s="3" t="str">
        <f>HYPERLINK("https://knigipp.ru/api/getInfo/item/c18efe5d-59ef-11ed-a220-ac1f6b442185")</f>
        <v>https://knigipp.ru/api/getInfo/item/c18efe5d-59ef-11ed-a220-ac1f6b442185</v>
      </c>
      <c r="AL466" s="3" t="s">
        <v>2080</v>
      </c>
    </row>
    <row r="467" spans="1:38" ht="21" customHeight="1" outlineLevel="6" x14ac:dyDescent="0.2">
      <c r="A467" s="2">
        <v>334</v>
      </c>
      <c r="B467" s="3" t="s">
        <v>2085</v>
      </c>
      <c r="C467" s="49" t="s">
        <v>2086</v>
      </c>
      <c r="D467" s="49"/>
      <c r="E467" s="49"/>
      <c r="F467" s="49"/>
      <c r="G467" s="4" t="s">
        <v>2087</v>
      </c>
      <c r="H467" s="8"/>
      <c r="I467" s="9" t="s">
        <v>2078</v>
      </c>
      <c r="J467" s="10"/>
      <c r="K467" s="11">
        <v>10</v>
      </c>
      <c r="L467" s="10"/>
      <c r="M467" s="10" t="s">
        <v>47</v>
      </c>
      <c r="N467" s="10"/>
      <c r="O467" s="2">
        <v>3</v>
      </c>
      <c r="P467" s="17">
        <f>249*(1-S3/100)</f>
        <v>249</v>
      </c>
      <c r="Q467" s="18"/>
      <c r="R467" s="10">
        <f>P467*Q467</f>
        <v>0</v>
      </c>
      <c r="S467" s="19">
        <f>0.319*Q467</f>
        <v>0</v>
      </c>
      <c r="T467" s="20">
        <f>0.00166*Q467</f>
        <v>0</v>
      </c>
      <c r="U467" s="21"/>
      <c r="V467" s="22" t="s">
        <v>2088</v>
      </c>
      <c r="W467" s="22" t="s">
        <v>191</v>
      </c>
      <c r="X467" s="3"/>
      <c r="Y467" s="3"/>
      <c r="Z467" s="3" t="s">
        <v>52</v>
      </c>
      <c r="AA467" s="3"/>
      <c r="AB467" s="3"/>
      <c r="AC467" s="3" t="str">
        <f>HYPERLINK("https://knigipp.ru/api/getInfo/image/ca852c25-59f2-11ed-a220-ac1f6b442185")</f>
        <v>https://knigipp.ru/api/getInfo/image/ca852c25-59f2-11ed-a220-ac1f6b442185</v>
      </c>
      <c r="AD467" s="32">
        <v>128</v>
      </c>
      <c r="AE467" s="3" t="s">
        <v>355</v>
      </c>
      <c r="AF467" s="3" t="s">
        <v>741</v>
      </c>
      <c r="AG467" s="3"/>
      <c r="AH467" s="3" t="s">
        <v>56</v>
      </c>
      <c r="AI467" s="3"/>
      <c r="AJ467" s="3"/>
      <c r="AK467" s="3" t="str">
        <f>HYPERLINK("https://knigipp.ru/api/getInfo/item/ca852c25-59f2-11ed-a220-ac1f6b442185")</f>
        <v>https://knigipp.ru/api/getInfo/item/ca852c25-59f2-11ed-a220-ac1f6b442185</v>
      </c>
      <c r="AL467" s="3" t="s">
        <v>2080</v>
      </c>
    </row>
    <row r="468" spans="1:38" ht="23.1" customHeight="1" outlineLevel="5" x14ac:dyDescent="0.2">
      <c r="A468" s="56" t="s">
        <v>2089</v>
      </c>
      <c r="B468" s="56"/>
      <c r="C468" s="56"/>
      <c r="D468" s="56"/>
      <c r="E468" s="56"/>
      <c r="F468" s="56"/>
    </row>
    <row r="469" spans="1:38" ht="21" customHeight="1" outlineLevel="6" x14ac:dyDescent="0.2">
      <c r="A469" s="2">
        <v>335</v>
      </c>
      <c r="B469" s="3" t="s">
        <v>2090</v>
      </c>
      <c r="C469" s="49" t="s">
        <v>2091</v>
      </c>
      <c r="D469" s="49"/>
      <c r="E469" s="49"/>
      <c r="F469" s="49"/>
      <c r="G469" s="4" t="s">
        <v>2092</v>
      </c>
      <c r="H469" s="8"/>
      <c r="I469" s="9" t="s">
        <v>2093</v>
      </c>
      <c r="J469" s="10"/>
      <c r="K469" s="11">
        <v>10</v>
      </c>
      <c r="L469" s="10"/>
      <c r="M469" s="10" t="s">
        <v>47</v>
      </c>
      <c r="N469" s="10"/>
      <c r="O469" s="2">
        <v>2</v>
      </c>
      <c r="P469" s="17">
        <f>399*(1-S3/100)</f>
        <v>399</v>
      </c>
      <c r="Q469" s="18"/>
      <c r="R469" s="10">
        <f>P469*Q469</f>
        <v>0</v>
      </c>
      <c r="S469" s="19">
        <f>0.614*Q469</f>
        <v>0</v>
      </c>
      <c r="T469" s="20">
        <f>0.00075*Q469</f>
        <v>0</v>
      </c>
      <c r="U469" s="21"/>
      <c r="V469" s="22" t="s">
        <v>2094</v>
      </c>
      <c r="W469" s="22" t="s">
        <v>191</v>
      </c>
      <c r="X469" s="3"/>
      <c r="Y469" s="3" t="s">
        <v>2095</v>
      </c>
      <c r="Z469" s="3" t="s">
        <v>52</v>
      </c>
      <c r="AA469" s="3"/>
      <c r="AB469" s="3"/>
      <c r="AC469" s="3" t="str">
        <f>HYPERLINK("https://knigipp.ru/api/getInfo/image/ba47459f-b808-11ed-a230-00155d82e902")</f>
        <v>https://knigipp.ru/api/getInfo/image/ba47459f-b808-11ed-a230-00155d82e902</v>
      </c>
      <c r="AD469" s="32">
        <v>128</v>
      </c>
      <c r="AE469" s="3"/>
      <c r="AF469" s="3" t="s">
        <v>741</v>
      </c>
      <c r="AG469" s="32">
        <v>120</v>
      </c>
      <c r="AH469" s="3" t="s">
        <v>56</v>
      </c>
      <c r="AI469" s="3"/>
      <c r="AJ469" s="3"/>
      <c r="AK469" s="3" t="str">
        <f>HYPERLINK("https://knigipp.ru/api/getInfo/item/ba47459f-b808-11ed-a230-00155d82e902")</f>
        <v>https://knigipp.ru/api/getInfo/item/ba47459f-b808-11ed-a230-00155d82e902</v>
      </c>
      <c r="AL469" s="3" t="s">
        <v>2096</v>
      </c>
    </row>
    <row r="470" spans="1:38" ht="21" customHeight="1" outlineLevel="6" x14ac:dyDescent="0.2">
      <c r="A470" s="2">
        <v>336</v>
      </c>
      <c r="B470" s="3" t="s">
        <v>2097</v>
      </c>
      <c r="C470" s="49" t="s">
        <v>2098</v>
      </c>
      <c r="D470" s="49"/>
      <c r="E470" s="49"/>
      <c r="F470" s="49"/>
      <c r="G470" s="4" t="s">
        <v>2099</v>
      </c>
      <c r="H470" s="8"/>
      <c r="I470" s="9" t="s">
        <v>2093</v>
      </c>
      <c r="J470" s="10"/>
      <c r="K470" s="11">
        <v>10</v>
      </c>
      <c r="L470" s="10"/>
      <c r="M470" s="10" t="s">
        <v>47</v>
      </c>
      <c r="N470" s="10"/>
      <c r="O470" s="2">
        <v>2</v>
      </c>
      <c r="P470" s="17">
        <f>399*(1-S3/100)</f>
        <v>399</v>
      </c>
      <c r="Q470" s="18"/>
      <c r="R470" s="10">
        <f>P470*Q470</f>
        <v>0</v>
      </c>
      <c r="S470" s="19">
        <f>0.615*Q470</f>
        <v>0</v>
      </c>
      <c r="T470" s="20">
        <f>0.00133*Q470</f>
        <v>0</v>
      </c>
      <c r="U470" s="21"/>
      <c r="V470" s="22" t="s">
        <v>2100</v>
      </c>
      <c r="W470" s="22" t="s">
        <v>191</v>
      </c>
      <c r="X470" s="3"/>
      <c r="Y470" s="3" t="s">
        <v>2101</v>
      </c>
      <c r="Z470" s="3" t="s">
        <v>52</v>
      </c>
      <c r="AA470" s="3"/>
      <c r="AB470" s="3"/>
      <c r="AC470" s="3" t="str">
        <f>HYPERLINK("https://knigipp.ru/api/getInfo/image/4377a2b1-b808-11ed-a230-00155d82e902")</f>
        <v>https://knigipp.ru/api/getInfo/image/4377a2b1-b808-11ed-a230-00155d82e902</v>
      </c>
      <c r="AD470" s="32">
        <v>128</v>
      </c>
      <c r="AE470" s="3"/>
      <c r="AF470" s="3" t="s">
        <v>741</v>
      </c>
      <c r="AG470" s="32">
        <v>120</v>
      </c>
      <c r="AH470" s="3" t="s">
        <v>56</v>
      </c>
      <c r="AI470" s="3"/>
      <c r="AJ470" s="3"/>
      <c r="AK470" s="3" t="str">
        <f>HYPERLINK("https://knigipp.ru/api/getInfo/item/4377a2b1-b808-11ed-a230-00155d82e902")</f>
        <v>https://knigipp.ru/api/getInfo/item/4377a2b1-b808-11ed-a230-00155d82e902</v>
      </c>
      <c r="AL470" s="3" t="s">
        <v>2096</v>
      </c>
    </row>
    <row r="471" spans="1:38" ht="21" customHeight="1" outlineLevel="6" x14ac:dyDescent="0.2">
      <c r="A471" s="2">
        <v>337</v>
      </c>
      <c r="B471" s="3" t="s">
        <v>2102</v>
      </c>
      <c r="C471" s="49" t="s">
        <v>2103</v>
      </c>
      <c r="D471" s="49"/>
      <c r="E471" s="49"/>
      <c r="F471" s="49"/>
      <c r="G471" s="4" t="s">
        <v>2104</v>
      </c>
      <c r="H471" s="8"/>
      <c r="I471" s="9" t="s">
        <v>2105</v>
      </c>
      <c r="J471" s="10"/>
      <c r="K471" s="11">
        <v>10</v>
      </c>
      <c r="L471" s="10"/>
      <c r="M471" s="10" t="s">
        <v>304</v>
      </c>
      <c r="N471" s="10"/>
      <c r="O471" s="2">
        <v>2</v>
      </c>
      <c r="P471" s="17">
        <f>399*(1-S3/100)</f>
        <v>399</v>
      </c>
      <c r="Q471" s="18"/>
      <c r="R471" s="10">
        <f>P471*Q471</f>
        <v>0</v>
      </c>
      <c r="S471" s="19">
        <f>0.605*Q471</f>
        <v>0</v>
      </c>
      <c r="T471" s="20">
        <f>0.00159*Q471</f>
        <v>0</v>
      </c>
      <c r="U471" s="21"/>
      <c r="V471" s="22" t="s">
        <v>2106</v>
      </c>
      <c r="W471" s="22" t="s">
        <v>191</v>
      </c>
      <c r="X471" s="3"/>
      <c r="Y471" s="3" t="s">
        <v>2107</v>
      </c>
      <c r="Z471" s="3" t="s">
        <v>52</v>
      </c>
      <c r="AA471" s="3"/>
      <c r="AB471" s="3"/>
      <c r="AC471" s="3" t="str">
        <f>HYPERLINK("https://knigipp.ru/api/getInfo/image/07bced4e-b809-11ed-a230-00155d82e902")</f>
        <v>https://knigipp.ru/api/getInfo/image/07bced4e-b809-11ed-a230-00155d82e902</v>
      </c>
      <c r="AD471" s="32">
        <v>128</v>
      </c>
      <c r="AE471" s="3"/>
      <c r="AF471" s="3" t="s">
        <v>741</v>
      </c>
      <c r="AG471" s="32">
        <v>120</v>
      </c>
      <c r="AH471" s="3" t="s">
        <v>56</v>
      </c>
      <c r="AI471" s="3"/>
      <c r="AJ471" s="3"/>
      <c r="AK471" s="3" t="str">
        <f>HYPERLINK("https://knigipp.ru/api/getInfo/item/07bced4e-b809-11ed-a230-00155d82e902")</f>
        <v>https://knigipp.ru/api/getInfo/item/07bced4e-b809-11ed-a230-00155d82e902</v>
      </c>
      <c r="AL471" s="3" t="s">
        <v>2096</v>
      </c>
    </row>
    <row r="472" spans="1:38" ht="23.1" customHeight="1" outlineLevel="5" x14ac:dyDescent="0.2">
      <c r="A472" s="56" t="s">
        <v>2108</v>
      </c>
      <c r="B472" s="56"/>
      <c r="C472" s="56"/>
      <c r="D472" s="56"/>
      <c r="E472" s="56"/>
      <c r="F472" s="56"/>
    </row>
    <row r="473" spans="1:38" ht="21" customHeight="1" outlineLevel="6" x14ac:dyDescent="0.2">
      <c r="A473" s="2">
        <v>338</v>
      </c>
      <c r="B473" s="3" t="s">
        <v>2109</v>
      </c>
      <c r="C473" s="49" t="s">
        <v>2110</v>
      </c>
      <c r="D473" s="49"/>
      <c r="E473" s="49"/>
      <c r="F473" s="49"/>
      <c r="G473" s="4" t="s">
        <v>2111</v>
      </c>
      <c r="H473" s="8"/>
      <c r="I473" s="9" t="s">
        <v>2112</v>
      </c>
      <c r="J473" s="10"/>
      <c r="K473" s="11">
        <v>20</v>
      </c>
      <c r="L473" s="10"/>
      <c r="M473" s="10" t="s">
        <v>47</v>
      </c>
      <c r="N473" s="10"/>
      <c r="O473" s="2">
        <v>4</v>
      </c>
      <c r="P473" s="17">
        <f>147*(1-S3/100)</f>
        <v>147</v>
      </c>
      <c r="Q473" s="18"/>
      <c r="R473" s="10">
        <f>P473*Q473</f>
        <v>0</v>
      </c>
      <c r="S473" s="19">
        <f>0.136*Q473</f>
        <v>0</v>
      </c>
      <c r="T473" s="20">
        <f>0.00029*Q473</f>
        <v>0</v>
      </c>
      <c r="U473" s="21"/>
      <c r="V473" s="22" t="s">
        <v>2113</v>
      </c>
      <c r="W473" s="22" t="s">
        <v>191</v>
      </c>
      <c r="X473" s="3"/>
      <c r="Y473" s="3" t="s">
        <v>2114</v>
      </c>
      <c r="Z473" s="3" t="s">
        <v>52</v>
      </c>
      <c r="AA473" s="3"/>
      <c r="AB473" s="3"/>
      <c r="AC473" s="3" t="str">
        <f>HYPERLINK("https://knigipp.ru/api/getInfo/image/6fb3cc9f-1cc1-11ef-a25e-00155d82e908")</f>
        <v>https://knigipp.ru/api/getInfo/image/6fb3cc9f-1cc1-11ef-a25e-00155d82e908</v>
      </c>
      <c r="AD473" s="32">
        <v>40</v>
      </c>
      <c r="AE473" s="3" t="s">
        <v>481</v>
      </c>
      <c r="AF473" s="3" t="s">
        <v>741</v>
      </c>
      <c r="AG473" s="3"/>
      <c r="AH473" s="3" t="s">
        <v>56</v>
      </c>
      <c r="AI473" s="3"/>
      <c r="AJ473" s="3"/>
      <c r="AK473" s="3" t="str">
        <f>HYPERLINK("https://knigipp.ru/api/getInfo/item/6fb3cc9f-1cc1-11ef-a25e-00155d82e908")</f>
        <v>https://knigipp.ru/api/getInfo/item/6fb3cc9f-1cc1-11ef-a25e-00155d82e908</v>
      </c>
      <c r="AL473" s="3" t="s">
        <v>2115</v>
      </c>
    </row>
    <row r="474" spans="1:38" ht="23.1" customHeight="1" outlineLevel="5" x14ac:dyDescent="0.2">
      <c r="A474" s="56" t="s">
        <v>2116</v>
      </c>
      <c r="B474" s="56"/>
      <c r="C474" s="56"/>
      <c r="D474" s="56"/>
      <c r="E474" s="56"/>
      <c r="F474" s="56"/>
    </row>
    <row r="475" spans="1:38" ht="21" customHeight="1" outlineLevel="6" x14ac:dyDescent="0.2">
      <c r="A475" s="2">
        <v>339</v>
      </c>
      <c r="B475" s="3" t="s">
        <v>2117</v>
      </c>
      <c r="C475" s="49" t="s">
        <v>2118</v>
      </c>
      <c r="D475" s="49"/>
      <c r="E475" s="49"/>
      <c r="F475" s="49"/>
      <c r="G475" s="4" t="s">
        <v>2119</v>
      </c>
      <c r="H475" s="8"/>
      <c r="I475" s="9" t="s">
        <v>2120</v>
      </c>
      <c r="J475" s="10"/>
      <c r="K475" s="11">
        <v>20</v>
      </c>
      <c r="L475" s="10"/>
      <c r="M475" s="10" t="s">
        <v>47</v>
      </c>
      <c r="N475" s="10"/>
      <c r="O475" s="2">
        <v>4</v>
      </c>
      <c r="P475" s="17">
        <f>169*(1-S3/100)</f>
        <v>169</v>
      </c>
      <c r="Q475" s="18"/>
      <c r="R475" s="10">
        <f>P475*Q475</f>
        <v>0</v>
      </c>
      <c r="S475" s="19">
        <f>0.213*Q475</f>
        <v>0</v>
      </c>
      <c r="T475" s="20">
        <f>0.00044*Q475</f>
        <v>0</v>
      </c>
      <c r="U475" s="21"/>
      <c r="V475" s="22" t="s">
        <v>2121</v>
      </c>
      <c r="W475" s="22" t="s">
        <v>191</v>
      </c>
      <c r="X475" s="3"/>
      <c r="Y475" s="3" t="s">
        <v>2122</v>
      </c>
      <c r="Z475" s="3" t="s">
        <v>52</v>
      </c>
      <c r="AA475" s="3"/>
      <c r="AB475" s="3"/>
      <c r="AC475" s="3" t="str">
        <f>HYPERLINK("https://knigipp.ru/api/getInfo/image/09f6267f-4d4a-11ee-a244-00155d82e902")</f>
        <v>https://knigipp.ru/api/getInfo/image/09f6267f-4d4a-11ee-a244-00155d82e902</v>
      </c>
      <c r="AD475" s="32">
        <v>40</v>
      </c>
      <c r="AE475" s="3" t="s">
        <v>481</v>
      </c>
      <c r="AF475" s="3" t="s">
        <v>741</v>
      </c>
      <c r="AG475" s="3"/>
      <c r="AH475" s="3" t="s">
        <v>56</v>
      </c>
      <c r="AI475" s="3"/>
      <c r="AJ475" s="3"/>
      <c r="AK475" s="3" t="str">
        <f>HYPERLINK("https://knigipp.ru/api/getInfo/item/09f6267f-4d4a-11ee-a244-00155d82e902")</f>
        <v>https://knigipp.ru/api/getInfo/item/09f6267f-4d4a-11ee-a244-00155d82e902</v>
      </c>
      <c r="AL475" s="3" t="s">
        <v>2123</v>
      </c>
    </row>
    <row r="476" spans="1:38" ht="21" customHeight="1" outlineLevel="6" x14ac:dyDescent="0.2">
      <c r="A476" s="2">
        <v>340</v>
      </c>
      <c r="B476" s="3" t="s">
        <v>2124</v>
      </c>
      <c r="C476" s="49" t="s">
        <v>2125</v>
      </c>
      <c r="D476" s="49"/>
      <c r="E476" s="49"/>
      <c r="F476" s="49"/>
      <c r="G476" s="4" t="s">
        <v>2126</v>
      </c>
      <c r="H476" s="8"/>
      <c r="I476" s="9" t="s">
        <v>2120</v>
      </c>
      <c r="J476" s="10"/>
      <c r="K476" s="11">
        <v>20</v>
      </c>
      <c r="L476" s="10"/>
      <c r="M476" s="10" t="s">
        <v>47</v>
      </c>
      <c r="N476" s="10"/>
      <c r="O476" s="2">
        <v>4</v>
      </c>
      <c r="P476" s="17">
        <f>169*(1-S3/100)</f>
        <v>169</v>
      </c>
      <c r="Q476" s="18"/>
      <c r="R476" s="10">
        <f>P476*Q476</f>
        <v>0</v>
      </c>
      <c r="S476" s="19">
        <f>0.207*Q476</f>
        <v>0</v>
      </c>
      <c r="T476" s="20">
        <f>0.00043*Q476</f>
        <v>0</v>
      </c>
      <c r="U476" s="21"/>
      <c r="V476" s="22" t="s">
        <v>2127</v>
      </c>
      <c r="W476" s="22" t="s">
        <v>191</v>
      </c>
      <c r="X476" s="3"/>
      <c r="Y476" s="3" t="s">
        <v>2122</v>
      </c>
      <c r="Z476" s="3" t="s">
        <v>52</v>
      </c>
      <c r="AA476" s="3"/>
      <c r="AB476" s="3"/>
      <c r="AC476" s="3" t="str">
        <f>HYPERLINK("https://knigipp.ru/api/getInfo/image/7ad419b0-4d4a-11ee-a244-00155d82e902")</f>
        <v>https://knigipp.ru/api/getInfo/image/7ad419b0-4d4a-11ee-a244-00155d82e902</v>
      </c>
      <c r="AD476" s="32">
        <v>40</v>
      </c>
      <c r="AE476" s="3" t="s">
        <v>481</v>
      </c>
      <c r="AF476" s="3" t="s">
        <v>741</v>
      </c>
      <c r="AG476" s="3"/>
      <c r="AH476" s="3" t="s">
        <v>56</v>
      </c>
      <c r="AI476" s="3"/>
      <c r="AJ476" s="3"/>
      <c r="AK476" s="3" t="str">
        <f>HYPERLINK("https://knigipp.ru/api/getInfo/item/7ad419b0-4d4a-11ee-a244-00155d82e902")</f>
        <v>https://knigipp.ru/api/getInfo/item/7ad419b0-4d4a-11ee-a244-00155d82e902</v>
      </c>
      <c r="AL476" s="3" t="s">
        <v>2123</v>
      </c>
    </row>
    <row r="477" spans="1:38" ht="23.1" customHeight="1" outlineLevel="5" x14ac:dyDescent="0.2">
      <c r="A477" s="56" t="s">
        <v>2128</v>
      </c>
      <c r="B477" s="56"/>
      <c r="C477" s="56"/>
      <c r="D477" s="56"/>
      <c r="E477" s="56"/>
      <c r="F477" s="56"/>
    </row>
    <row r="478" spans="1:38" ht="21" customHeight="1" outlineLevel="6" x14ac:dyDescent="0.2">
      <c r="A478" s="2">
        <v>341</v>
      </c>
      <c r="B478" s="3" t="s">
        <v>2129</v>
      </c>
      <c r="C478" s="49" t="s">
        <v>2130</v>
      </c>
      <c r="D478" s="49"/>
      <c r="E478" s="49"/>
      <c r="F478" s="49"/>
      <c r="G478" s="4" t="s">
        <v>2131</v>
      </c>
      <c r="H478" s="8"/>
      <c r="I478" s="9" t="s">
        <v>2132</v>
      </c>
      <c r="J478" s="10"/>
      <c r="K478" s="11">
        <v>34</v>
      </c>
      <c r="L478" s="10"/>
      <c r="M478" s="10" t="s">
        <v>47</v>
      </c>
      <c r="N478" s="10"/>
      <c r="O478" s="2">
        <v>2</v>
      </c>
      <c r="P478" s="17">
        <f>309*(1-S3/100)</f>
        <v>309</v>
      </c>
      <c r="Q478" s="18"/>
      <c r="R478" s="10">
        <f>P478*Q478</f>
        <v>0</v>
      </c>
      <c r="S478" s="19">
        <f>0.155*Q478</f>
        <v>0</v>
      </c>
      <c r="T478" s="20">
        <f>0.00032*Q478</f>
        <v>0</v>
      </c>
      <c r="U478" s="21"/>
      <c r="V478" s="22" t="s">
        <v>2133</v>
      </c>
      <c r="W478" s="22" t="s">
        <v>191</v>
      </c>
      <c r="X478" s="3"/>
      <c r="Y478" s="3"/>
      <c r="Z478" s="3" t="s">
        <v>52</v>
      </c>
      <c r="AA478" s="3"/>
      <c r="AB478" s="3"/>
      <c r="AC478" s="3" t="str">
        <f>HYPERLINK("https://knigipp.ru/api/getInfo/image/5cf389f1-adaa-11eb-a201-ac1f6b442185")</f>
        <v>https://knigipp.ru/api/getInfo/image/5cf389f1-adaa-11eb-a201-ac1f6b442185</v>
      </c>
      <c r="AD478" s="32">
        <v>80</v>
      </c>
      <c r="AE478" s="3"/>
      <c r="AF478" s="3" t="s">
        <v>741</v>
      </c>
      <c r="AG478" s="32">
        <v>100</v>
      </c>
      <c r="AH478" s="3" t="s">
        <v>56</v>
      </c>
      <c r="AI478" s="3"/>
      <c r="AJ478" s="3"/>
      <c r="AK478" s="3" t="str">
        <f>HYPERLINK("https://knigipp.ru/api/getInfo/item/5cf389f1-adaa-11eb-a201-ac1f6b442185")</f>
        <v>https://knigipp.ru/api/getInfo/item/5cf389f1-adaa-11eb-a201-ac1f6b442185</v>
      </c>
      <c r="AL478" s="3" t="s">
        <v>2134</v>
      </c>
    </row>
    <row r="479" spans="1:38" ht="21" customHeight="1" outlineLevel="6" x14ac:dyDescent="0.2">
      <c r="A479" s="2">
        <v>342</v>
      </c>
      <c r="B479" s="3" t="s">
        <v>2135</v>
      </c>
      <c r="C479" s="49" t="s">
        <v>2136</v>
      </c>
      <c r="D479" s="49"/>
      <c r="E479" s="49"/>
      <c r="F479" s="49"/>
      <c r="G479" s="4" t="s">
        <v>2137</v>
      </c>
      <c r="H479" s="8"/>
      <c r="I479" s="9" t="s">
        <v>2132</v>
      </c>
      <c r="J479" s="10"/>
      <c r="K479" s="11">
        <v>34</v>
      </c>
      <c r="L479" s="10"/>
      <c r="M479" s="10" t="s">
        <v>47</v>
      </c>
      <c r="N479" s="10"/>
      <c r="O479" s="2">
        <v>2</v>
      </c>
      <c r="P479" s="17">
        <f>309*(1-S3/100)</f>
        <v>309</v>
      </c>
      <c r="Q479" s="18"/>
      <c r="R479" s="10">
        <f>P479*Q479</f>
        <v>0</v>
      </c>
      <c r="S479" s="19">
        <f>0.155*Q479</f>
        <v>0</v>
      </c>
      <c r="T479" s="20">
        <f>0.00047*Q479</f>
        <v>0</v>
      </c>
      <c r="U479" s="21"/>
      <c r="V479" s="22" t="s">
        <v>2138</v>
      </c>
      <c r="W479" s="22" t="s">
        <v>191</v>
      </c>
      <c r="X479" s="3"/>
      <c r="Y479" s="3"/>
      <c r="Z479" s="3" t="s">
        <v>52</v>
      </c>
      <c r="AA479" s="3"/>
      <c r="AB479" s="3"/>
      <c r="AC479" s="3" t="str">
        <f>HYPERLINK("https://knigipp.ru/api/getInfo/image/91c94e49-adaa-11eb-a201-ac1f6b442185")</f>
        <v>https://knigipp.ru/api/getInfo/image/91c94e49-adaa-11eb-a201-ac1f6b442185</v>
      </c>
      <c r="AD479" s="32">
        <v>80</v>
      </c>
      <c r="AE479" s="3"/>
      <c r="AF479" s="3" t="s">
        <v>741</v>
      </c>
      <c r="AG479" s="32">
        <v>100</v>
      </c>
      <c r="AH479" s="3" t="s">
        <v>56</v>
      </c>
      <c r="AI479" s="3"/>
      <c r="AJ479" s="3"/>
      <c r="AK479" s="3" t="str">
        <f>HYPERLINK("https://knigipp.ru/api/getInfo/item/91c94e49-adaa-11eb-a201-ac1f6b442185")</f>
        <v>https://knigipp.ru/api/getInfo/item/91c94e49-adaa-11eb-a201-ac1f6b442185</v>
      </c>
      <c r="AL479" s="3" t="s">
        <v>2134</v>
      </c>
    </row>
    <row r="480" spans="1:38" ht="23.1" customHeight="1" outlineLevel="4" x14ac:dyDescent="0.2">
      <c r="A480" s="55" t="s">
        <v>2139</v>
      </c>
      <c r="B480" s="55"/>
      <c r="C480" s="55"/>
      <c r="D480" s="55"/>
      <c r="E480" s="55"/>
      <c r="F480" s="55"/>
    </row>
    <row r="481" spans="1:38" ht="21" customHeight="1" outlineLevel="5" x14ac:dyDescent="0.2">
      <c r="A481" s="2">
        <v>343</v>
      </c>
      <c r="B481" s="3" t="s">
        <v>2140</v>
      </c>
      <c r="C481" s="49" t="s">
        <v>2141</v>
      </c>
      <c r="D481" s="49"/>
      <c r="E481" s="49"/>
      <c r="F481" s="49"/>
      <c r="G481" s="4" t="s">
        <v>2142</v>
      </c>
      <c r="H481" s="8"/>
      <c r="I481" s="9" t="s">
        <v>2143</v>
      </c>
      <c r="J481" s="10"/>
      <c r="K481" s="11">
        <v>24</v>
      </c>
      <c r="L481" s="10"/>
      <c r="M481" s="10" t="s">
        <v>78</v>
      </c>
      <c r="N481" s="10"/>
      <c r="O481" s="2">
        <v>3</v>
      </c>
      <c r="P481" s="17">
        <f>209*(1-S3/100)</f>
        <v>209</v>
      </c>
      <c r="Q481" s="18"/>
      <c r="R481" s="10">
        <f>P481*Q481</f>
        <v>0</v>
      </c>
      <c r="S481" s="19">
        <f>0.241*Q481</f>
        <v>0</v>
      </c>
      <c r="T481" s="20">
        <f>0.00042*Q481</f>
        <v>0</v>
      </c>
      <c r="U481" s="21"/>
      <c r="V481" s="22" t="s">
        <v>2144</v>
      </c>
      <c r="W481" s="22" t="s">
        <v>191</v>
      </c>
      <c r="X481" s="3"/>
      <c r="Y481" s="3" t="s">
        <v>2145</v>
      </c>
      <c r="Z481" s="3" t="s">
        <v>52</v>
      </c>
      <c r="AA481" s="3" t="s">
        <v>2146</v>
      </c>
      <c r="AB481" s="3"/>
      <c r="AC481" s="3" t="str">
        <f>HYPERLINK("https://knigipp.ru/api/getInfo/image/3bd4cf1d-1a68-11ee-a23b-00155d82e902")</f>
        <v>https://knigipp.ru/api/getInfo/image/3bd4cf1d-1a68-11ee-a23b-00155d82e902</v>
      </c>
      <c r="AD481" s="32">
        <v>128</v>
      </c>
      <c r="AE481" s="3"/>
      <c r="AF481" s="3" t="s">
        <v>127</v>
      </c>
      <c r="AG481" s="3"/>
      <c r="AH481" s="3" t="s">
        <v>56</v>
      </c>
      <c r="AI481" s="3"/>
      <c r="AJ481" s="3"/>
      <c r="AK481" s="3" t="str">
        <f>HYPERLINK("https://knigipp.ru/api/getInfo/item/3bd4cf1d-1a68-11ee-a23b-00155d82e902")</f>
        <v>https://knigipp.ru/api/getInfo/item/3bd4cf1d-1a68-11ee-a23b-00155d82e902</v>
      </c>
      <c r="AL481" s="3" t="s">
        <v>2147</v>
      </c>
    </row>
    <row r="482" spans="1:38" ht="21" customHeight="1" outlineLevel="5" x14ac:dyDescent="0.2">
      <c r="A482" s="2">
        <v>344</v>
      </c>
      <c r="B482" s="3" t="s">
        <v>2148</v>
      </c>
      <c r="C482" s="49" t="s">
        <v>2149</v>
      </c>
      <c r="D482" s="49"/>
      <c r="E482" s="49"/>
      <c r="F482" s="49"/>
      <c r="G482" s="4" t="s">
        <v>2150</v>
      </c>
      <c r="H482" s="8"/>
      <c r="I482" s="9" t="s">
        <v>2143</v>
      </c>
      <c r="J482" s="10"/>
      <c r="K482" s="11">
        <v>24</v>
      </c>
      <c r="L482" s="10"/>
      <c r="M482" s="10" t="s">
        <v>304</v>
      </c>
      <c r="N482" s="10"/>
      <c r="O482" s="2">
        <v>3</v>
      </c>
      <c r="P482" s="17">
        <f>209*(1-S3/100)</f>
        <v>209</v>
      </c>
      <c r="Q482" s="18"/>
      <c r="R482" s="10">
        <f>P482*Q482</f>
        <v>0</v>
      </c>
      <c r="S482" s="19">
        <f>0.244*Q482</f>
        <v>0</v>
      </c>
      <c r="T482" s="20">
        <f>0.00039*Q482</f>
        <v>0</v>
      </c>
      <c r="U482" s="21"/>
      <c r="V482" s="22" t="s">
        <v>2151</v>
      </c>
      <c r="W482" s="22" t="s">
        <v>191</v>
      </c>
      <c r="X482" s="3"/>
      <c r="Y482" s="3" t="s">
        <v>2152</v>
      </c>
      <c r="Z482" s="3" t="s">
        <v>52</v>
      </c>
      <c r="AA482" s="3" t="s">
        <v>2146</v>
      </c>
      <c r="AB482" s="3"/>
      <c r="AC482" s="3" t="str">
        <f>HYPERLINK("https://knigipp.ru/api/getInfo/image/5e290833-1a68-11ee-a23b-00155d82e902")</f>
        <v>https://knigipp.ru/api/getInfo/image/5e290833-1a68-11ee-a23b-00155d82e902</v>
      </c>
      <c r="AD482" s="32">
        <v>128</v>
      </c>
      <c r="AE482" s="3"/>
      <c r="AF482" s="3" t="s">
        <v>127</v>
      </c>
      <c r="AG482" s="3"/>
      <c r="AH482" s="3" t="s">
        <v>56</v>
      </c>
      <c r="AI482" s="3"/>
      <c r="AJ482" s="3"/>
      <c r="AK482" s="3" t="str">
        <f>HYPERLINK("https://knigipp.ru/api/getInfo/item/5e290833-1a68-11ee-a23b-00155d82e902")</f>
        <v>https://knigipp.ru/api/getInfo/item/5e290833-1a68-11ee-a23b-00155d82e902</v>
      </c>
      <c r="AL482" s="3" t="s">
        <v>2147</v>
      </c>
    </row>
    <row r="483" spans="1:38" ht="23.1" customHeight="1" outlineLevel="4" x14ac:dyDescent="0.2">
      <c r="A483" s="55" t="s">
        <v>2153</v>
      </c>
      <c r="B483" s="55"/>
      <c r="C483" s="55"/>
      <c r="D483" s="55"/>
      <c r="E483" s="55"/>
      <c r="F483" s="55"/>
    </row>
    <row r="484" spans="1:38" ht="21" customHeight="1" outlineLevel="5" x14ac:dyDescent="0.2">
      <c r="A484" s="2">
        <v>345</v>
      </c>
      <c r="B484" s="3" t="s">
        <v>2154</v>
      </c>
      <c r="C484" s="49" t="s">
        <v>2155</v>
      </c>
      <c r="D484" s="49"/>
      <c r="E484" s="49"/>
      <c r="F484" s="49"/>
      <c r="G484" s="4" t="s">
        <v>2156</v>
      </c>
      <c r="H484" s="8"/>
      <c r="I484" s="9" t="s">
        <v>2157</v>
      </c>
      <c r="J484" s="10"/>
      <c r="K484" s="11">
        <v>20</v>
      </c>
      <c r="L484" s="10"/>
      <c r="M484" s="10" t="s">
        <v>78</v>
      </c>
      <c r="N484" s="10"/>
      <c r="O484" s="2">
        <v>7</v>
      </c>
      <c r="P484" s="17">
        <f>93.5*(1-S3/100)</f>
        <v>93.5</v>
      </c>
      <c r="Q484" s="18"/>
      <c r="R484" s="10">
        <f>P484*Q484</f>
        <v>0</v>
      </c>
      <c r="S484" s="19">
        <f>0.152*Q484</f>
        <v>0</v>
      </c>
      <c r="T484" s="20">
        <f>0.00016*Q484</f>
        <v>0</v>
      </c>
      <c r="U484" s="21"/>
      <c r="V484" s="22" t="s">
        <v>2158</v>
      </c>
      <c r="W484" s="22" t="s">
        <v>191</v>
      </c>
      <c r="X484" s="3"/>
      <c r="Y484" s="3"/>
      <c r="Z484" s="3" t="s">
        <v>52</v>
      </c>
      <c r="AA484" s="3"/>
      <c r="AB484" s="3"/>
      <c r="AC484" s="3" t="str">
        <f>HYPERLINK("https://knigipp.ru/api/getInfo/image/749b5581-59ee-11ed-a220-ac1f6b442185")</f>
        <v>https://knigipp.ru/api/getInfo/image/749b5581-59ee-11ed-a220-ac1f6b442185</v>
      </c>
      <c r="AD484" s="32">
        <v>160</v>
      </c>
      <c r="AE484" s="3"/>
      <c r="AF484" s="3" t="s">
        <v>55</v>
      </c>
      <c r="AG484" s="32">
        <v>100</v>
      </c>
      <c r="AH484" s="3" t="s">
        <v>56</v>
      </c>
      <c r="AI484" s="3"/>
      <c r="AJ484" s="3"/>
      <c r="AK484" s="3" t="str">
        <f>HYPERLINK("https://knigipp.ru/api/getInfo/item/749b5581-59ee-11ed-a220-ac1f6b442185")</f>
        <v>https://knigipp.ru/api/getInfo/item/749b5581-59ee-11ed-a220-ac1f6b442185</v>
      </c>
      <c r="AL484" s="3" t="s">
        <v>2159</v>
      </c>
    </row>
    <row r="485" spans="1:38" ht="23.1" customHeight="1" outlineLevel="4" x14ac:dyDescent="0.2">
      <c r="A485" s="55" t="s">
        <v>2160</v>
      </c>
      <c r="B485" s="55"/>
      <c r="C485" s="55"/>
      <c r="D485" s="55"/>
      <c r="E485" s="55"/>
      <c r="F485" s="55"/>
    </row>
    <row r="486" spans="1:38" ht="21" customHeight="1" outlineLevel="5" x14ac:dyDescent="0.2">
      <c r="A486" s="2">
        <v>346</v>
      </c>
      <c r="B486" s="3" t="s">
        <v>2161</v>
      </c>
      <c r="C486" s="49" t="s">
        <v>2162</v>
      </c>
      <c r="D486" s="49"/>
      <c r="E486" s="49"/>
      <c r="F486" s="49"/>
      <c r="G486" s="4" t="s">
        <v>2163</v>
      </c>
      <c r="H486" s="8"/>
      <c r="I486" s="9" t="s">
        <v>2164</v>
      </c>
      <c r="J486" s="10"/>
      <c r="K486" s="11">
        <v>10</v>
      </c>
      <c r="L486" s="10"/>
      <c r="M486" s="10" t="s">
        <v>47</v>
      </c>
      <c r="N486" s="10"/>
      <c r="O486" s="2">
        <v>3</v>
      </c>
      <c r="P486" s="17">
        <f>262.8*(1-S3/100)</f>
        <v>262.8</v>
      </c>
      <c r="Q486" s="18"/>
      <c r="R486" s="10">
        <f>P486*Q486</f>
        <v>0</v>
      </c>
      <c r="S486" s="19">
        <f>0.353*Q486</f>
        <v>0</v>
      </c>
      <c r="T486" s="20">
        <f>0.00043*Q486</f>
        <v>0</v>
      </c>
      <c r="U486" s="21"/>
      <c r="V486" s="22" t="s">
        <v>2165</v>
      </c>
      <c r="W486" s="22" t="s">
        <v>191</v>
      </c>
      <c r="X486" s="3"/>
      <c r="Y486" s="3" t="s">
        <v>2166</v>
      </c>
      <c r="Z486" s="3" t="s">
        <v>52</v>
      </c>
      <c r="AA486" s="3"/>
      <c r="AB486" s="3"/>
      <c r="AC486" s="3" t="str">
        <f>HYPERLINK("https://knigipp.ru/api/getInfo/image/ea725e26-c37d-11eb-a206-ac1f6b442185")</f>
        <v>https://knigipp.ru/api/getInfo/image/ea725e26-c37d-11eb-a206-ac1f6b442185</v>
      </c>
      <c r="AD486" s="32">
        <v>80</v>
      </c>
      <c r="AE486" s="3"/>
      <c r="AF486" s="3" t="s">
        <v>127</v>
      </c>
      <c r="AG486" s="32">
        <v>160</v>
      </c>
      <c r="AH486" s="3" t="s">
        <v>56</v>
      </c>
      <c r="AI486" s="3"/>
      <c r="AJ486" s="3"/>
      <c r="AK486" s="3" t="str">
        <f>HYPERLINK("https://knigipp.ru/api/getInfo/item/ea725e26-c37d-11eb-a206-ac1f6b442185")</f>
        <v>https://knigipp.ru/api/getInfo/item/ea725e26-c37d-11eb-a206-ac1f6b442185</v>
      </c>
      <c r="AL486" s="3" t="s">
        <v>2167</v>
      </c>
    </row>
    <row r="487" spans="1:38" ht="23.1" customHeight="1" outlineLevel="4" x14ac:dyDescent="0.2">
      <c r="A487" s="55" t="s">
        <v>2168</v>
      </c>
      <c r="B487" s="55"/>
      <c r="C487" s="55"/>
      <c r="D487" s="55"/>
      <c r="E487" s="55"/>
      <c r="F487" s="55"/>
    </row>
    <row r="488" spans="1:38" ht="21" customHeight="1" outlineLevel="5" x14ac:dyDescent="0.2">
      <c r="A488" s="2">
        <v>347</v>
      </c>
      <c r="B488" s="3" t="s">
        <v>2169</v>
      </c>
      <c r="C488" s="49" t="s">
        <v>2170</v>
      </c>
      <c r="D488" s="49"/>
      <c r="E488" s="49"/>
      <c r="F488" s="49"/>
      <c r="G488" s="4" t="s">
        <v>2171</v>
      </c>
      <c r="H488" s="8"/>
      <c r="I488" s="9" t="s">
        <v>2172</v>
      </c>
      <c r="J488" s="10"/>
      <c r="K488" s="11">
        <v>20</v>
      </c>
      <c r="L488" s="10"/>
      <c r="M488" s="10" t="s">
        <v>78</v>
      </c>
      <c r="N488" s="10"/>
      <c r="O488" s="2">
        <v>5</v>
      </c>
      <c r="P488" s="17">
        <f>134.2*(1-S3/100)</f>
        <v>134.19999999999999</v>
      </c>
      <c r="Q488" s="18"/>
      <c r="R488" s="10">
        <f t="shared" ref="R488:R500" si="13">P488*Q488</f>
        <v>0</v>
      </c>
      <c r="S488" s="19">
        <f>0.104*Q488</f>
        <v>0</v>
      </c>
      <c r="T488" s="20">
        <f>0.00017*Q488</f>
        <v>0</v>
      </c>
      <c r="U488" s="21"/>
      <c r="V488" s="22" t="s">
        <v>2173</v>
      </c>
      <c r="W488" s="22" t="s">
        <v>191</v>
      </c>
      <c r="X488" s="3"/>
      <c r="Y488" s="3"/>
      <c r="Z488" s="3" t="s">
        <v>52</v>
      </c>
      <c r="AA488" s="3"/>
      <c r="AB488" s="3"/>
      <c r="AC488" s="3" t="str">
        <f>HYPERLINK("https://knigipp.ru/api/getInfo/image/eb351484-1555-11ec-a20f-ac1f6b442185")</f>
        <v>https://knigipp.ru/api/getInfo/image/eb351484-1555-11ec-a20f-ac1f6b442185</v>
      </c>
      <c r="AD488" s="32">
        <v>96</v>
      </c>
      <c r="AE488" s="3"/>
      <c r="AF488" s="3" t="s">
        <v>127</v>
      </c>
      <c r="AG488" s="32">
        <v>70</v>
      </c>
      <c r="AH488" s="3" t="s">
        <v>56</v>
      </c>
      <c r="AI488" s="3"/>
      <c r="AJ488" s="3"/>
      <c r="AK488" s="3" t="str">
        <f>HYPERLINK("https://knigipp.ru/api/getInfo/item/eb351484-1555-11ec-a20f-ac1f6b442185")</f>
        <v>https://knigipp.ru/api/getInfo/item/eb351484-1555-11ec-a20f-ac1f6b442185</v>
      </c>
      <c r="AL488" s="3" t="s">
        <v>2174</v>
      </c>
    </row>
    <row r="489" spans="1:38" ht="21" customHeight="1" outlineLevel="5" x14ac:dyDescent="0.2">
      <c r="A489" s="2">
        <v>348</v>
      </c>
      <c r="B489" s="3" t="s">
        <v>2175</v>
      </c>
      <c r="C489" s="49" t="s">
        <v>2176</v>
      </c>
      <c r="D489" s="49"/>
      <c r="E489" s="49"/>
      <c r="F489" s="49"/>
      <c r="G489" s="4" t="s">
        <v>2177</v>
      </c>
      <c r="H489" s="8"/>
      <c r="I489" s="9" t="s">
        <v>2172</v>
      </c>
      <c r="J489" s="10"/>
      <c r="K489" s="11">
        <v>20</v>
      </c>
      <c r="L489" s="10"/>
      <c r="M489" s="10" t="s">
        <v>304</v>
      </c>
      <c r="N489" s="10"/>
      <c r="O489" s="2">
        <v>5</v>
      </c>
      <c r="P489" s="17">
        <f>134.2*(1-S3/100)</f>
        <v>134.19999999999999</v>
      </c>
      <c r="Q489" s="18"/>
      <c r="R489" s="10">
        <f t="shared" si="13"/>
        <v>0</v>
      </c>
      <c r="S489" s="10">
        <v>0</v>
      </c>
      <c r="T489" s="10">
        <v>0</v>
      </c>
      <c r="U489" s="21"/>
      <c r="V489" s="22" t="s">
        <v>2178</v>
      </c>
      <c r="W489" s="22" t="s">
        <v>191</v>
      </c>
      <c r="X489" s="3"/>
      <c r="Y489" s="3"/>
      <c r="Z489" s="3" t="s">
        <v>52</v>
      </c>
      <c r="AA489" s="3"/>
      <c r="AB489" s="3"/>
      <c r="AC489" s="3" t="str">
        <f>HYPERLINK("https://knigipp.ru/api/getInfo/image/63feb0a3-0410-11ed-a213-ac1f6b442185")</f>
        <v>https://knigipp.ru/api/getInfo/image/63feb0a3-0410-11ed-a213-ac1f6b442185</v>
      </c>
      <c r="AD489" s="32">
        <v>96</v>
      </c>
      <c r="AE489" s="3"/>
      <c r="AF489" s="3" t="s">
        <v>127</v>
      </c>
      <c r="AG489" s="32">
        <v>70</v>
      </c>
      <c r="AH489" s="3" t="s">
        <v>56</v>
      </c>
      <c r="AI489" s="3"/>
      <c r="AJ489" s="3"/>
      <c r="AK489" s="3" t="str">
        <f>HYPERLINK("https://knigipp.ru/api/getInfo/item/63feb0a3-0410-11ed-a213-ac1f6b442185")</f>
        <v>https://knigipp.ru/api/getInfo/item/63feb0a3-0410-11ed-a213-ac1f6b442185</v>
      </c>
      <c r="AL489" s="3" t="s">
        <v>2174</v>
      </c>
    </row>
    <row r="490" spans="1:38" ht="21" customHeight="1" outlineLevel="5" x14ac:dyDescent="0.2">
      <c r="A490" s="2">
        <v>349</v>
      </c>
      <c r="B490" s="3" t="s">
        <v>2179</v>
      </c>
      <c r="C490" s="49" t="s">
        <v>2180</v>
      </c>
      <c r="D490" s="49"/>
      <c r="E490" s="49"/>
      <c r="F490" s="49"/>
      <c r="G490" s="4" t="s">
        <v>2181</v>
      </c>
      <c r="H490" s="8"/>
      <c r="I490" s="9" t="s">
        <v>2172</v>
      </c>
      <c r="J490" s="10"/>
      <c r="K490" s="11">
        <v>20</v>
      </c>
      <c r="L490" s="10"/>
      <c r="M490" s="10" t="s">
        <v>47</v>
      </c>
      <c r="N490" s="10"/>
      <c r="O490" s="2">
        <v>5</v>
      </c>
      <c r="P490" s="17">
        <f>134.2*(1-S3/100)</f>
        <v>134.19999999999999</v>
      </c>
      <c r="Q490" s="18"/>
      <c r="R490" s="10">
        <f t="shared" si="13"/>
        <v>0</v>
      </c>
      <c r="S490" s="19">
        <f t="shared" ref="S490:S497" si="14">0.104*Q490</f>
        <v>0</v>
      </c>
      <c r="T490" s="20">
        <f t="shared" ref="T490:T499" si="15">0.00017*Q490</f>
        <v>0</v>
      </c>
      <c r="U490" s="21"/>
      <c r="V490" s="22" t="s">
        <v>2182</v>
      </c>
      <c r="W490" s="22" t="s">
        <v>191</v>
      </c>
      <c r="X490" s="3"/>
      <c r="Y490" s="3"/>
      <c r="Z490" s="3" t="s">
        <v>52</v>
      </c>
      <c r="AA490" s="3"/>
      <c r="AB490" s="3"/>
      <c r="AC490" s="3" t="str">
        <f>HYPERLINK("https://knigipp.ru/api/getInfo/image/1e56ab50-cba5-11ec-a212-ac1f6b442185")</f>
        <v>https://knigipp.ru/api/getInfo/image/1e56ab50-cba5-11ec-a212-ac1f6b442185</v>
      </c>
      <c r="AD490" s="32">
        <v>96</v>
      </c>
      <c r="AE490" s="3"/>
      <c r="AF490" s="3" t="s">
        <v>127</v>
      </c>
      <c r="AG490" s="32">
        <v>70</v>
      </c>
      <c r="AH490" s="3" t="s">
        <v>56</v>
      </c>
      <c r="AI490" s="3"/>
      <c r="AJ490" s="3"/>
      <c r="AK490" s="3" t="str">
        <f>HYPERLINK("https://knigipp.ru/api/getInfo/item/1e56ab50-cba5-11ec-a212-ac1f6b442185")</f>
        <v>https://knigipp.ru/api/getInfo/item/1e56ab50-cba5-11ec-a212-ac1f6b442185</v>
      </c>
      <c r="AL490" s="3" t="s">
        <v>2174</v>
      </c>
    </row>
    <row r="491" spans="1:38" ht="21" customHeight="1" outlineLevel="5" x14ac:dyDescent="0.2">
      <c r="A491" s="2">
        <v>350</v>
      </c>
      <c r="B491" s="3" t="s">
        <v>2183</v>
      </c>
      <c r="C491" s="49" t="s">
        <v>2184</v>
      </c>
      <c r="D491" s="49"/>
      <c r="E491" s="49"/>
      <c r="F491" s="49"/>
      <c r="G491" s="4" t="s">
        <v>2185</v>
      </c>
      <c r="H491" s="8"/>
      <c r="I491" s="9" t="s">
        <v>2186</v>
      </c>
      <c r="J491" s="10"/>
      <c r="K491" s="11">
        <v>20</v>
      </c>
      <c r="L491" s="10"/>
      <c r="M491" s="10" t="s">
        <v>47</v>
      </c>
      <c r="N491" s="10"/>
      <c r="O491" s="2">
        <v>5</v>
      </c>
      <c r="P491" s="17">
        <f>134.2*(1-S3/100)</f>
        <v>134.19999999999999</v>
      </c>
      <c r="Q491" s="18"/>
      <c r="R491" s="10">
        <f t="shared" si="13"/>
        <v>0</v>
      </c>
      <c r="S491" s="19">
        <f t="shared" si="14"/>
        <v>0</v>
      </c>
      <c r="T491" s="20">
        <f t="shared" si="15"/>
        <v>0</v>
      </c>
      <c r="U491" s="21"/>
      <c r="V491" s="22" t="s">
        <v>2187</v>
      </c>
      <c r="W491" s="22" t="s">
        <v>191</v>
      </c>
      <c r="X491" s="3"/>
      <c r="Y491" s="3"/>
      <c r="Z491" s="3" t="s">
        <v>52</v>
      </c>
      <c r="AA491" s="3" t="s">
        <v>2188</v>
      </c>
      <c r="AB491" s="3"/>
      <c r="AC491" s="3" t="str">
        <f>HYPERLINK("https://knigipp.ru/api/getInfo/image/577e6d1f-1a63-11ee-a23b-00155d82e902")</f>
        <v>https://knigipp.ru/api/getInfo/image/577e6d1f-1a63-11ee-a23b-00155d82e902</v>
      </c>
      <c r="AD491" s="32">
        <v>96</v>
      </c>
      <c r="AE491" s="3" t="s">
        <v>355</v>
      </c>
      <c r="AF491" s="3" t="s">
        <v>127</v>
      </c>
      <c r="AG491" s="32">
        <v>70</v>
      </c>
      <c r="AH491" s="3" t="s">
        <v>56</v>
      </c>
      <c r="AI491" s="3"/>
      <c r="AJ491" s="3"/>
      <c r="AK491" s="3" t="str">
        <f>HYPERLINK("https://knigipp.ru/api/getInfo/item/577e6d1f-1a63-11ee-a23b-00155d82e902")</f>
        <v>https://knigipp.ru/api/getInfo/item/577e6d1f-1a63-11ee-a23b-00155d82e902</v>
      </c>
      <c r="AL491" s="3" t="s">
        <v>2174</v>
      </c>
    </row>
    <row r="492" spans="1:38" ht="21" customHeight="1" outlineLevel="5" x14ac:dyDescent="0.2">
      <c r="A492" s="2">
        <v>351</v>
      </c>
      <c r="B492" s="3" t="s">
        <v>2189</v>
      </c>
      <c r="C492" s="49" t="s">
        <v>2190</v>
      </c>
      <c r="D492" s="49"/>
      <c r="E492" s="49"/>
      <c r="F492" s="49"/>
      <c r="G492" s="4" t="s">
        <v>2191</v>
      </c>
      <c r="H492" s="8"/>
      <c r="I492" s="9" t="s">
        <v>2172</v>
      </c>
      <c r="J492" s="10"/>
      <c r="K492" s="11">
        <v>20</v>
      </c>
      <c r="L492" s="10"/>
      <c r="M492" s="10" t="s">
        <v>47</v>
      </c>
      <c r="N492" s="10"/>
      <c r="O492" s="2">
        <v>5</v>
      </c>
      <c r="P492" s="17">
        <f>134.2*(1-S3/100)</f>
        <v>134.19999999999999</v>
      </c>
      <c r="Q492" s="18"/>
      <c r="R492" s="10">
        <f t="shared" si="13"/>
        <v>0</v>
      </c>
      <c r="S492" s="19">
        <f t="shared" si="14"/>
        <v>0</v>
      </c>
      <c r="T492" s="20">
        <f t="shared" si="15"/>
        <v>0</v>
      </c>
      <c r="U492" s="21"/>
      <c r="V492" s="22" t="s">
        <v>2192</v>
      </c>
      <c r="W492" s="22" t="s">
        <v>191</v>
      </c>
      <c r="X492" s="3"/>
      <c r="Y492" s="3"/>
      <c r="Z492" s="3" t="s">
        <v>52</v>
      </c>
      <c r="AA492" s="3"/>
      <c r="AB492" s="3"/>
      <c r="AC492" s="3" t="str">
        <f>HYPERLINK("https://knigipp.ru/api/getInfo/image/bf9c96b5-1555-11ec-a20f-ac1f6b442185")</f>
        <v>https://knigipp.ru/api/getInfo/image/bf9c96b5-1555-11ec-a20f-ac1f6b442185</v>
      </c>
      <c r="AD492" s="32">
        <v>96</v>
      </c>
      <c r="AE492" s="3"/>
      <c r="AF492" s="3" t="s">
        <v>127</v>
      </c>
      <c r="AG492" s="32">
        <v>70</v>
      </c>
      <c r="AH492" s="3" t="s">
        <v>56</v>
      </c>
      <c r="AI492" s="3"/>
      <c r="AJ492" s="3"/>
      <c r="AK492" s="3" t="str">
        <f>HYPERLINK("https://knigipp.ru/api/getInfo/item/bf9c96b5-1555-11ec-a20f-ac1f6b442185")</f>
        <v>https://knigipp.ru/api/getInfo/item/bf9c96b5-1555-11ec-a20f-ac1f6b442185</v>
      </c>
      <c r="AL492" s="3" t="s">
        <v>2174</v>
      </c>
    </row>
    <row r="493" spans="1:38" ht="21" customHeight="1" outlineLevel="5" x14ac:dyDescent="0.2">
      <c r="A493" s="2">
        <v>352</v>
      </c>
      <c r="B493" s="3" t="s">
        <v>2193</v>
      </c>
      <c r="C493" s="49" t="s">
        <v>2194</v>
      </c>
      <c r="D493" s="49"/>
      <c r="E493" s="49"/>
      <c r="F493" s="49"/>
      <c r="G493" s="4" t="s">
        <v>2195</v>
      </c>
      <c r="H493" s="8"/>
      <c r="I493" s="9" t="s">
        <v>2172</v>
      </c>
      <c r="J493" s="10"/>
      <c r="K493" s="11">
        <v>20</v>
      </c>
      <c r="L493" s="10"/>
      <c r="M493" s="10" t="s">
        <v>47</v>
      </c>
      <c r="N493" s="10"/>
      <c r="O493" s="2">
        <v>5</v>
      </c>
      <c r="P493" s="17">
        <f>134.2*(1-S3/100)</f>
        <v>134.19999999999999</v>
      </c>
      <c r="Q493" s="18"/>
      <c r="R493" s="10">
        <f t="shared" si="13"/>
        <v>0</v>
      </c>
      <c r="S493" s="19">
        <f t="shared" si="14"/>
        <v>0</v>
      </c>
      <c r="T493" s="20">
        <f t="shared" si="15"/>
        <v>0</v>
      </c>
      <c r="U493" s="21"/>
      <c r="V493" s="22" t="s">
        <v>2196</v>
      </c>
      <c r="W493" s="22" t="s">
        <v>191</v>
      </c>
      <c r="X493" s="3"/>
      <c r="Y493" s="3" t="s">
        <v>2197</v>
      </c>
      <c r="Z493" s="3" t="s">
        <v>52</v>
      </c>
      <c r="AA493" s="3" t="s">
        <v>2188</v>
      </c>
      <c r="AB493" s="3"/>
      <c r="AC493" s="3" t="str">
        <f>HYPERLINK("https://knigipp.ru/api/getInfo/image/132eb5d2-27bc-11ee-a23d-00155d82e902")</f>
        <v>https://knigipp.ru/api/getInfo/image/132eb5d2-27bc-11ee-a23d-00155d82e902</v>
      </c>
      <c r="AD493" s="32">
        <v>96</v>
      </c>
      <c r="AE493" s="3" t="s">
        <v>355</v>
      </c>
      <c r="AF493" s="3" t="s">
        <v>127</v>
      </c>
      <c r="AG493" s="32">
        <v>70</v>
      </c>
      <c r="AH493" s="3" t="s">
        <v>56</v>
      </c>
      <c r="AI493" s="3"/>
      <c r="AJ493" s="3"/>
      <c r="AK493" s="3" t="str">
        <f>HYPERLINK("https://knigipp.ru/api/getInfo/item/132eb5d2-27bc-11ee-a23d-00155d82e902")</f>
        <v>https://knigipp.ru/api/getInfo/item/132eb5d2-27bc-11ee-a23d-00155d82e902</v>
      </c>
      <c r="AL493" s="3" t="s">
        <v>2174</v>
      </c>
    </row>
    <row r="494" spans="1:38" ht="21" customHeight="1" outlineLevel="5" x14ac:dyDescent="0.2">
      <c r="A494" s="2">
        <v>353</v>
      </c>
      <c r="B494" s="3" t="s">
        <v>2198</v>
      </c>
      <c r="C494" s="49" t="s">
        <v>2199</v>
      </c>
      <c r="D494" s="49"/>
      <c r="E494" s="49"/>
      <c r="F494" s="49"/>
      <c r="G494" s="4" t="s">
        <v>2200</v>
      </c>
      <c r="H494" s="8"/>
      <c r="I494" s="9" t="s">
        <v>2172</v>
      </c>
      <c r="J494" s="10"/>
      <c r="K494" s="11">
        <v>20</v>
      </c>
      <c r="L494" s="10"/>
      <c r="M494" s="10" t="s">
        <v>304</v>
      </c>
      <c r="N494" s="10"/>
      <c r="O494" s="2">
        <v>5</v>
      </c>
      <c r="P494" s="17">
        <f>134.2*(1-S3/100)</f>
        <v>134.19999999999999</v>
      </c>
      <c r="Q494" s="18"/>
      <c r="R494" s="10">
        <f t="shared" si="13"/>
        <v>0</v>
      </c>
      <c r="S494" s="19">
        <f t="shared" si="14"/>
        <v>0</v>
      </c>
      <c r="T494" s="20">
        <f t="shared" si="15"/>
        <v>0</v>
      </c>
      <c r="U494" s="21"/>
      <c r="V494" s="22" t="s">
        <v>2201</v>
      </c>
      <c r="W494" s="22" t="s">
        <v>191</v>
      </c>
      <c r="X494" s="3"/>
      <c r="Y494" s="3" t="s">
        <v>2202</v>
      </c>
      <c r="Z494" s="3" t="s">
        <v>52</v>
      </c>
      <c r="AA494" s="3" t="s">
        <v>2188</v>
      </c>
      <c r="AB494" s="3"/>
      <c r="AC494" s="3" t="str">
        <f>HYPERLINK("https://knigipp.ru/api/getInfo/image/34e4fbf8-27bb-11ee-a23d-00155d82e902")</f>
        <v>https://knigipp.ru/api/getInfo/image/34e4fbf8-27bb-11ee-a23d-00155d82e902</v>
      </c>
      <c r="AD494" s="32">
        <v>96</v>
      </c>
      <c r="AE494" s="3" t="s">
        <v>355</v>
      </c>
      <c r="AF494" s="3" t="s">
        <v>127</v>
      </c>
      <c r="AG494" s="32">
        <v>70</v>
      </c>
      <c r="AH494" s="3" t="s">
        <v>56</v>
      </c>
      <c r="AI494" s="3"/>
      <c r="AJ494" s="3"/>
      <c r="AK494" s="3" t="str">
        <f>HYPERLINK("https://knigipp.ru/api/getInfo/item/34e4fbf8-27bb-11ee-a23d-00155d82e902")</f>
        <v>https://knigipp.ru/api/getInfo/item/34e4fbf8-27bb-11ee-a23d-00155d82e902</v>
      </c>
      <c r="AL494" s="3" t="s">
        <v>2174</v>
      </c>
    </row>
    <row r="495" spans="1:38" ht="21" customHeight="1" outlineLevel="5" x14ac:dyDescent="0.2">
      <c r="A495" s="2">
        <v>354</v>
      </c>
      <c r="B495" s="3" t="s">
        <v>2203</v>
      </c>
      <c r="C495" s="49" t="s">
        <v>2204</v>
      </c>
      <c r="D495" s="49"/>
      <c r="E495" s="49"/>
      <c r="F495" s="49"/>
      <c r="G495" s="4" t="s">
        <v>2205</v>
      </c>
      <c r="H495" s="8"/>
      <c r="I495" s="9" t="s">
        <v>2172</v>
      </c>
      <c r="J495" s="10"/>
      <c r="K495" s="11">
        <v>20</v>
      </c>
      <c r="L495" s="10"/>
      <c r="M495" s="10" t="s">
        <v>78</v>
      </c>
      <c r="N495" s="10"/>
      <c r="O495" s="2">
        <v>5</v>
      </c>
      <c r="P495" s="17">
        <f>134.2*(1-S3/100)</f>
        <v>134.19999999999999</v>
      </c>
      <c r="Q495" s="18"/>
      <c r="R495" s="10">
        <f t="shared" si="13"/>
        <v>0</v>
      </c>
      <c r="S495" s="19">
        <f t="shared" si="14"/>
        <v>0</v>
      </c>
      <c r="T495" s="20">
        <f t="shared" si="15"/>
        <v>0</v>
      </c>
      <c r="U495" s="21"/>
      <c r="V495" s="22" t="s">
        <v>2206</v>
      </c>
      <c r="W495" s="22" t="s">
        <v>191</v>
      </c>
      <c r="X495" s="3"/>
      <c r="Y495" s="3"/>
      <c r="Z495" s="3" t="s">
        <v>52</v>
      </c>
      <c r="AA495" s="3"/>
      <c r="AB495" s="3"/>
      <c r="AC495" s="3" t="str">
        <f>HYPERLINK("https://knigipp.ru/api/getInfo/image/1df465a9-1557-11ec-a20f-ac1f6b442185")</f>
        <v>https://knigipp.ru/api/getInfo/image/1df465a9-1557-11ec-a20f-ac1f6b442185</v>
      </c>
      <c r="AD495" s="32">
        <v>96</v>
      </c>
      <c r="AE495" s="3"/>
      <c r="AF495" s="3" t="s">
        <v>127</v>
      </c>
      <c r="AG495" s="32">
        <v>70</v>
      </c>
      <c r="AH495" s="3" t="s">
        <v>56</v>
      </c>
      <c r="AI495" s="3"/>
      <c r="AJ495" s="3"/>
      <c r="AK495" s="3" t="str">
        <f>HYPERLINK("https://knigipp.ru/api/getInfo/item/1df465a9-1557-11ec-a20f-ac1f6b442185")</f>
        <v>https://knigipp.ru/api/getInfo/item/1df465a9-1557-11ec-a20f-ac1f6b442185</v>
      </c>
      <c r="AL495" s="3" t="s">
        <v>2174</v>
      </c>
    </row>
    <row r="496" spans="1:38" ht="21" customHeight="1" outlineLevel="5" x14ac:dyDescent="0.2">
      <c r="A496" s="2">
        <v>355</v>
      </c>
      <c r="B496" s="3" t="s">
        <v>2207</v>
      </c>
      <c r="C496" s="49" t="s">
        <v>2208</v>
      </c>
      <c r="D496" s="49"/>
      <c r="E496" s="49"/>
      <c r="F496" s="49"/>
      <c r="G496" s="4" t="s">
        <v>2209</v>
      </c>
      <c r="H496" s="8"/>
      <c r="I496" s="9" t="s">
        <v>2172</v>
      </c>
      <c r="J496" s="10"/>
      <c r="K496" s="11">
        <v>20</v>
      </c>
      <c r="L496" s="10"/>
      <c r="M496" s="10" t="s">
        <v>47</v>
      </c>
      <c r="N496" s="10"/>
      <c r="O496" s="2">
        <v>5</v>
      </c>
      <c r="P496" s="17">
        <f>134.2*(1-S3/100)</f>
        <v>134.19999999999999</v>
      </c>
      <c r="Q496" s="18"/>
      <c r="R496" s="10">
        <f t="shared" si="13"/>
        <v>0</v>
      </c>
      <c r="S496" s="19">
        <f t="shared" si="14"/>
        <v>0</v>
      </c>
      <c r="T496" s="20">
        <f t="shared" si="15"/>
        <v>0</v>
      </c>
      <c r="U496" s="21"/>
      <c r="V496" s="22" t="s">
        <v>2210</v>
      </c>
      <c r="W496" s="22" t="s">
        <v>191</v>
      </c>
      <c r="X496" s="3"/>
      <c r="Y496" s="3"/>
      <c r="Z496" s="3" t="s">
        <v>52</v>
      </c>
      <c r="AA496" s="3" t="s">
        <v>2188</v>
      </c>
      <c r="AB496" s="3"/>
      <c r="AC496" s="3" t="str">
        <f>HYPERLINK("https://knigipp.ru/api/getInfo/image/57c65851-27bc-11ee-a23d-00155d82e902")</f>
        <v>https://knigipp.ru/api/getInfo/image/57c65851-27bc-11ee-a23d-00155d82e902</v>
      </c>
      <c r="AD496" s="32">
        <v>96</v>
      </c>
      <c r="AE496" s="3" t="s">
        <v>355</v>
      </c>
      <c r="AF496" s="3" t="s">
        <v>127</v>
      </c>
      <c r="AG496" s="32">
        <v>70</v>
      </c>
      <c r="AH496" s="3" t="s">
        <v>56</v>
      </c>
      <c r="AI496" s="3"/>
      <c r="AJ496" s="3"/>
      <c r="AK496" s="3" t="str">
        <f>HYPERLINK("https://knigipp.ru/api/getInfo/item/57c65851-27bc-11ee-a23d-00155d82e902")</f>
        <v>https://knigipp.ru/api/getInfo/item/57c65851-27bc-11ee-a23d-00155d82e902</v>
      </c>
      <c r="AL496" s="3" t="s">
        <v>2174</v>
      </c>
    </row>
    <row r="497" spans="1:38" ht="21" customHeight="1" outlineLevel="5" x14ac:dyDescent="0.2">
      <c r="A497" s="2">
        <v>356</v>
      </c>
      <c r="B497" s="3" t="s">
        <v>2211</v>
      </c>
      <c r="C497" s="49" t="s">
        <v>2212</v>
      </c>
      <c r="D497" s="49"/>
      <c r="E497" s="49"/>
      <c r="F497" s="49"/>
      <c r="G497" s="4" t="s">
        <v>2213</v>
      </c>
      <c r="H497" s="8"/>
      <c r="I497" s="9" t="s">
        <v>2186</v>
      </c>
      <c r="J497" s="10"/>
      <c r="K497" s="11">
        <v>20</v>
      </c>
      <c r="L497" s="10"/>
      <c r="M497" s="10" t="s">
        <v>47</v>
      </c>
      <c r="N497" s="10"/>
      <c r="O497" s="2">
        <v>5</v>
      </c>
      <c r="P497" s="17">
        <f>134.2*(1-S3/100)</f>
        <v>134.19999999999999</v>
      </c>
      <c r="Q497" s="18"/>
      <c r="R497" s="10">
        <f t="shared" si="13"/>
        <v>0</v>
      </c>
      <c r="S497" s="19">
        <f t="shared" si="14"/>
        <v>0</v>
      </c>
      <c r="T497" s="20">
        <f t="shared" si="15"/>
        <v>0</v>
      </c>
      <c r="U497" s="21"/>
      <c r="V497" s="22" t="s">
        <v>2214</v>
      </c>
      <c r="W497" s="22" t="s">
        <v>191</v>
      </c>
      <c r="X497" s="3"/>
      <c r="Y497" s="3"/>
      <c r="Z497" s="3" t="s">
        <v>52</v>
      </c>
      <c r="AA497" s="3" t="s">
        <v>2188</v>
      </c>
      <c r="AB497" s="3"/>
      <c r="AC497" s="3" t="str">
        <f>HYPERLINK("https://knigipp.ru/api/getInfo/image/8008ebc5-1a63-11ee-a23b-00155d82e902")</f>
        <v>https://knigipp.ru/api/getInfo/image/8008ebc5-1a63-11ee-a23b-00155d82e902</v>
      </c>
      <c r="AD497" s="32">
        <v>96</v>
      </c>
      <c r="AE497" s="3" t="s">
        <v>355</v>
      </c>
      <c r="AF497" s="3" t="s">
        <v>127</v>
      </c>
      <c r="AG497" s="32">
        <v>70</v>
      </c>
      <c r="AH497" s="3" t="s">
        <v>56</v>
      </c>
      <c r="AI497" s="3"/>
      <c r="AJ497" s="3"/>
      <c r="AK497" s="3" t="str">
        <f>HYPERLINK("https://knigipp.ru/api/getInfo/item/8008ebc5-1a63-11ee-a23b-00155d82e902")</f>
        <v>https://knigipp.ru/api/getInfo/item/8008ebc5-1a63-11ee-a23b-00155d82e902</v>
      </c>
      <c r="AL497" s="3" t="s">
        <v>2174</v>
      </c>
    </row>
    <row r="498" spans="1:38" ht="21" customHeight="1" outlineLevel="5" x14ac:dyDescent="0.2">
      <c r="A498" s="2">
        <v>357</v>
      </c>
      <c r="B498" s="3" t="s">
        <v>2215</v>
      </c>
      <c r="C498" s="49" t="s">
        <v>2216</v>
      </c>
      <c r="D498" s="49"/>
      <c r="E498" s="49"/>
      <c r="F498" s="49"/>
      <c r="G498" s="4" t="s">
        <v>2217</v>
      </c>
      <c r="H498" s="8"/>
      <c r="I498" s="9" t="s">
        <v>2172</v>
      </c>
      <c r="J498" s="10"/>
      <c r="K498" s="11">
        <v>20</v>
      </c>
      <c r="L498" s="10"/>
      <c r="M498" s="10" t="s">
        <v>47</v>
      </c>
      <c r="N498" s="10"/>
      <c r="O498" s="2">
        <v>5</v>
      </c>
      <c r="P498" s="17">
        <f>134.2*(1-S3/100)</f>
        <v>134.19999999999999</v>
      </c>
      <c r="Q498" s="18"/>
      <c r="R498" s="10">
        <f t="shared" si="13"/>
        <v>0</v>
      </c>
      <c r="S498" s="19">
        <f>0.095*Q498</f>
        <v>0</v>
      </c>
      <c r="T498" s="20">
        <f t="shared" si="15"/>
        <v>0</v>
      </c>
      <c r="U498" s="21"/>
      <c r="V498" s="22" t="s">
        <v>2218</v>
      </c>
      <c r="W498" s="22" t="s">
        <v>191</v>
      </c>
      <c r="X498" s="3"/>
      <c r="Y498" s="3"/>
      <c r="Z498" s="3" t="s">
        <v>52</v>
      </c>
      <c r="AA498" s="3"/>
      <c r="AB498" s="3"/>
      <c r="AC498" s="3" t="str">
        <f>HYPERLINK("https://knigipp.ru/api/getInfo/image/6b381f69-177c-11eb-a25d-ac1f6b442184")</f>
        <v>https://knigipp.ru/api/getInfo/image/6b381f69-177c-11eb-a25d-ac1f6b442184</v>
      </c>
      <c r="AD498" s="32">
        <v>96</v>
      </c>
      <c r="AE498" s="3"/>
      <c r="AF498" s="3" t="s">
        <v>127</v>
      </c>
      <c r="AG498" s="32">
        <v>70</v>
      </c>
      <c r="AH498" s="3" t="s">
        <v>56</v>
      </c>
      <c r="AI498" s="3"/>
      <c r="AJ498" s="3"/>
      <c r="AK498" s="3" t="str">
        <f>HYPERLINK("https://knigipp.ru/api/getInfo/item/6b381f69-177c-11eb-a25d-ac1f6b442184")</f>
        <v>https://knigipp.ru/api/getInfo/item/6b381f69-177c-11eb-a25d-ac1f6b442184</v>
      </c>
      <c r="AL498" s="3" t="s">
        <v>2174</v>
      </c>
    </row>
    <row r="499" spans="1:38" ht="21" customHeight="1" outlineLevel="5" x14ac:dyDescent="0.2">
      <c r="A499" s="2">
        <v>358</v>
      </c>
      <c r="B499" s="3" t="s">
        <v>2219</v>
      </c>
      <c r="C499" s="49" t="s">
        <v>2220</v>
      </c>
      <c r="D499" s="49"/>
      <c r="E499" s="49"/>
      <c r="F499" s="49"/>
      <c r="G499" s="4" t="s">
        <v>2221</v>
      </c>
      <c r="H499" s="8"/>
      <c r="I499" s="9" t="s">
        <v>2172</v>
      </c>
      <c r="J499" s="10"/>
      <c r="K499" s="11">
        <v>20</v>
      </c>
      <c r="L499" s="10"/>
      <c r="M499" s="10" t="s">
        <v>78</v>
      </c>
      <c r="N499" s="10"/>
      <c r="O499" s="2">
        <v>5</v>
      </c>
      <c r="P499" s="17">
        <f>134.2*(1-S3/100)</f>
        <v>134.19999999999999</v>
      </c>
      <c r="Q499" s="18"/>
      <c r="R499" s="10">
        <f t="shared" si="13"/>
        <v>0</v>
      </c>
      <c r="S499" s="19">
        <f>0.104*Q499</f>
        <v>0</v>
      </c>
      <c r="T499" s="20">
        <f t="shared" si="15"/>
        <v>0</v>
      </c>
      <c r="U499" s="21"/>
      <c r="V499" s="22" t="s">
        <v>2222</v>
      </c>
      <c r="W499" s="22" t="s">
        <v>191</v>
      </c>
      <c r="X499" s="3"/>
      <c r="Y499" s="3" t="s">
        <v>2223</v>
      </c>
      <c r="Z499" s="3" t="s">
        <v>52</v>
      </c>
      <c r="AA499" s="3"/>
      <c r="AB499" s="3"/>
      <c r="AC499" s="3" t="str">
        <f>HYPERLINK("https://knigipp.ru/api/getInfo/image/f26c8766-1556-11ec-a20f-ac1f6b442185")</f>
        <v>https://knigipp.ru/api/getInfo/image/f26c8766-1556-11ec-a20f-ac1f6b442185</v>
      </c>
      <c r="AD499" s="32">
        <v>96</v>
      </c>
      <c r="AE499" s="3"/>
      <c r="AF499" s="3" t="s">
        <v>127</v>
      </c>
      <c r="AG499" s="32">
        <v>70</v>
      </c>
      <c r="AH499" s="3" t="s">
        <v>56</v>
      </c>
      <c r="AI499" s="3"/>
      <c r="AJ499" s="3"/>
      <c r="AK499" s="3" t="str">
        <f>HYPERLINK("https://knigipp.ru/api/getInfo/item/f26c8766-1556-11ec-a20f-ac1f6b442185")</f>
        <v>https://knigipp.ru/api/getInfo/item/f26c8766-1556-11ec-a20f-ac1f6b442185</v>
      </c>
      <c r="AL499" s="3" t="s">
        <v>2174</v>
      </c>
    </row>
    <row r="500" spans="1:38" ht="21" customHeight="1" outlineLevel="5" x14ac:dyDescent="0.2">
      <c r="A500" s="2">
        <v>359</v>
      </c>
      <c r="B500" s="3" t="s">
        <v>2224</v>
      </c>
      <c r="C500" s="49" t="s">
        <v>2225</v>
      </c>
      <c r="D500" s="49"/>
      <c r="E500" s="49"/>
      <c r="F500" s="49"/>
      <c r="G500" s="4" t="s">
        <v>2226</v>
      </c>
      <c r="H500" s="8"/>
      <c r="I500" s="9" t="s">
        <v>2172</v>
      </c>
      <c r="J500" s="10"/>
      <c r="K500" s="11">
        <v>20</v>
      </c>
      <c r="L500" s="10"/>
      <c r="M500" s="10" t="s">
        <v>47</v>
      </c>
      <c r="N500" s="10"/>
      <c r="O500" s="2">
        <v>5</v>
      </c>
      <c r="P500" s="17">
        <f>134.2*(1-S3/100)</f>
        <v>134.19999999999999</v>
      </c>
      <c r="Q500" s="18"/>
      <c r="R500" s="10">
        <f t="shared" si="13"/>
        <v>0</v>
      </c>
      <c r="S500" s="19">
        <f>0.094*Q500</f>
        <v>0</v>
      </c>
      <c r="T500" s="20">
        <f>0.00015*Q500</f>
        <v>0</v>
      </c>
      <c r="U500" s="21"/>
      <c r="V500" s="22" t="s">
        <v>2227</v>
      </c>
      <c r="W500" s="22" t="s">
        <v>191</v>
      </c>
      <c r="X500" s="3"/>
      <c r="Y500" s="3"/>
      <c r="Z500" s="3" t="s">
        <v>52</v>
      </c>
      <c r="AA500" s="3"/>
      <c r="AB500" s="3"/>
      <c r="AC500" s="3" t="str">
        <f>HYPERLINK("https://knigipp.ru/api/getInfo/image/63ad03ed-9942-11ec-a211-ac1f6b442185")</f>
        <v>https://knigipp.ru/api/getInfo/image/63ad03ed-9942-11ec-a211-ac1f6b442185</v>
      </c>
      <c r="AD500" s="32">
        <v>96</v>
      </c>
      <c r="AE500" s="3"/>
      <c r="AF500" s="3" t="s">
        <v>127</v>
      </c>
      <c r="AG500" s="32">
        <v>70</v>
      </c>
      <c r="AH500" s="3" t="s">
        <v>56</v>
      </c>
      <c r="AI500" s="3"/>
      <c r="AJ500" s="3"/>
      <c r="AK500" s="3" t="str">
        <f>HYPERLINK("https://knigipp.ru/api/getInfo/item/63ad03ed-9942-11ec-a211-ac1f6b442185")</f>
        <v>https://knigipp.ru/api/getInfo/item/63ad03ed-9942-11ec-a211-ac1f6b442185</v>
      </c>
      <c r="AL500" s="3" t="s">
        <v>2174</v>
      </c>
    </row>
    <row r="501" spans="1:38" ht="23.1" customHeight="1" outlineLevel="4" x14ac:dyDescent="0.2">
      <c r="A501" s="55" t="s">
        <v>2228</v>
      </c>
      <c r="B501" s="55"/>
      <c r="C501" s="55"/>
      <c r="D501" s="55"/>
      <c r="E501" s="55"/>
      <c r="F501" s="55"/>
    </row>
    <row r="502" spans="1:38" ht="21" customHeight="1" outlineLevel="5" x14ac:dyDescent="0.2">
      <c r="A502" s="2">
        <v>360</v>
      </c>
      <c r="B502" s="3" t="s">
        <v>2229</v>
      </c>
      <c r="C502" s="49" t="s">
        <v>2230</v>
      </c>
      <c r="D502" s="49"/>
      <c r="E502" s="49"/>
      <c r="F502" s="49"/>
      <c r="G502" s="4" t="s">
        <v>2231</v>
      </c>
      <c r="H502" s="8"/>
      <c r="I502" s="9" t="s">
        <v>2232</v>
      </c>
      <c r="J502" s="10"/>
      <c r="K502" s="11">
        <v>10</v>
      </c>
      <c r="L502" s="10"/>
      <c r="M502" s="10" t="s">
        <v>78</v>
      </c>
      <c r="N502" s="10"/>
      <c r="O502" s="2">
        <v>3</v>
      </c>
      <c r="P502" s="17">
        <f>249.9*(1-S3/100)</f>
        <v>249.9</v>
      </c>
      <c r="Q502" s="18"/>
      <c r="R502" s="10">
        <f>P502*Q502</f>
        <v>0</v>
      </c>
      <c r="S502" s="28">
        <f>0.35*Q502</f>
        <v>0</v>
      </c>
      <c r="T502" s="20">
        <f>0.00052*Q502</f>
        <v>0</v>
      </c>
      <c r="U502" s="21"/>
      <c r="V502" s="22" t="s">
        <v>2233</v>
      </c>
      <c r="W502" s="22" t="s">
        <v>191</v>
      </c>
      <c r="X502" s="3"/>
      <c r="Y502" s="3"/>
      <c r="Z502" s="3" t="s">
        <v>52</v>
      </c>
      <c r="AA502" s="3"/>
      <c r="AB502" s="3"/>
      <c r="AC502" s="3" t="str">
        <f>HYPERLINK("https://knigipp.ru/api/getInfo/image/179daf85-ee19-11eb-a20d-ac1f6b442185")</f>
        <v>https://knigipp.ru/api/getInfo/image/179daf85-ee19-11eb-a20d-ac1f6b442185</v>
      </c>
      <c r="AD502" s="32">
        <v>128</v>
      </c>
      <c r="AE502" s="3"/>
      <c r="AF502" s="3" t="s">
        <v>127</v>
      </c>
      <c r="AG502" s="32">
        <v>90</v>
      </c>
      <c r="AH502" s="3" t="s">
        <v>56</v>
      </c>
      <c r="AI502" s="3"/>
      <c r="AJ502" s="3"/>
      <c r="AK502" s="3" t="str">
        <f>HYPERLINK("https://knigipp.ru/api/getInfo/item/179daf85-ee19-11eb-a20d-ac1f6b442185")</f>
        <v>https://knigipp.ru/api/getInfo/item/179daf85-ee19-11eb-a20d-ac1f6b442185</v>
      </c>
      <c r="AL502" s="3" t="s">
        <v>2234</v>
      </c>
    </row>
    <row r="503" spans="1:38" ht="23.1" customHeight="1" outlineLevel="4" x14ac:dyDescent="0.2">
      <c r="A503" s="55" t="s">
        <v>2235</v>
      </c>
      <c r="B503" s="55"/>
      <c r="C503" s="55"/>
      <c r="D503" s="55"/>
      <c r="E503" s="55"/>
      <c r="F503" s="55"/>
    </row>
    <row r="504" spans="1:38" ht="21" customHeight="1" outlineLevel="5" x14ac:dyDescent="0.2">
      <c r="A504" s="2">
        <v>361</v>
      </c>
      <c r="B504" s="3" t="s">
        <v>2236</v>
      </c>
      <c r="C504" s="49" t="s">
        <v>2237</v>
      </c>
      <c r="D504" s="49"/>
      <c r="E504" s="49"/>
      <c r="F504" s="49"/>
      <c r="G504" s="4" t="s">
        <v>2238</v>
      </c>
      <c r="H504" s="8"/>
      <c r="I504" s="9" t="s">
        <v>2239</v>
      </c>
      <c r="J504" s="10"/>
      <c r="K504" s="11">
        <v>20</v>
      </c>
      <c r="L504" s="10"/>
      <c r="M504" s="10" t="s">
        <v>78</v>
      </c>
      <c r="N504" s="10"/>
      <c r="O504" s="2">
        <v>3</v>
      </c>
      <c r="P504" s="17">
        <f>247*(1-S3/100)</f>
        <v>247</v>
      </c>
      <c r="Q504" s="18"/>
      <c r="R504" s="10">
        <f>P504*Q504</f>
        <v>0</v>
      </c>
      <c r="S504" s="28">
        <f>0.12*Q504</f>
        <v>0</v>
      </c>
      <c r="T504" s="20">
        <f>0.00032*Q504</f>
        <v>0</v>
      </c>
      <c r="U504" s="21"/>
      <c r="V504" s="22" t="s">
        <v>2240</v>
      </c>
      <c r="W504" s="22" t="s">
        <v>191</v>
      </c>
      <c r="X504" s="3"/>
      <c r="Y504" s="3" t="s">
        <v>2241</v>
      </c>
      <c r="Z504" s="3" t="s">
        <v>52</v>
      </c>
      <c r="AA504" s="3"/>
      <c r="AB504" s="3"/>
      <c r="AC504" s="3" t="str">
        <f>HYPERLINK("https://knigipp.ru/api/getInfo/image/af67eae4-c1c5-11ee-a25a-00155d82e908")</f>
        <v>https://knigipp.ru/api/getInfo/image/af67eae4-c1c5-11ee-a25a-00155d82e908</v>
      </c>
      <c r="AD504" s="32">
        <v>128</v>
      </c>
      <c r="AE504" s="3" t="s">
        <v>481</v>
      </c>
      <c r="AF504" s="3" t="s">
        <v>127</v>
      </c>
      <c r="AG504" s="3"/>
      <c r="AH504" s="3" t="s">
        <v>56</v>
      </c>
      <c r="AI504" s="3"/>
      <c r="AJ504" s="3"/>
      <c r="AK504" s="3" t="str">
        <f>HYPERLINK("https://knigipp.ru/api/getInfo/item/af67eae4-c1c5-11ee-a25a-00155d82e908")</f>
        <v>https://knigipp.ru/api/getInfo/item/af67eae4-c1c5-11ee-a25a-00155d82e908</v>
      </c>
      <c r="AL504" s="3" t="s">
        <v>2242</v>
      </c>
    </row>
    <row r="505" spans="1:38" ht="21" customHeight="1" outlineLevel="5" x14ac:dyDescent="0.2">
      <c r="A505" s="2">
        <v>362</v>
      </c>
      <c r="B505" s="3" t="s">
        <v>2243</v>
      </c>
      <c r="C505" s="49" t="s">
        <v>2244</v>
      </c>
      <c r="D505" s="49"/>
      <c r="E505" s="49"/>
      <c r="F505" s="49"/>
      <c r="G505" s="4" t="s">
        <v>2245</v>
      </c>
      <c r="H505" s="8"/>
      <c r="I505" s="9" t="s">
        <v>2239</v>
      </c>
      <c r="J505" s="10"/>
      <c r="K505" s="11">
        <v>20</v>
      </c>
      <c r="L505" s="10"/>
      <c r="M505" s="10" t="s">
        <v>47</v>
      </c>
      <c r="N505" s="10"/>
      <c r="O505" s="2">
        <v>3</v>
      </c>
      <c r="P505" s="17">
        <f>247*(1-S3/100)</f>
        <v>247</v>
      </c>
      <c r="Q505" s="18"/>
      <c r="R505" s="10">
        <f>P505*Q505</f>
        <v>0</v>
      </c>
      <c r="S505" s="28">
        <f>0.12*Q505</f>
        <v>0</v>
      </c>
      <c r="T505" s="20">
        <f>0.00032*Q505</f>
        <v>0</v>
      </c>
      <c r="U505" s="21"/>
      <c r="V505" s="22" t="s">
        <v>2246</v>
      </c>
      <c r="W505" s="22" t="s">
        <v>191</v>
      </c>
      <c r="X505" s="3"/>
      <c r="Y505" s="3" t="s">
        <v>2247</v>
      </c>
      <c r="Z505" s="3" t="s">
        <v>52</v>
      </c>
      <c r="AA505" s="3" t="s">
        <v>2248</v>
      </c>
      <c r="AB505" s="3"/>
      <c r="AC505" s="3" t="str">
        <f>HYPERLINK("https://knigipp.ru/api/getInfo/image/42945fb8-c1c5-11ee-a25a-00155d82e908")</f>
        <v>https://knigipp.ru/api/getInfo/image/42945fb8-c1c5-11ee-a25a-00155d82e908</v>
      </c>
      <c r="AD505" s="32">
        <v>128</v>
      </c>
      <c r="AE505" s="3" t="s">
        <v>481</v>
      </c>
      <c r="AF505" s="3" t="s">
        <v>127</v>
      </c>
      <c r="AG505" s="3"/>
      <c r="AH505" s="3" t="s">
        <v>56</v>
      </c>
      <c r="AI505" s="3"/>
      <c r="AJ505" s="3"/>
      <c r="AK505" s="3" t="str">
        <f>HYPERLINK("https://knigipp.ru/api/getInfo/item/42945fb8-c1c5-11ee-a25a-00155d82e908")</f>
        <v>https://knigipp.ru/api/getInfo/item/42945fb8-c1c5-11ee-a25a-00155d82e908</v>
      </c>
      <c r="AL505" s="3" t="s">
        <v>2242</v>
      </c>
    </row>
    <row r="506" spans="1:38" ht="21" customHeight="1" outlineLevel="5" x14ac:dyDescent="0.2">
      <c r="A506" s="2">
        <v>363</v>
      </c>
      <c r="B506" s="3" t="s">
        <v>2249</v>
      </c>
      <c r="C506" s="49" t="s">
        <v>2250</v>
      </c>
      <c r="D506" s="49"/>
      <c r="E506" s="49"/>
      <c r="F506" s="49"/>
      <c r="G506" s="4" t="s">
        <v>2251</v>
      </c>
      <c r="H506" s="8"/>
      <c r="I506" s="9" t="s">
        <v>2239</v>
      </c>
      <c r="J506" s="10"/>
      <c r="K506" s="11">
        <v>20</v>
      </c>
      <c r="L506" s="10"/>
      <c r="M506" s="10" t="s">
        <v>78</v>
      </c>
      <c r="N506" s="10"/>
      <c r="O506" s="2">
        <v>3</v>
      </c>
      <c r="P506" s="17">
        <f>247*(1-S3/100)</f>
        <v>247</v>
      </c>
      <c r="Q506" s="18"/>
      <c r="R506" s="10">
        <f>P506*Q506</f>
        <v>0</v>
      </c>
      <c r="S506" s="28">
        <f>0.12*Q506</f>
        <v>0</v>
      </c>
      <c r="T506" s="20">
        <f>0.00032*Q506</f>
        <v>0</v>
      </c>
      <c r="U506" s="21"/>
      <c r="V506" s="22" t="s">
        <v>2252</v>
      </c>
      <c r="W506" s="22" t="s">
        <v>191</v>
      </c>
      <c r="X506" s="3"/>
      <c r="Y506" s="3" t="s">
        <v>2253</v>
      </c>
      <c r="Z506" s="3" t="s">
        <v>52</v>
      </c>
      <c r="AA506" s="3"/>
      <c r="AB506" s="3"/>
      <c r="AC506" s="3" t="str">
        <f>HYPERLINK("https://knigipp.ru/api/getInfo/image/6a949540-c1c5-11ee-a25a-00155d82e908")</f>
        <v>https://knigipp.ru/api/getInfo/image/6a949540-c1c5-11ee-a25a-00155d82e908</v>
      </c>
      <c r="AD506" s="32">
        <v>128</v>
      </c>
      <c r="AE506" s="3" t="s">
        <v>481</v>
      </c>
      <c r="AF506" s="3" t="s">
        <v>127</v>
      </c>
      <c r="AG506" s="3"/>
      <c r="AH506" s="3" t="s">
        <v>56</v>
      </c>
      <c r="AI506" s="3"/>
      <c r="AJ506" s="3"/>
      <c r="AK506" s="3" t="str">
        <f>HYPERLINK("https://knigipp.ru/api/getInfo/item/6a949540-c1c5-11ee-a25a-00155d82e908")</f>
        <v>https://knigipp.ru/api/getInfo/item/6a949540-c1c5-11ee-a25a-00155d82e908</v>
      </c>
      <c r="AL506" s="3" t="s">
        <v>2242</v>
      </c>
    </row>
    <row r="507" spans="1:38" ht="23.1" customHeight="1" outlineLevel="4" x14ac:dyDescent="0.2">
      <c r="A507" s="55" t="s">
        <v>2254</v>
      </c>
      <c r="B507" s="55"/>
      <c r="C507" s="55"/>
      <c r="D507" s="55"/>
      <c r="E507" s="55"/>
      <c r="F507" s="55"/>
    </row>
    <row r="508" spans="1:38" ht="21" customHeight="1" outlineLevel="5" x14ac:dyDescent="0.2">
      <c r="A508" s="2">
        <v>364</v>
      </c>
      <c r="B508" s="3" t="s">
        <v>2255</v>
      </c>
      <c r="C508" s="49" t="s">
        <v>2256</v>
      </c>
      <c r="D508" s="49"/>
      <c r="E508" s="49"/>
      <c r="F508" s="49"/>
      <c r="G508" s="4" t="s">
        <v>2257</v>
      </c>
      <c r="H508" s="8"/>
      <c r="I508" s="9" t="s">
        <v>2258</v>
      </c>
      <c r="J508" s="10"/>
      <c r="K508" s="11">
        <v>10</v>
      </c>
      <c r="L508" s="10"/>
      <c r="M508" s="10" t="s">
        <v>47</v>
      </c>
      <c r="N508" s="10"/>
      <c r="O508" s="2">
        <v>3</v>
      </c>
      <c r="P508" s="17">
        <f>199*(1-S3/100)</f>
        <v>199</v>
      </c>
      <c r="Q508" s="18"/>
      <c r="R508" s="10">
        <f>P508*Q508</f>
        <v>0</v>
      </c>
      <c r="S508" s="19">
        <f>0.237*Q508</f>
        <v>0</v>
      </c>
      <c r="T508" s="30">
        <f>0.0003*Q508</f>
        <v>0</v>
      </c>
      <c r="U508" s="21"/>
      <c r="V508" s="22" t="s">
        <v>2259</v>
      </c>
      <c r="W508" s="22" t="s">
        <v>191</v>
      </c>
      <c r="X508" s="3"/>
      <c r="Y508" s="3" t="s">
        <v>2260</v>
      </c>
      <c r="Z508" s="3" t="s">
        <v>52</v>
      </c>
      <c r="AA508" s="3"/>
      <c r="AB508" s="3"/>
      <c r="AC508" s="3" t="str">
        <f>HYPERLINK("https://knigipp.ru/api/getInfo/image/8268c9b7-e8b7-11ed-a233-00155d82e902")</f>
        <v>https://knigipp.ru/api/getInfo/image/8268c9b7-e8b7-11ed-a233-00155d82e902</v>
      </c>
      <c r="AD508" s="32">
        <v>128</v>
      </c>
      <c r="AE508" s="3" t="s">
        <v>355</v>
      </c>
      <c r="AF508" s="3" t="s">
        <v>127</v>
      </c>
      <c r="AG508" s="3"/>
      <c r="AH508" s="3" t="s">
        <v>56</v>
      </c>
      <c r="AI508" s="3"/>
      <c r="AJ508" s="3"/>
      <c r="AK508" s="3" t="str">
        <f>HYPERLINK("https://knigipp.ru/api/getInfo/item/8268c9b7-e8b7-11ed-a233-00155d82e902")</f>
        <v>https://knigipp.ru/api/getInfo/item/8268c9b7-e8b7-11ed-a233-00155d82e902</v>
      </c>
      <c r="AL508" s="3" t="s">
        <v>2261</v>
      </c>
    </row>
    <row r="509" spans="1:38" ht="21" customHeight="1" outlineLevel="5" x14ac:dyDescent="0.2">
      <c r="A509" s="2">
        <v>365</v>
      </c>
      <c r="B509" s="3" t="s">
        <v>2262</v>
      </c>
      <c r="C509" s="49" t="s">
        <v>2263</v>
      </c>
      <c r="D509" s="49"/>
      <c r="E509" s="49"/>
      <c r="F509" s="49"/>
      <c r="G509" s="4" t="s">
        <v>2264</v>
      </c>
      <c r="H509" s="8"/>
      <c r="I509" s="9" t="s">
        <v>2258</v>
      </c>
      <c r="J509" s="10"/>
      <c r="K509" s="11">
        <v>10</v>
      </c>
      <c r="L509" s="10"/>
      <c r="M509" s="10" t="s">
        <v>47</v>
      </c>
      <c r="N509" s="10"/>
      <c r="O509" s="2">
        <v>3</v>
      </c>
      <c r="P509" s="17">
        <f>199*(1-S3/100)</f>
        <v>199</v>
      </c>
      <c r="Q509" s="18"/>
      <c r="R509" s="10">
        <f>P509*Q509</f>
        <v>0</v>
      </c>
      <c r="S509" s="19">
        <f>0.239*Q509</f>
        <v>0</v>
      </c>
      <c r="T509" s="20">
        <f>0.00035*Q509</f>
        <v>0</v>
      </c>
      <c r="U509" s="21"/>
      <c r="V509" s="22" t="s">
        <v>2265</v>
      </c>
      <c r="W509" s="22" t="s">
        <v>191</v>
      </c>
      <c r="X509" s="3"/>
      <c r="Y509" s="3"/>
      <c r="Z509" s="3" t="s">
        <v>52</v>
      </c>
      <c r="AA509" s="3"/>
      <c r="AB509" s="3"/>
      <c r="AC509" s="3" t="str">
        <f>HYPERLINK("https://knigipp.ru/api/getInfo/image/83b93d08-454a-11ed-a216-ac1f6b442185")</f>
        <v>https://knigipp.ru/api/getInfo/image/83b93d08-454a-11ed-a216-ac1f6b442185</v>
      </c>
      <c r="AD509" s="32">
        <v>128</v>
      </c>
      <c r="AE509" s="3" t="s">
        <v>355</v>
      </c>
      <c r="AF509" s="3" t="s">
        <v>127</v>
      </c>
      <c r="AG509" s="3"/>
      <c r="AH509" s="3" t="s">
        <v>56</v>
      </c>
      <c r="AI509" s="3"/>
      <c r="AJ509" s="3"/>
      <c r="AK509" s="3" t="str">
        <f>HYPERLINK("https://knigipp.ru/api/getInfo/item/83b93d08-454a-11ed-a216-ac1f6b442185")</f>
        <v>https://knigipp.ru/api/getInfo/item/83b93d08-454a-11ed-a216-ac1f6b442185</v>
      </c>
      <c r="AL509" s="3" t="s">
        <v>2266</v>
      </c>
    </row>
    <row r="510" spans="1:38" ht="21" customHeight="1" outlineLevel="5" x14ac:dyDescent="0.2">
      <c r="A510" s="2">
        <v>366</v>
      </c>
      <c r="B510" s="3" t="s">
        <v>2267</v>
      </c>
      <c r="C510" s="49" t="s">
        <v>2268</v>
      </c>
      <c r="D510" s="49"/>
      <c r="E510" s="49"/>
      <c r="F510" s="49"/>
      <c r="G510" s="4" t="s">
        <v>2269</v>
      </c>
      <c r="H510" s="8"/>
      <c r="I510" s="9" t="s">
        <v>2258</v>
      </c>
      <c r="J510" s="10"/>
      <c r="K510" s="11">
        <v>10</v>
      </c>
      <c r="L510" s="10"/>
      <c r="M510" s="10" t="s">
        <v>47</v>
      </c>
      <c r="N510" s="10"/>
      <c r="O510" s="2">
        <v>3</v>
      </c>
      <c r="P510" s="17">
        <f>199*(1-S3/100)</f>
        <v>199</v>
      </c>
      <c r="Q510" s="18"/>
      <c r="R510" s="10">
        <f>P510*Q510</f>
        <v>0</v>
      </c>
      <c r="S510" s="19">
        <f>0.239*Q510</f>
        <v>0</v>
      </c>
      <c r="T510" s="20">
        <f>0.00035*Q510</f>
        <v>0</v>
      </c>
      <c r="U510" s="21"/>
      <c r="V510" s="22" t="s">
        <v>2270</v>
      </c>
      <c r="W510" s="22" t="s">
        <v>191</v>
      </c>
      <c r="X510" s="3"/>
      <c r="Y510" s="3" t="s">
        <v>2271</v>
      </c>
      <c r="Z510" s="3" t="s">
        <v>52</v>
      </c>
      <c r="AA510" s="3"/>
      <c r="AB510" s="3"/>
      <c r="AC510" s="3" t="str">
        <f>HYPERLINK("https://knigipp.ru/api/getInfo/image/e7ba83b2-e8b7-11ed-a233-00155d82e902")</f>
        <v>https://knigipp.ru/api/getInfo/image/e7ba83b2-e8b7-11ed-a233-00155d82e902</v>
      </c>
      <c r="AD510" s="32">
        <v>128</v>
      </c>
      <c r="AE510" s="3" t="s">
        <v>355</v>
      </c>
      <c r="AF510" s="3" t="s">
        <v>127</v>
      </c>
      <c r="AG510" s="3"/>
      <c r="AH510" s="3" t="s">
        <v>56</v>
      </c>
      <c r="AI510" s="3"/>
      <c r="AJ510" s="3"/>
      <c r="AK510" s="3" t="str">
        <f>HYPERLINK("https://knigipp.ru/api/getInfo/item/e7ba83b2-e8b7-11ed-a233-00155d82e902")</f>
        <v>https://knigipp.ru/api/getInfo/item/e7ba83b2-e8b7-11ed-a233-00155d82e902</v>
      </c>
      <c r="AL510" s="3" t="s">
        <v>2261</v>
      </c>
    </row>
    <row r="511" spans="1:38" ht="23.1" customHeight="1" outlineLevel="4" x14ac:dyDescent="0.2">
      <c r="A511" s="55" t="s">
        <v>2272</v>
      </c>
      <c r="B511" s="55"/>
      <c r="C511" s="55"/>
      <c r="D511" s="55"/>
      <c r="E511" s="55"/>
      <c r="F511" s="55"/>
    </row>
    <row r="512" spans="1:38" ht="21" customHeight="1" outlineLevel="5" x14ac:dyDescent="0.2">
      <c r="A512" s="2">
        <v>367</v>
      </c>
      <c r="B512" s="3" t="s">
        <v>2273</v>
      </c>
      <c r="C512" s="49" t="s">
        <v>2274</v>
      </c>
      <c r="D512" s="49"/>
      <c r="E512" s="49"/>
      <c r="F512" s="49"/>
      <c r="G512" s="4" t="s">
        <v>2275</v>
      </c>
      <c r="H512" s="8"/>
      <c r="I512" s="9" t="s">
        <v>2276</v>
      </c>
      <c r="J512" s="10"/>
      <c r="K512" s="11">
        <v>20</v>
      </c>
      <c r="L512" s="10"/>
      <c r="M512" s="10" t="s">
        <v>47</v>
      </c>
      <c r="N512" s="10"/>
      <c r="O512" s="2">
        <v>5</v>
      </c>
      <c r="P512" s="17">
        <f>119*(1-S3/100)</f>
        <v>119</v>
      </c>
      <c r="Q512" s="18"/>
      <c r="R512" s="10">
        <f>P512*Q512</f>
        <v>0</v>
      </c>
      <c r="S512" s="19">
        <f>0.108*Q512</f>
        <v>0</v>
      </c>
      <c r="T512" s="20">
        <f>0.00034*Q512</f>
        <v>0</v>
      </c>
      <c r="U512" s="21"/>
      <c r="V512" s="22" t="s">
        <v>2277</v>
      </c>
      <c r="W512" s="22" t="s">
        <v>191</v>
      </c>
      <c r="X512" s="3"/>
      <c r="Y512" s="3"/>
      <c r="Z512" s="3" t="s">
        <v>52</v>
      </c>
      <c r="AA512" s="3"/>
      <c r="AB512" s="3"/>
      <c r="AC512" s="3" t="str">
        <f>HYPERLINK("https://knigipp.ru/api/getInfo/image/a5cbaa53-f945-11ec-a213-ac1f6b442185")</f>
        <v>https://knigipp.ru/api/getInfo/image/a5cbaa53-f945-11ec-a213-ac1f6b442185</v>
      </c>
      <c r="AD512" s="32">
        <v>96</v>
      </c>
      <c r="AE512" s="3"/>
      <c r="AF512" s="3" t="s">
        <v>127</v>
      </c>
      <c r="AG512" s="3"/>
      <c r="AH512" s="3" t="s">
        <v>56</v>
      </c>
      <c r="AI512" s="3"/>
      <c r="AJ512" s="3"/>
      <c r="AK512" s="3" t="str">
        <f>HYPERLINK("https://knigipp.ru/api/getInfo/item/a5cbaa53-f945-11ec-a213-ac1f6b442185")</f>
        <v>https://knigipp.ru/api/getInfo/item/a5cbaa53-f945-11ec-a213-ac1f6b442185</v>
      </c>
      <c r="AL512" s="3" t="s">
        <v>2278</v>
      </c>
    </row>
    <row r="513" spans="1:38" ht="21" customHeight="1" outlineLevel="5" x14ac:dyDescent="0.2">
      <c r="A513" s="2">
        <v>368</v>
      </c>
      <c r="B513" s="3" t="s">
        <v>2279</v>
      </c>
      <c r="C513" s="49" t="s">
        <v>2280</v>
      </c>
      <c r="D513" s="49"/>
      <c r="E513" s="49"/>
      <c r="F513" s="49"/>
      <c r="G513" s="4" t="s">
        <v>2281</v>
      </c>
      <c r="H513" s="8"/>
      <c r="I513" s="9" t="s">
        <v>2276</v>
      </c>
      <c r="J513" s="10"/>
      <c r="K513" s="11">
        <v>20</v>
      </c>
      <c r="L513" s="10"/>
      <c r="M513" s="10" t="s">
        <v>78</v>
      </c>
      <c r="N513" s="10"/>
      <c r="O513" s="2">
        <v>5</v>
      </c>
      <c r="P513" s="17">
        <f>119*(1-S3/100)</f>
        <v>119</v>
      </c>
      <c r="Q513" s="18"/>
      <c r="R513" s="10">
        <f>P513*Q513</f>
        <v>0</v>
      </c>
      <c r="S513" s="19">
        <f>0.109*Q513</f>
        <v>0</v>
      </c>
      <c r="T513" s="20">
        <f>0.00021*Q513</f>
        <v>0</v>
      </c>
      <c r="U513" s="21"/>
      <c r="V513" s="22" t="s">
        <v>2282</v>
      </c>
      <c r="W513" s="22" t="s">
        <v>191</v>
      </c>
      <c r="X513" s="3"/>
      <c r="Y513" s="3"/>
      <c r="Z513" s="3" t="s">
        <v>52</v>
      </c>
      <c r="AA513" s="3"/>
      <c r="AB513" s="3"/>
      <c r="AC513" s="3" t="str">
        <f>HYPERLINK("https://knigipp.ru/api/getInfo/image/c78a880d-f944-11ec-a213-ac1f6b442185")</f>
        <v>https://knigipp.ru/api/getInfo/image/c78a880d-f944-11ec-a213-ac1f6b442185</v>
      </c>
      <c r="AD513" s="32">
        <v>96</v>
      </c>
      <c r="AE513" s="3"/>
      <c r="AF513" s="3" t="s">
        <v>127</v>
      </c>
      <c r="AG513" s="3"/>
      <c r="AH513" s="3" t="s">
        <v>56</v>
      </c>
      <c r="AI513" s="3"/>
      <c r="AJ513" s="3"/>
      <c r="AK513" s="3" t="str">
        <f>HYPERLINK("https://knigipp.ru/api/getInfo/item/c78a880d-f944-11ec-a213-ac1f6b442185")</f>
        <v>https://knigipp.ru/api/getInfo/item/c78a880d-f944-11ec-a213-ac1f6b442185</v>
      </c>
      <c r="AL513" s="3" t="s">
        <v>2278</v>
      </c>
    </row>
    <row r="514" spans="1:38" ht="21" customHeight="1" outlineLevel="5" x14ac:dyDescent="0.2">
      <c r="A514" s="2">
        <v>369</v>
      </c>
      <c r="B514" s="3" t="s">
        <v>2283</v>
      </c>
      <c r="C514" s="49" t="s">
        <v>2284</v>
      </c>
      <c r="D514" s="49"/>
      <c r="E514" s="49"/>
      <c r="F514" s="49"/>
      <c r="G514" s="4" t="s">
        <v>2285</v>
      </c>
      <c r="H514" s="8"/>
      <c r="I514" s="9" t="s">
        <v>2276</v>
      </c>
      <c r="J514" s="10"/>
      <c r="K514" s="11">
        <v>20</v>
      </c>
      <c r="L514" s="10"/>
      <c r="M514" s="10" t="s">
        <v>47</v>
      </c>
      <c r="N514" s="10"/>
      <c r="O514" s="2">
        <v>5</v>
      </c>
      <c r="P514" s="17">
        <f>119*(1-S3/100)</f>
        <v>119</v>
      </c>
      <c r="Q514" s="18"/>
      <c r="R514" s="10">
        <f>P514*Q514</f>
        <v>0</v>
      </c>
      <c r="S514" s="19">
        <f>0.103*Q514</f>
        <v>0</v>
      </c>
      <c r="T514" s="20">
        <f>0.00022*Q514</f>
        <v>0</v>
      </c>
      <c r="U514" s="21"/>
      <c r="V514" s="22" t="s">
        <v>2286</v>
      </c>
      <c r="W514" s="22" t="s">
        <v>191</v>
      </c>
      <c r="X514" s="3"/>
      <c r="Y514" s="3"/>
      <c r="Z514" s="3" t="s">
        <v>52</v>
      </c>
      <c r="AA514" s="3"/>
      <c r="AB514" s="3"/>
      <c r="AC514" s="3" t="str">
        <f>HYPERLINK("https://knigipp.ru/api/getInfo/image/37f184d5-f946-11ec-a213-ac1f6b442185")</f>
        <v>https://knigipp.ru/api/getInfo/image/37f184d5-f946-11ec-a213-ac1f6b442185</v>
      </c>
      <c r="AD514" s="32">
        <v>96</v>
      </c>
      <c r="AE514" s="3"/>
      <c r="AF514" s="3" t="s">
        <v>127</v>
      </c>
      <c r="AG514" s="3"/>
      <c r="AH514" s="3" t="s">
        <v>56</v>
      </c>
      <c r="AI514" s="3"/>
      <c r="AJ514" s="3"/>
      <c r="AK514" s="3" t="str">
        <f>HYPERLINK("https://knigipp.ru/api/getInfo/item/37f184d5-f946-11ec-a213-ac1f6b442185")</f>
        <v>https://knigipp.ru/api/getInfo/item/37f184d5-f946-11ec-a213-ac1f6b442185</v>
      </c>
      <c r="AL514" s="3" t="s">
        <v>2278</v>
      </c>
    </row>
    <row r="515" spans="1:38" ht="21" customHeight="1" outlineLevel="5" x14ac:dyDescent="0.2">
      <c r="A515" s="2">
        <v>370</v>
      </c>
      <c r="B515" s="3" t="s">
        <v>2287</v>
      </c>
      <c r="C515" s="49" t="s">
        <v>2288</v>
      </c>
      <c r="D515" s="49"/>
      <c r="E515" s="49"/>
      <c r="F515" s="49"/>
      <c r="G515" s="4" t="s">
        <v>2289</v>
      </c>
      <c r="H515" s="8"/>
      <c r="I515" s="9" t="s">
        <v>2276</v>
      </c>
      <c r="J515" s="10"/>
      <c r="K515" s="11">
        <v>20</v>
      </c>
      <c r="L515" s="10"/>
      <c r="M515" s="10" t="s">
        <v>47</v>
      </c>
      <c r="N515" s="10"/>
      <c r="O515" s="2">
        <v>5</v>
      </c>
      <c r="P515" s="17">
        <f>119*(1-S3/100)</f>
        <v>119</v>
      </c>
      <c r="Q515" s="18"/>
      <c r="R515" s="10">
        <f>P515*Q515</f>
        <v>0</v>
      </c>
      <c r="S515" s="19">
        <f>0.107*Q515</f>
        <v>0</v>
      </c>
      <c r="T515" s="20">
        <f>0.00033*Q515</f>
        <v>0</v>
      </c>
      <c r="U515" s="21"/>
      <c r="V515" s="22" t="s">
        <v>2290</v>
      </c>
      <c r="W515" s="22" t="s">
        <v>191</v>
      </c>
      <c r="X515" s="3"/>
      <c r="Y515" s="3"/>
      <c r="Z515" s="3" t="s">
        <v>52</v>
      </c>
      <c r="AA515" s="3"/>
      <c r="AB515" s="3"/>
      <c r="AC515" s="3" t="str">
        <f>HYPERLINK("https://knigipp.ru/api/getInfo/image/fe47a002-f945-11ec-a213-ac1f6b442185")</f>
        <v>https://knigipp.ru/api/getInfo/image/fe47a002-f945-11ec-a213-ac1f6b442185</v>
      </c>
      <c r="AD515" s="32">
        <v>96</v>
      </c>
      <c r="AE515" s="3"/>
      <c r="AF515" s="3" t="s">
        <v>127</v>
      </c>
      <c r="AG515" s="3"/>
      <c r="AH515" s="3" t="s">
        <v>56</v>
      </c>
      <c r="AI515" s="3"/>
      <c r="AJ515" s="3"/>
      <c r="AK515" s="3" t="str">
        <f>HYPERLINK("https://knigipp.ru/api/getInfo/item/fe47a002-f945-11ec-a213-ac1f6b442185")</f>
        <v>https://knigipp.ru/api/getInfo/item/fe47a002-f945-11ec-a213-ac1f6b442185</v>
      </c>
      <c r="AL515" s="3" t="s">
        <v>2278</v>
      </c>
    </row>
    <row r="516" spans="1:38" ht="23.1" customHeight="1" outlineLevel="4" x14ac:dyDescent="0.2">
      <c r="A516" s="55" t="s">
        <v>2291</v>
      </c>
      <c r="B516" s="55"/>
      <c r="C516" s="55"/>
      <c r="D516" s="55"/>
      <c r="E516" s="55"/>
      <c r="F516" s="55"/>
    </row>
    <row r="517" spans="1:38" ht="21" customHeight="1" outlineLevel="5" x14ac:dyDescent="0.2">
      <c r="A517" s="2">
        <v>371</v>
      </c>
      <c r="B517" s="3" t="s">
        <v>2292</v>
      </c>
      <c r="C517" s="49" t="s">
        <v>2293</v>
      </c>
      <c r="D517" s="49"/>
      <c r="E517" s="49"/>
      <c r="F517" s="49"/>
      <c r="G517" s="4" t="s">
        <v>2294</v>
      </c>
      <c r="H517" s="8"/>
      <c r="I517" s="9" t="s">
        <v>2295</v>
      </c>
      <c r="J517" s="10"/>
      <c r="K517" s="11">
        <v>20</v>
      </c>
      <c r="L517" s="10"/>
      <c r="M517" s="10" t="s">
        <v>304</v>
      </c>
      <c r="N517" s="10"/>
      <c r="O517" s="2">
        <v>8</v>
      </c>
      <c r="P517" s="17">
        <f>77.88*(1-S3/100)</f>
        <v>77.88</v>
      </c>
      <c r="Q517" s="18"/>
      <c r="R517" s="10">
        <f t="shared" ref="R517:R527" si="16">P517*Q517</f>
        <v>0</v>
      </c>
      <c r="S517" s="19">
        <f>0.113*Q517</f>
        <v>0</v>
      </c>
      <c r="T517" s="20">
        <f>0.00019*Q517</f>
        <v>0</v>
      </c>
      <c r="U517" s="21"/>
      <c r="V517" s="22" t="s">
        <v>2296</v>
      </c>
      <c r="W517" s="22" t="s">
        <v>191</v>
      </c>
      <c r="X517" s="3"/>
      <c r="Y517" s="3"/>
      <c r="Z517" s="3" t="s">
        <v>52</v>
      </c>
      <c r="AA517" s="3"/>
      <c r="AB517" s="3"/>
      <c r="AC517" s="3" t="str">
        <f>HYPERLINK("https://knigipp.ru/api/getInfo/image/1e03e73f-5348-11ec-a20f-ac1f6b442185")</f>
        <v>https://knigipp.ru/api/getInfo/image/1e03e73f-5348-11ec-a20f-ac1f6b442185</v>
      </c>
      <c r="AD517" s="32">
        <v>160</v>
      </c>
      <c r="AE517" s="3" t="s">
        <v>355</v>
      </c>
      <c r="AF517" s="3" t="s">
        <v>55</v>
      </c>
      <c r="AG517" s="32">
        <v>100</v>
      </c>
      <c r="AH517" s="3" t="s">
        <v>56</v>
      </c>
      <c r="AI517" s="3"/>
      <c r="AJ517" s="3"/>
      <c r="AK517" s="3" t="str">
        <f>HYPERLINK("https://knigipp.ru/api/getInfo/item/1e03e73f-5348-11ec-a20f-ac1f6b442185")</f>
        <v>https://knigipp.ru/api/getInfo/item/1e03e73f-5348-11ec-a20f-ac1f6b442185</v>
      </c>
      <c r="AL517" s="3" t="s">
        <v>1517</v>
      </c>
    </row>
    <row r="518" spans="1:38" ht="21" customHeight="1" outlineLevel="5" x14ac:dyDescent="0.2">
      <c r="A518" s="2">
        <v>372</v>
      </c>
      <c r="B518" s="3" t="s">
        <v>2297</v>
      </c>
      <c r="C518" s="49" t="s">
        <v>2298</v>
      </c>
      <c r="D518" s="49"/>
      <c r="E518" s="49"/>
      <c r="F518" s="49"/>
      <c r="G518" s="4" t="s">
        <v>2299</v>
      </c>
      <c r="H518" s="8"/>
      <c r="I518" s="9" t="s">
        <v>2295</v>
      </c>
      <c r="J518" s="10"/>
      <c r="K518" s="11">
        <v>20</v>
      </c>
      <c r="L518" s="10"/>
      <c r="M518" s="10" t="s">
        <v>304</v>
      </c>
      <c r="N518" s="10"/>
      <c r="O518" s="2">
        <v>8</v>
      </c>
      <c r="P518" s="17">
        <f>77.88*(1-S3/100)</f>
        <v>77.88</v>
      </c>
      <c r="Q518" s="18"/>
      <c r="R518" s="10">
        <f t="shared" si="16"/>
        <v>0</v>
      </c>
      <c r="S518" s="19">
        <f>0.113*Q518</f>
        <v>0</v>
      </c>
      <c r="T518" s="20">
        <f>0.00019*Q518</f>
        <v>0</v>
      </c>
      <c r="U518" s="21"/>
      <c r="V518" s="22" t="s">
        <v>2300</v>
      </c>
      <c r="W518" s="22" t="s">
        <v>191</v>
      </c>
      <c r="X518" s="3"/>
      <c r="Y518" s="3" t="s">
        <v>2301</v>
      </c>
      <c r="Z518" s="3" t="s">
        <v>52</v>
      </c>
      <c r="AA518" s="3"/>
      <c r="AB518" s="3"/>
      <c r="AC518" s="3" t="str">
        <f>HYPERLINK("https://knigipp.ru/api/getInfo/image/a855e4ec-037b-11ed-a213-ac1f6b442185")</f>
        <v>https://knigipp.ru/api/getInfo/image/a855e4ec-037b-11ed-a213-ac1f6b442185</v>
      </c>
      <c r="AD518" s="32">
        <v>160</v>
      </c>
      <c r="AE518" s="3" t="s">
        <v>355</v>
      </c>
      <c r="AF518" s="3" t="s">
        <v>55</v>
      </c>
      <c r="AG518" s="32">
        <v>100</v>
      </c>
      <c r="AH518" s="3" t="s">
        <v>56</v>
      </c>
      <c r="AI518" s="3"/>
      <c r="AJ518" s="3"/>
      <c r="AK518" s="3" t="str">
        <f>HYPERLINK("https://knigipp.ru/api/getInfo/item/a855e4ec-037b-11ed-a213-ac1f6b442185")</f>
        <v>https://knigipp.ru/api/getInfo/item/a855e4ec-037b-11ed-a213-ac1f6b442185</v>
      </c>
      <c r="AL518" s="3" t="s">
        <v>1517</v>
      </c>
    </row>
    <row r="519" spans="1:38" ht="21" customHeight="1" outlineLevel="5" x14ac:dyDescent="0.2">
      <c r="A519" s="2">
        <v>373</v>
      </c>
      <c r="B519" s="3" t="s">
        <v>2302</v>
      </c>
      <c r="C519" s="49" t="s">
        <v>2303</v>
      </c>
      <c r="D519" s="49"/>
      <c r="E519" s="49"/>
      <c r="F519" s="49"/>
      <c r="G519" s="4" t="s">
        <v>2304</v>
      </c>
      <c r="H519" s="8"/>
      <c r="I519" s="9" t="s">
        <v>2295</v>
      </c>
      <c r="J519" s="10"/>
      <c r="K519" s="11">
        <v>20</v>
      </c>
      <c r="L519" s="10"/>
      <c r="M519" s="10" t="s">
        <v>47</v>
      </c>
      <c r="N519" s="10"/>
      <c r="O519" s="2">
        <v>8</v>
      </c>
      <c r="P519" s="17">
        <f>77.88*(1-S3/100)</f>
        <v>77.88</v>
      </c>
      <c r="Q519" s="18"/>
      <c r="R519" s="10">
        <f t="shared" si="16"/>
        <v>0</v>
      </c>
      <c r="S519" s="19">
        <f>0.114*Q519</f>
        <v>0</v>
      </c>
      <c r="T519" s="20">
        <f>0.00015*Q519</f>
        <v>0</v>
      </c>
      <c r="U519" s="21"/>
      <c r="V519" s="22" t="s">
        <v>2305</v>
      </c>
      <c r="W519" s="22" t="s">
        <v>191</v>
      </c>
      <c r="X519" s="3"/>
      <c r="Y519" s="3" t="s">
        <v>2306</v>
      </c>
      <c r="Z519" s="3" t="s">
        <v>52</v>
      </c>
      <c r="AA519" s="3"/>
      <c r="AB519" s="3"/>
      <c r="AC519" s="3" t="str">
        <f>HYPERLINK("https://knigipp.ru/api/getInfo/image/a14c1046-5348-11ec-a20f-ac1f6b442185")</f>
        <v>https://knigipp.ru/api/getInfo/image/a14c1046-5348-11ec-a20f-ac1f6b442185</v>
      </c>
      <c r="AD519" s="32">
        <v>160</v>
      </c>
      <c r="AE519" s="3" t="s">
        <v>355</v>
      </c>
      <c r="AF519" s="3" t="s">
        <v>55</v>
      </c>
      <c r="AG519" s="32">
        <v>100</v>
      </c>
      <c r="AH519" s="3" t="s">
        <v>56</v>
      </c>
      <c r="AI519" s="3"/>
      <c r="AJ519" s="3"/>
      <c r="AK519" s="3" t="str">
        <f>HYPERLINK("https://knigipp.ru/api/getInfo/item/a14c1046-5348-11ec-a20f-ac1f6b442185")</f>
        <v>https://knigipp.ru/api/getInfo/item/a14c1046-5348-11ec-a20f-ac1f6b442185</v>
      </c>
      <c r="AL519" s="3" t="s">
        <v>1517</v>
      </c>
    </row>
    <row r="520" spans="1:38" ht="21" customHeight="1" outlineLevel="5" x14ac:dyDescent="0.2">
      <c r="A520" s="2">
        <v>374</v>
      </c>
      <c r="B520" s="3" t="s">
        <v>2307</v>
      </c>
      <c r="C520" s="49" t="s">
        <v>2308</v>
      </c>
      <c r="D520" s="49"/>
      <c r="E520" s="49"/>
      <c r="F520" s="49"/>
      <c r="G520" s="4" t="s">
        <v>2309</v>
      </c>
      <c r="H520" s="8"/>
      <c r="I520" s="9" t="s">
        <v>2295</v>
      </c>
      <c r="J520" s="10"/>
      <c r="K520" s="11">
        <v>20</v>
      </c>
      <c r="L520" s="10"/>
      <c r="M520" s="10" t="s">
        <v>304</v>
      </c>
      <c r="N520" s="10"/>
      <c r="O520" s="2">
        <v>8</v>
      </c>
      <c r="P520" s="17">
        <f>77.88*(1-S3/100)</f>
        <v>77.88</v>
      </c>
      <c r="Q520" s="18"/>
      <c r="R520" s="10">
        <f t="shared" si="16"/>
        <v>0</v>
      </c>
      <c r="S520" s="10">
        <v>0</v>
      </c>
      <c r="T520" s="10">
        <v>0</v>
      </c>
      <c r="U520" s="21"/>
      <c r="V520" s="22" t="s">
        <v>2310</v>
      </c>
      <c r="W520" s="22" t="s">
        <v>191</v>
      </c>
      <c r="X520" s="3"/>
      <c r="Y520" s="3"/>
      <c r="Z520" s="3" t="s">
        <v>52</v>
      </c>
      <c r="AA520" s="3"/>
      <c r="AB520" s="3"/>
      <c r="AC520" s="3" t="str">
        <f>HYPERLINK("https://knigipp.ru/api/getInfo/image/eda35514-9940-11ec-a211-ac1f6b442185")</f>
        <v>https://knigipp.ru/api/getInfo/image/eda35514-9940-11ec-a211-ac1f6b442185</v>
      </c>
      <c r="AD520" s="32">
        <v>160</v>
      </c>
      <c r="AE520" s="3" t="s">
        <v>355</v>
      </c>
      <c r="AF520" s="3" t="s">
        <v>55</v>
      </c>
      <c r="AG520" s="32">
        <v>100</v>
      </c>
      <c r="AH520" s="3" t="s">
        <v>56</v>
      </c>
      <c r="AI520" s="3"/>
      <c r="AJ520" s="3"/>
      <c r="AK520" s="3" t="str">
        <f>HYPERLINK("https://knigipp.ru/api/getInfo/item/eda35514-9940-11ec-a211-ac1f6b442185")</f>
        <v>https://knigipp.ru/api/getInfo/item/eda35514-9940-11ec-a211-ac1f6b442185</v>
      </c>
      <c r="AL520" s="3" t="s">
        <v>1517</v>
      </c>
    </row>
    <row r="521" spans="1:38" ht="21" customHeight="1" outlineLevel="5" x14ac:dyDescent="0.2">
      <c r="A521" s="2">
        <v>375</v>
      </c>
      <c r="B521" s="3" t="s">
        <v>2311</v>
      </c>
      <c r="C521" s="49" t="s">
        <v>2312</v>
      </c>
      <c r="D521" s="49"/>
      <c r="E521" s="49"/>
      <c r="F521" s="49"/>
      <c r="G521" s="4" t="s">
        <v>2313</v>
      </c>
      <c r="H521" s="8"/>
      <c r="I521" s="9" t="s">
        <v>2314</v>
      </c>
      <c r="J521" s="10"/>
      <c r="K521" s="11">
        <v>20</v>
      </c>
      <c r="L521" s="10"/>
      <c r="M521" s="10" t="s">
        <v>304</v>
      </c>
      <c r="N521" s="10"/>
      <c r="O521" s="2">
        <v>8</v>
      </c>
      <c r="P521" s="17">
        <f>77.88*(1-S3/100)</f>
        <v>77.88</v>
      </c>
      <c r="Q521" s="18"/>
      <c r="R521" s="10">
        <f t="shared" si="16"/>
        <v>0</v>
      </c>
      <c r="S521" s="19">
        <f t="shared" ref="S521:S526" si="17">0.113*Q521</f>
        <v>0</v>
      </c>
      <c r="T521" s="20">
        <f t="shared" ref="T521:T526" si="18">0.00019*Q521</f>
        <v>0</v>
      </c>
      <c r="U521" s="21"/>
      <c r="V521" s="22" t="s">
        <v>2315</v>
      </c>
      <c r="W521" s="22" t="s">
        <v>191</v>
      </c>
      <c r="X521" s="3"/>
      <c r="Y521" s="3"/>
      <c r="Z521" s="3" t="s">
        <v>52</v>
      </c>
      <c r="AA521" s="3"/>
      <c r="AB521" s="3"/>
      <c r="AC521" s="3" t="str">
        <f>HYPERLINK("https://knigipp.ru/api/getInfo/image/4418c46e-19a9-11ee-a23b-00155d82e902")</f>
        <v>https://knigipp.ru/api/getInfo/image/4418c46e-19a9-11ee-a23b-00155d82e902</v>
      </c>
      <c r="AD521" s="32">
        <v>160</v>
      </c>
      <c r="AE521" s="3" t="s">
        <v>355</v>
      </c>
      <c r="AF521" s="3" t="s">
        <v>55</v>
      </c>
      <c r="AG521" s="32">
        <v>100</v>
      </c>
      <c r="AH521" s="3" t="s">
        <v>56</v>
      </c>
      <c r="AI521" s="3"/>
      <c r="AJ521" s="3"/>
      <c r="AK521" s="3" t="str">
        <f>HYPERLINK("https://knigipp.ru/api/getInfo/item/4418c46e-19a9-11ee-a23b-00155d82e902")</f>
        <v>https://knigipp.ru/api/getInfo/item/4418c46e-19a9-11ee-a23b-00155d82e902</v>
      </c>
      <c r="AL521" s="3" t="s">
        <v>1517</v>
      </c>
    </row>
    <row r="522" spans="1:38" ht="21" customHeight="1" outlineLevel="5" x14ac:dyDescent="0.2">
      <c r="A522" s="2">
        <v>376</v>
      </c>
      <c r="B522" s="3" t="s">
        <v>2316</v>
      </c>
      <c r="C522" s="49" t="s">
        <v>2317</v>
      </c>
      <c r="D522" s="49"/>
      <c r="E522" s="49"/>
      <c r="F522" s="49"/>
      <c r="G522" s="4" t="s">
        <v>2318</v>
      </c>
      <c r="H522" s="8"/>
      <c r="I522" s="9" t="s">
        <v>2295</v>
      </c>
      <c r="J522" s="10"/>
      <c r="K522" s="11">
        <v>20</v>
      </c>
      <c r="L522" s="10"/>
      <c r="M522" s="10" t="s">
        <v>78</v>
      </c>
      <c r="N522" s="10"/>
      <c r="O522" s="2">
        <v>8</v>
      </c>
      <c r="P522" s="17">
        <f>77.88*(1-S3/100)</f>
        <v>77.88</v>
      </c>
      <c r="Q522" s="18"/>
      <c r="R522" s="10">
        <f t="shared" si="16"/>
        <v>0</v>
      </c>
      <c r="S522" s="19">
        <f t="shared" si="17"/>
        <v>0</v>
      </c>
      <c r="T522" s="20">
        <f t="shared" si="18"/>
        <v>0</v>
      </c>
      <c r="U522" s="21"/>
      <c r="V522" s="22" t="s">
        <v>2319</v>
      </c>
      <c r="W522" s="22" t="s">
        <v>191</v>
      </c>
      <c r="X522" s="3"/>
      <c r="Y522" s="3"/>
      <c r="Z522" s="3" t="s">
        <v>52</v>
      </c>
      <c r="AA522" s="3"/>
      <c r="AB522" s="3"/>
      <c r="AC522" s="3" t="str">
        <f>HYPERLINK("https://knigipp.ru/api/getInfo/image/7c8eef0f-11a5-11ed-a215-ac1f6b442185")</f>
        <v>https://knigipp.ru/api/getInfo/image/7c8eef0f-11a5-11ed-a215-ac1f6b442185</v>
      </c>
      <c r="AD522" s="32">
        <v>160</v>
      </c>
      <c r="AE522" s="3" t="s">
        <v>355</v>
      </c>
      <c r="AF522" s="3" t="s">
        <v>55</v>
      </c>
      <c r="AG522" s="32">
        <v>100</v>
      </c>
      <c r="AH522" s="3" t="s">
        <v>56</v>
      </c>
      <c r="AI522" s="3"/>
      <c r="AJ522" s="3"/>
      <c r="AK522" s="3" t="str">
        <f>HYPERLINK("https://knigipp.ru/api/getInfo/item/7c8eef0f-11a5-11ed-a215-ac1f6b442185")</f>
        <v>https://knigipp.ru/api/getInfo/item/7c8eef0f-11a5-11ed-a215-ac1f6b442185</v>
      </c>
      <c r="AL522" s="3" t="s">
        <v>1517</v>
      </c>
    </row>
    <row r="523" spans="1:38" ht="21" customHeight="1" outlineLevel="5" x14ac:dyDescent="0.2">
      <c r="A523" s="2">
        <v>377</v>
      </c>
      <c r="B523" s="3" t="s">
        <v>2320</v>
      </c>
      <c r="C523" s="49" t="s">
        <v>2321</v>
      </c>
      <c r="D523" s="49"/>
      <c r="E523" s="49"/>
      <c r="F523" s="49"/>
      <c r="G523" s="4" t="s">
        <v>2322</v>
      </c>
      <c r="H523" s="8"/>
      <c r="I523" s="9" t="s">
        <v>2314</v>
      </c>
      <c r="J523" s="10"/>
      <c r="K523" s="11">
        <v>20</v>
      </c>
      <c r="L523" s="10"/>
      <c r="M523" s="10" t="s">
        <v>304</v>
      </c>
      <c r="N523" s="10"/>
      <c r="O523" s="2">
        <v>8</v>
      </c>
      <c r="P523" s="17">
        <f>77.88*(1-S3/100)</f>
        <v>77.88</v>
      </c>
      <c r="Q523" s="18"/>
      <c r="R523" s="10">
        <f t="shared" si="16"/>
        <v>0</v>
      </c>
      <c r="S523" s="19">
        <f t="shared" si="17"/>
        <v>0</v>
      </c>
      <c r="T523" s="20">
        <f t="shared" si="18"/>
        <v>0</v>
      </c>
      <c r="U523" s="21"/>
      <c r="V523" s="22" t="s">
        <v>2323</v>
      </c>
      <c r="W523" s="22" t="s">
        <v>191</v>
      </c>
      <c r="X523" s="3"/>
      <c r="Y523" s="3" t="s">
        <v>2324</v>
      </c>
      <c r="Z523" s="3" t="s">
        <v>52</v>
      </c>
      <c r="AA523" s="3"/>
      <c r="AB523" s="3"/>
      <c r="AC523" s="3" t="str">
        <f>HYPERLINK("https://knigipp.ru/api/getInfo/image/e9733062-19a8-11ee-a23b-00155d82e902")</f>
        <v>https://knigipp.ru/api/getInfo/image/e9733062-19a8-11ee-a23b-00155d82e902</v>
      </c>
      <c r="AD523" s="32">
        <v>160</v>
      </c>
      <c r="AE523" s="3" t="s">
        <v>355</v>
      </c>
      <c r="AF523" s="3" t="s">
        <v>55</v>
      </c>
      <c r="AG523" s="32">
        <v>100</v>
      </c>
      <c r="AH523" s="3" t="s">
        <v>56</v>
      </c>
      <c r="AI523" s="3"/>
      <c r="AJ523" s="3"/>
      <c r="AK523" s="3" t="str">
        <f>HYPERLINK("https://knigipp.ru/api/getInfo/item/e9733062-19a8-11ee-a23b-00155d82e902")</f>
        <v>https://knigipp.ru/api/getInfo/item/e9733062-19a8-11ee-a23b-00155d82e902</v>
      </c>
      <c r="AL523" s="3" t="s">
        <v>1517</v>
      </c>
    </row>
    <row r="524" spans="1:38" ht="21" customHeight="1" outlineLevel="5" x14ac:dyDescent="0.2">
      <c r="A524" s="2">
        <v>378</v>
      </c>
      <c r="B524" s="3" t="s">
        <v>2325</v>
      </c>
      <c r="C524" s="49" t="s">
        <v>2326</v>
      </c>
      <c r="D524" s="49"/>
      <c r="E524" s="49"/>
      <c r="F524" s="49"/>
      <c r="G524" s="4" t="s">
        <v>2327</v>
      </c>
      <c r="H524" s="8"/>
      <c r="I524" s="9" t="s">
        <v>2295</v>
      </c>
      <c r="J524" s="10"/>
      <c r="K524" s="11">
        <v>20</v>
      </c>
      <c r="L524" s="10"/>
      <c r="M524" s="10" t="s">
        <v>304</v>
      </c>
      <c r="N524" s="10"/>
      <c r="O524" s="2">
        <v>8</v>
      </c>
      <c r="P524" s="17">
        <f>77.88*(1-S3/100)</f>
        <v>77.88</v>
      </c>
      <c r="Q524" s="18"/>
      <c r="R524" s="10">
        <f t="shared" si="16"/>
        <v>0</v>
      </c>
      <c r="S524" s="19">
        <f t="shared" si="17"/>
        <v>0</v>
      </c>
      <c r="T524" s="20">
        <f t="shared" si="18"/>
        <v>0</v>
      </c>
      <c r="U524" s="21"/>
      <c r="V524" s="22" t="s">
        <v>2328</v>
      </c>
      <c r="W524" s="22" t="s">
        <v>191</v>
      </c>
      <c r="X524" s="3"/>
      <c r="Y524" s="3" t="s">
        <v>2329</v>
      </c>
      <c r="Z524" s="3" t="s">
        <v>52</v>
      </c>
      <c r="AA524" s="3"/>
      <c r="AB524" s="3"/>
      <c r="AC524" s="3" t="str">
        <f>HYPERLINK("https://knigipp.ru/api/getInfo/image/7b3231b5-5348-11ec-a20f-ac1f6b442185")</f>
        <v>https://knigipp.ru/api/getInfo/image/7b3231b5-5348-11ec-a20f-ac1f6b442185</v>
      </c>
      <c r="AD524" s="32">
        <v>160</v>
      </c>
      <c r="AE524" s="3" t="s">
        <v>355</v>
      </c>
      <c r="AF524" s="3" t="s">
        <v>55</v>
      </c>
      <c r="AG524" s="32">
        <v>100</v>
      </c>
      <c r="AH524" s="3" t="s">
        <v>56</v>
      </c>
      <c r="AI524" s="3"/>
      <c r="AJ524" s="3"/>
      <c r="AK524" s="3" t="str">
        <f>HYPERLINK("https://knigipp.ru/api/getInfo/item/7b3231b5-5348-11ec-a20f-ac1f6b442185")</f>
        <v>https://knigipp.ru/api/getInfo/item/7b3231b5-5348-11ec-a20f-ac1f6b442185</v>
      </c>
      <c r="AL524" s="3" t="s">
        <v>1517</v>
      </c>
    </row>
    <row r="525" spans="1:38" ht="21" customHeight="1" outlineLevel="5" x14ac:dyDescent="0.2">
      <c r="A525" s="2">
        <v>379</v>
      </c>
      <c r="B525" s="3" t="s">
        <v>2330</v>
      </c>
      <c r="C525" s="49" t="s">
        <v>2331</v>
      </c>
      <c r="D525" s="49"/>
      <c r="E525" s="49"/>
      <c r="F525" s="49"/>
      <c r="G525" s="4" t="s">
        <v>2332</v>
      </c>
      <c r="H525" s="8"/>
      <c r="I525" s="9" t="s">
        <v>2295</v>
      </c>
      <c r="J525" s="10"/>
      <c r="K525" s="11">
        <v>20</v>
      </c>
      <c r="L525" s="10"/>
      <c r="M525" s="10" t="s">
        <v>304</v>
      </c>
      <c r="N525" s="10"/>
      <c r="O525" s="2">
        <v>8</v>
      </c>
      <c r="P525" s="17">
        <f>77.88*(1-S3/100)</f>
        <v>77.88</v>
      </c>
      <c r="Q525" s="18"/>
      <c r="R525" s="10">
        <f t="shared" si="16"/>
        <v>0</v>
      </c>
      <c r="S525" s="19">
        <f t="shared" si="17"/>
        <v>0</v>
      </c>
      <c r="T525" s="20">
        <f t="shared" si="18"/>
        <v>0</v>
      </c>
      <c r="U525" s="21"/>
      <c r="V525" s="22" t="s">
        <v>2333</v>
      </c>
      <c r="W525" s="22" t="s">
        <v>191</v>
      </c>
      <c r="X525" s="3"/>
      <c r="Y525" s="3"/>
      <c r="Z525" s="3" t="s">
        <v>52</v>
      </c>
      <c r="AA525" s="3"/>
      <c r="AB525" s="3"/>
      <c r="AC525" s="3" t="str">
        <f>HYPERLINK("https://knigipp.ru/api/getInfo/image/1db063c9-f20c-11ec-a213-ac1f6b442185")</f>
        <v>https://knigipp.ru/api/getInfo/image/1db063c9-f20c-11ec-a213-ac1f6b442185</v>
      </c>
      <c r="AD525" s="32">
        <v>160</v>
      </c>
      <c r="AE525" s="3" t="s">
        <v>355</v>
      </c>
      <c r="AF525" s="3" t="s">
        <v>55</v>
      </c>
      <c r="AG525" s="32">
        <v>100</v>
      </c>
      <c r="AH525" s="3" t="s">
        <v>56</v>
      </c>
      <c r="AI525" s="3"/>
      <c r="AJ525" s="3"/>
      <c r="AK525" s="3" t="str">
        <f>HYPERLINK("https://knigipp.ru/api/getInfo/item/1db063c9-f20c-11ec-a213-ac1f6b442185")</f>
        <v>https://knigipp.ru/api/getInfo/item/1db063c9-f20c-11ec-a213-ac1f6b442185</v>
      </c>
      <c r="AL525" s="3" t="s">
        <v>1517</v>
      </c>
    </row>
    <row r="526" spans="1:38" ht="21" customHeight="1" outlineLevel="5" x14ac:dyDescent="0.2">
      <c r="A526" s="2">
        <v>380</v>
      </c>
      <c r="B526" s="3" t="s">
        <v>2334</v>
      </c>
      <c r="C526" s="49" t="s">
        <v>2335</v>
      </c>
      <c r="D526" s="49"/>
      <c r="E526" s="49"/>
      <c r="F526" s="49"/>
      <c r="G526" s="4" t="s">
        <v>2336</v>
      </c>
      <c r="H526" s="8"/>
      <c r="I526" s="9" t="s">
        <v>2295</v>
      </c>
      <c r="J526" s="10"/>
      <c r="K526" s="11">
        <v>20</v>
      </c>
      <c r="L526" s="10"/>
      <c r="M526" s="10" t="s">
        <v>304</v>
      </c>
      <c r="N526" s="10"/>
      <c r="O526" s="2">
        <v>8</v>
      </c>
      <c r="P526" s="17">
        <f>77.88*(1-S3/100)</f>
        <v>77.88</v>
      </c>
      <c r="Q526" s="18"/>
      <c r="R526" s="10">
        <f t="shared" si="16"/>
        <v>0</v>
      </c>
      <c r="S526" s="19">
        <f t="shared" si="17"/>
        <v>0</v>
      </c>
      <c r="T526" s="20">
        <f t="shared" si="18"/>
        <v>0</v>
      </c>
      <c r="U526" s="21"/>
      <c r="V526" s="22" t="s">
        <v>2337</v>
      </c>
      <c r="W526" s="22" t="s">
        <v>191</v>
      </c>
      <c r="X526" s="3"/>
      <c r="Y526" s="3"/>
      <c r="Z526" s="3" t="s">
        <v>52</v>
      </c>
      <c r="AA526" s="3"/>
      <c r="AB526" s="3"/>
      <c r="AC526" s="3" t="str">
        <f>HYPERLINK("https://knigipp.ru/api/getInfo/image/2426966e-534b-11ec-a20f-ac1f6b442185")</f>
        <v>https://knigipp.ru/api/getInfo/image/2426966e-534b-11ec-a20f-ac1f6b442185</v>
      </c>
      <c r="AD526" s="32">
        <v>160</v>
      </c>
      <c r="AE526" s="3" t="s">
        <v>355</v>
      </c>
      <c r="AF526" s="3" t="s">
        <v>55</v>
      </c>
      <c r="AG526" s="32">
        <v>100</v>
      </c>
      <c r="AH526" s="3" t="s">
        <v>56</v>
      </c>
      <c r="AI526" s="3"/>
      <c r="AJ526" s="3"/>
      <c r="AK526" s="3" t="str">
        <f>HYPERLINK("https://knigipp.ru/api/getInfo/item/2426966e-534b-11ec-a20f-ac1f6b442185")</f>
        <v>https://knigipp.ru/api/getInfo/item/2426966e-534b-11ec-a20f-ac1f6b442185</v>
      </c>
      <c r="AL526" s="3" t="s">
        <v>1517</v>
      </c>
    </row>
    <row r="527" spans="1:38" ht="21" customHeight="1" outlineLevel="5" x14ac:dyDescent="0.2">
      <c r="A527" s="2">
        <v>381</v>
      </c>
      <c r="B527" s="3" t="s">
        <v>2338</v>
      </c>
      <c r="C527" s="49" t="s">
        <v>2339</v>
      </c>
      <c r="D527" s="49"/>
      <c r="E527" s="49"/>
      <c r="F527" s="49"/>
      <c r="G527" s="4" t="s">
        <v>2340</v>
      </c>
      <c r="H527" s="8"/>
      <c r="I527" s="9" t="s">
        <v>2295</v>
      </c>
      <c r="J527" s="10"/>
      <c r="K527" s="11">
        <v>20</v>
      </c>
      <c r="L527" s="10"/>
      <c r="M527" s="10" t="s">
        <v>47</v>
      </c>
      <c r="N527" s="10"/>
      <c r="O527" s="2">
        <v>8</v>
      </c>
      <c r="P527" s="17">
        <f>77.88*(1-S3/100)</f>
        <v>77.88</v>
      </c>
      <c r="Q527" s="18"/>
      <c r="R527" s="10">
        <f t="shared" si="16"/>
        <v>0</v>
      </c>
      <c r="S527" s="10">
        <v>0</v>
      </c>
      <c r="T527" s="10">
        <v>0</v>
      </c>
      <c r="U527" s="21"/>
      <c r="V527" s="22" t="s">
        <v>2341</v>
      </c>
      <c r="W527" s="22" t="s">
        <v>191</v>
      </c>
      <c r="X527" s="3"/>
      <c r="Y527" s="3"/>
      <c r="Z527" s="3" t="s">
        <v>52</v>
      </c>
      <c r="AA527" s="3"/>
      <c r="AB527" s="3"/>
      <c r="AC527" s="3" t="str">
        <f>HYPERLINK("https://knigipp.ru/api/getInfo/image/be75abbe-b1b7-11ec-a211-ac1f6b442185")</f>
        <v>https://knigipp.ru/api/getInfo/image/be75abbe-b1b7-11ec-a211-ac1f6b442185</v>
      </c>
      <c r="AD527" s="32">
        <v>160</v>
      </c>
      <c r="AE527" s="3" t="s">
        <v>355</v>
      </c>
      <c r="AF527" s="3" t="s">
        <v>55</v>
      </c>
      <c r="AG527" s="32">
        <v>100</v>
      </c>
      <c r="AH527" s="3" t="s">
        <v>56</v>
      </c>
      <c r="AI527" s="3"/>
      <c r="AJ527" s="3"/>
      <c r="AK527" s="3" t="str">
        <f>HYPERLINK("https://knigipp.ru/api/getInfo/item/be75abbe-b1b7-11ec-a211-ac1f6b442185")</f>
        <v>https://knigipp.ru/api/getInfo/item/be75abbe-b1b7-11ec-a211-ac1f6b442185</v>
      </c>
      <c r="AL527" s="3" t="s">
        <v>1517</v>
      </c>
    </row>
    <row r="528" spans="1:38" ht="23.1" customHeight="1" outlineLevel="4" x14ac:dyDescent="0.2">
      <c r="A528" s="55" t="s">
        <v>2342</v>
      </c>
      <c r="B528" s="55"/>
      <c r="C528" s="55"/>
      <c r="D528" s="55"/>
      <c r="E528" s="55"/>
      <c r="F528" s="55"/>
    </row>
    <row r="529" spans="1:38" ht="21" customHeight="1" outlineLevel="5" x14ac:dyDescent="0.2">
      <c r="A529" s="2">
        <v>382</v>
      </c>
      <c r="B529" s="3" t="s">
        <v>2343</v>
      </c>
      <c r="C529" s="49" t="s">
        <v>2344</v>
      </c>
      <c r="D529" s="49"/>
      <c r="E529" s="49"/>
      <c r="F529" s="49"/>
      <c r="G529" s="4" t="s">
        <v>2345</v>
      </c>
      <c r="H529" s="8"/>
      <c r="I529" s="9" t="s">
        <v>2346</v>
      </c>
      <c r="J529" s="10"/>
      <c r="K529" s="11">
        <v>20</v>
      </c>
      <c r="L529" s="10"/>
      <c r="M529" s="10" t="s">
        <v>47</v>
      </c>
      <c r="N529" s="10"/>
      <c r="O529" s="2">
        <v>5</v>
      </c>
      <c r="P529" s="17">
        <f>129*(1-S3/100)</f>
        <v>129</v>
      </c>
      <c r="Q529" s="18"/>
      <c r="R529" s="10">
        <f>P529*Q529</f>
        <v>0</v>
      </c>
      <c r="S529" s="19">
        <f>0.119*Q529</f>
        <v>0</v>
      </c>
      <c r="T529" s="20">
        <f>0.00022*Q529</f>
        <v>0</v>
      </c>
      <c r="U529" s="21"/>
      <c r="V529" s="22" t="s">
        <v>2347</v>
      </c>
      <c r="W529" s="22" t="s">
        <v>191</v>
      </c>
      <c r="X529" s="3"/>
      <c r="Y529" s="3"/>
      <c r="Z529" s="3" t="s">
        <v>52</v>
      </c>
      <c r="AA529" s="3"/>
      <c r="AB529" s="3"/>
      <c r="AC529" s="3" t="str">
        <f>HYPERLINK("https://knigipp.ru/api/getInfo/image/9f88baba-cbae-11ec-a212-ac1f6b442185")</f>
        <v>https://knigipp.ru/api/getInfo/image/9f88baba-cbae-11ec-a212-ac1f6b442185</v>
      </c>
      <c r="AD529" s="32">
        <v>96</v>
      </c>
      <c r="AE529" s="3" t="s">
        <v>355</v>
      </c>
      <c r="AF529" s="3" t="s">
        <v>127</v>
      </c>
      <c r="AG529" s="3"/>
      <c r="AH529" s="3" t="s">
        <v>56</v>
      </c>
      <c r="AI529" s="3"/>
      <c r="AJ529" s="3"/>
      <c r="AK529" s="3" t="str">
        <f>HYPERLINK("https://knigipp.ru/api/getInfo/item/9f88baba-cbae-11ec-a212-ac1f6b442185")</f>
        <v>https://knigipp.ru/api/getInfo/item/9f88baba-cbae-11ec-a212-ac1f6b442185</v>
      </c>
      <c r="AL529" s="3" t="s">
        <v>2348</v>
      </c>
    </row>
    <row r="530" spans="1:38" ht="21" customHeight="1" outlineLevel="5" x14ac:dyDescent="0.2">
      <c r="A530" s="2">
        <v>383</v>
      </c>
      <c r="B530" s="3" t="s">
        <v>2349</v>
      </c>
      <c r="C530" s="49" t="s">
        <v>2350</v>
      </c>
      <c r="D530" s="49"/>
      <c r="E530" s="49"/>
      <c r="F530" s="49"/>
      <c r="G530" s="4" t="s">
        <v>2351</v>
      </c>
      <c r="H530" s="8"/>
      <c r="I530" s="9" t="s">
        <v>2346</v>
      </c>
      <c r="J530" s="10"/>
      <c r="K530" s="11">
        <v>20</v>
      </c>
      <c r="L530" s="10"/>
      <c r="M530" s="10" t="s">
        <v>47</v>
      </c>
      <c r="N530" s="10"/>
      <c r="O530" s="2">
        <v>5</v>
      </c>
      <c r="P530" s="17">
        <f>129*(1-S3/100)</f>
        <v>129</v>
      </c>
      <c r="Q530" s="18"/>
      <c r="R530" s="10">
        <f>P530*Q530</f>
        <v>0</v>
      </c>
      <c r="S530" s="19">
        <f>0.124*Q530</f>
        <v>0</v>
      </c>
      <c r="T530" s="20">
        <f>0.00024*Q530</f>
        <v>0</v>
      </c>
      <c r="U530" s="21"/>
      <c r="V530" s="22" t="s">
        <v>2352</v>
      </c>
      <c r="W530" s="22" t="s">
        <v>191</v>
      </c>
      <c r="X530" s="3"/>
      <c r="Y530" s="3"/>
      <c r="Z530" s="3" t="s">
        <v>52</v>
      </c>
      <c r="AA530" s="3"/>
      <c r="AB530" s="3"/>
      <c r="AC530" s="3" t="str">
        <f>HYPERLINK("https://knigipp.ru/api/getInfo/image/db122118-cba6-11ec-a212-ac1f6b442185")</f>
        <v>https://knigipp.ru/api/getInfo/image/db122118-cba6-11ec-a212-ac1f6b442185</v>
      </c>
      <c r="AD530" s="32">
        <v>96</v>
      </c>
      <c r="AE530" s="3"/>
      <c r="AF530" s="3" t="s">
        <v>127</v>
      </c>
      <c r="AG530" s="3"/>
      <c r="AH530" s="3" t="s">
        <v>56</v>
      </c>
      <c r="AI530" s="3"/>
      <c r="AJ530" s="3"/>
      <c r="AK530" s="3" t="str">
        <f>HYPERLINK("https://knigipp.ru/api/getInfo/item/db122118-cba6-11ec-a212-ac1f6b442185")</f>
        <v>https://knigipp.ru/api/getInfo/item/db122118-cba6-11ec-a212-ac1f6b442185</v>
      </c>
      <c r="AL530" s="3" t="s">
        <v>2348</v>
      </c>
    </row>
    <row r="531" spans="1:38" ht="23.1" customHeight="1" outlineLevel="4" x14ac:dyDescent="0.2">
      <c r="A531" s="55" t="s">
        <v>2353</v>
      </c>
      <c r="B531" s="55"/>
      <c r="C531" s="55"/>
      <c r="D531" s="55"/>
      <c r="E531" s="55"/>
      <c r="F531" s="55"/>
    </row>
    <row r="532" spans="1:38" ht="21" customHeight="1" outlineLevel="5" x14ac:dyDescent="0.2">
      <c r="A532" s="2">
        <v>384</v>
      </c>
      <c r="B532" s="3" t="s">
        <v>2354</v>
      </c>
      <c r="C532" s="49" t="s">
        <v>2355</v>
      </c>
      <c r="D532" s="49"/>
      <c r="E532" s="49"/>
      <c r="F532" s="49"/>
      <c r="G532" s="4" t="s">
        <v>2356</v>
      </c>
      <c r="H532" s="8"/>
      <c r="I532" s="9" t="s">
        <v>2357</v>
      </c>
      <c r="J532" s="10"/>
      <c r="K532" s="11">
        <v>10</v>
      </c>
      <c r="L532" s="10"/>
      <c r="M532" s="10" t="s">
        <v>47</v>
      </c>
      <c r="N532" s="10"/>
      <c r="O532" s="2">
        <v>1</v>
      </c>
      <c r="P532" s="17">
        <f>347*(1-S3/100)</f>
        <v>347</v>
      </c>
      <c r="Q532" s="18"/>
      <c r="R532" s="10">
        <f t="shared" ref="R532:R542" si="19">P532*Q532</f>
        <v>0</v>
      </c>
      <c r="S532" s="19">
        <f>0.404*Q532</f>
        <v>0</v>
      </c>
      <c r="T532" s="20">
        <f>0.00062*Q532</f>
        <v>0</v>
      </c>
      <c r="U532" s="21"/>
      <c r="V532" s="22" t="s">
        <v>2358</v>
      </c>
      <c r="W532" s="22" t="s">
        <v>191</v>
      </c>
      <c r="X532" s="3"/>
      <c r="Y532" s="3" t="s">
        <v>2359</v>
      </c>
      <c r="Z532" s="3" t="s">
        <v>52</v>
      </c>
      <c r="AA532" s="3"/>
      <c r="AB532" s="3"/>
      <c r="AC532" s="3" t="str">
        <f>HYPERLINK("https://knigipp.ru/api/getInfo/image/07a2ba5d-037d-11ed-a213-ac1f6b442185")</f>
        <v>https://knigipp.ru/api/getInfo/image/07a2ba5d-037d-11ed-a213-ac1f6b442185</v>
      </c>
      <c r="AD532" s="32">
        <v>160</v>
      </c>
      <c r="AE532" s="3"/>
      <c r="AF532" s="3" t="s">
        <v>127</v>
      </c>
      <c r="AG532" s="3"/>
      <c r="AH532" s="3" t="s">
        <v>56</v>
      </c>
      <c r="AI532" s="3"/>
      <c r="AJ532" s="3"/>
      <c r="AK532" s="3" t="str">
        <f>HYPERLINK("https://knigipp.ru/api/getInfo/item/07a2ba5d-037d-11ed-a213-ac1f6b442185")</f>
        <v>https://knigipp.ru/api/getInfo/item/07a2ba5d-037d-11ed-a213-ac1f6b442185</v>
      </c>
      <c r="AL532" s="3" t="s">
        <v>2360</v>
      </c>
    </row>
    <row r="533" spans="1:38" ht="21" customHeight="1" outlineLevel="5" x14ac:dyDescent="0.2">
      <c r="A533" s="2">
        <v>385</v>
      </c>
      <c r="B533" s="3" t="s">
        <v>2361</v>
      </c>
      <c r="C533" s="49" t="s">
        <v>2362</v>
      </c>
      <c r="D533" s="49"/>
      <c r="E533" s="49"/>
      <c r="F533" s="49"/>
      <c r="G533" s="4" t="s">
        <v>2363</v>
      </c>
      <c r="H533" s="8"/>
      <c r="I533" s="9" t="s">
        <v>2364</v>
      </c>
      <c r="J533" s="10"/>
      <c r="K533" s="11">
        <v>10</v>
      </c>
      <c r="L533" s="10"/>
      <c r="M533" s="10" t="s">
        <v>47</v>
      </c>
      <c r="N533" s="10"/>
      <c r="O533" s="2">
        <v>1</v>
      </c>
      <c r="P533" s="17">
        <f>347*(1-S3/100)</f>
        <v>347</v>
      </c>
      <c r="Q533" s="18"/>
      <c r="R533" s="10">
        <f t="shared" si="19"/>
        <v>0</v>
      </c>
      <c r="S533" s="28">
        <f>0.37*Q533</f>
        <v>0</v>
      </c>
      <c r="T533" s="20">
        <f>0.00171*Q533</f>
        <v>0</v>
      </c>
      <c r="U533" s="21"/>
      <c r="V533" s="22" t="s">
        <v>2365</v>
      </c>
      <c r="W533" s="22" t="s">
        <v>191</v>
      </c>
      <c r="X533" s="3"/>
      <c r="Y533" s="3" t="s">
        <v>2366</v>
      </c>
      <c r="Z533" s="3" t="s">
        <v>52</v>
      </c>
      <c r="AA533" s="3"/>
      <c r="AB533" s="3"/>
      <c r="AC533" s="3" t="str">
        <f>HYPERLINK("https://knigipp.ru/api/getInfo/image/ed661811-46a7-11eb-a25e-ac1f6b442184")</f>
        <v>https://knigipp.ru/api/getInfo/image/ed661811-46a7-11eb-a25e-ac1f6b442184</v>
      </c>
      <c r="AD533" s="32">
        <v>160</v>
      </c>
      <c r="AE533" s="3"/>
      <c r="AF533" s="3" t="s">
        <v>127</v>
      </c>
      <c r="AG533" s="3"/>
      <c r="AH533" s="3" t="s">
        <v>56</v>
      </c>
      <c r="AI533" s="3"/>
      <c r="AJ533" s="3"/>
      <c r="AK533" s="3" t="str">
        <f>HYPERLINK("https://knigipp.ru/api/getInfo/item/ed661811-46a7-11eb-a25e-ac1f6b442184")</f>
        <v>https://knigipp.ru/api/getInfo/item/ed661811-46a7-11eb-a25e-ac1f6b442184</v>
      </c>
      <c r="AL533" s="3" t="s">
        <v>2360</v>
      </c>
    </row>
    <row r="534" spans="1:38" ht="21" customHeight="1" outlineLevel="5" x14ac:dyDescent="0.2">
      <c r="A534" s="2">
        <v>386</v>
      </c>
      <c r="B534" s="3" t="s">
        <v>2367</v>
      </c>
      <c r="C534" s="49" t="s">
        <v>2368</v>
      </c>
      <c r="D534" s="49"/>
      <c r="E534" s="49"/>
      <c r="F534" s="49"/>
      <c r="G534" s="4" t="s">
        <v>2369</v>
      </c>
      <c r="H534" s="8"/>
      <c r="I534" s="9" t="s">
        <v>2370</v>
      </c>
      <c r="J534" s="10"/>
      <c r="K534" s="11">
        <v>10</v>
      </c>
      <c r="L534" s="10"/>
      <c r="M534" s="10" t="s">
        <v>47</v>
      </c>
      <c r="N534" s="10"/>
      <c r="O534" s="2">
        <v>1</v>
      </c>
      <c r="P534" s="17">
        <f>347*(1-S3/100)</f>
        <v>347</v>
      </c>
      <c r="Q534" s="18"/>
      <c r="R534" s="10">
        <f t="shared" si="19"/>
        <v>0</v>
      </c>
      <c r="S534" s="19">
        <f>0.411*Q534</f>
        <v>0</v>
      </c>
      <c r="T534" s="20">
        <f>0.00067*Q534</f>
        <v>0</v>
      </c>
      <c r="U534" s="21"/>
      <c r="V534" s="22" t="s">
        <v>2371</v>
      </c>
      <c r="W534" s="22" t="s">
        <v>191</v>
      </c>
      <c r="X534" s="3"/>
      <c r="Y534" s="3" t="s">
        <v>2366</v>
      </c>
      <c r="Z534" s="3" t="s">
        <v>52</v>
      </c>
      <c r="AA534" s="3"/>
      <c r="AB534" s="3"/>
      <c r="AC534" s="3" t="str">
        <f>HYPERLINK("https://knigipp.ru/api/getInfo/image/6c67dd96-6973-11ed-a22a-00155d82e902")</f>
        <v>https://knigipp.ru/api/getInfo/image/6c67dd96-6973-11ed-a22a-00155d82e902</v>
      </c>
      <c r="AD534" s="32">
        <v>160</v>
      </c>
      <c r="AE534" s="3" t="s">
        <v>2372</v>
      </c>
      <c r="AF534" s="3" t="s">
        <v>127</v>
      </c>
      <c r="AG534" s="3"/>
      <c r="AH534" s="3" t="s">
        <v>56</v>
      </c>
      <c r="AI534" s="3"/>
      <c r="AJ534" s="3"/>
      <c r="AK534" s="3" t="str">
        <f>HYPERLINK("https://knigipp.ru/api/getInfo/item/6c67dd96-6973-11ed-a22a-00155d82e902")</f>
        <v>https://knigipp.ru/api/getInfo/item/6c67dd96-6973-11ed-a22a-00155d82e902</v>
      </c>
      <c r="AL534" s="3" t="s">
        <v>2360</v>
      </c>
    </row>
    <row r="535" spans="1:38" ht="21" customHeight="1" outlineLevel="5" x14ac:dyDescent="0.2">
      <c r="A535" s="2">
        <v>387</v>
      </c>
      <c r="B535" s="3" t="s">
        <v>2373</v>
      </c>
      <c r="C535" s="49" t="s">
        <v>2374</v>
      </c>
      <c r="D535" s="49"/>
      <c r="E535" s="49"/>
      <c r="F535" s="49"/>
      <c r="G535" s="4" t="s">
        <v>2375</v>
      </c>
      <c r="H535" s="8"/>
      <c r="I535" s="9" t="s">
        <v>2364</v>
      </c>
      <c r="J535" s="10"/>
      <c r="K535" s="11">
        <v>10</v>
      </c>
      <c r="L535" s="10"/>
      <c r="M535" s="10" t="s">
        <v>47</v>
      </c>
      <c r="N535" s="10"/>
      <c r="O535" s="2">
        <v>1</v>
      </c>
      <c r="P535" s="17">
        <f>347*(1-S3/100)</f>
        <v>347</v>
      </c>
      <c r="Q535" s="18"/>
      <c r="R535" s="10">
        <f t="shared" si="19"/>
        <v>0</v>
      </c>
      <c r="S535" s="19">
        <f>0.405*Q535</f>
        <v>0</v>
      </c>
      <c r="T535" s="20">
        <f>0.00062*Q535</f>
        <v>0</v>
      </c>
      <c r="U535" s="21"/>
      <c r="V535" s="22" t="s">
        <v>2376</v>
      </c>
      <c r="W535" s="22" t="s">
        <v>191</v>
      </c>
      <c r="X535" s="3"/>
      <c r="Y535" s="3" t="s">
        <v>2366</v>
      </c>
      <c r="Z535" s="3" t="s">
        <v>52</v>
      </c>
      <c r="AA535" s="3"/>
      <c r="AB535" s="3"/>
      <c r="AC535" s="3" t="str">
        <f>HYPERLINK("https://knigipp.ru/api/getInfo/image/beee16fc-46a8-11eb-a25e-ac1f6b442184")</f>
        <v>https://knigipp.ru/api/getInfo/image/beee16fc-46a8-11eb-a25e-ac1f6b442184</v>
      </c>
      <c r="AD535" s="32">
        <v>160</v>
      </c>
      <c r="AE535" s="3"/>
      <c r="AF535" s="3" t="s">
        <v>127</v>
      </c>
      <c r="AG535" s="3"/>
      <c r="AH535" s="3" t="s">
        <v>56</v>
      </c>
      <c r="AI535" s="3"/>
      <c r="AJ535" s="3"/>
      <c r="AK535" s="3" t="str">
        <f>HYPERLINK("https://knigipp.ru/api/getInfo/item/beee16fc-46a8-11eb-a25e-ac1f6b442184")</f>
        <v>https://knigipp.ru/api/getInfo/item/beee16fc-46a8-11eb-a25e-ac1f6b442184</v>
      </c>
      <c r="AL535" s="3" t="s">
        <v>2360</v>
      </c>
    </row>
    <row r="536" spans="1:38" ht="21" customHeight="1" outlineLevel="5" x14ac:dyDescent="0.2">
      <c r="A536" s="2">
        <v>388</v>
      </c>
      <c r="B536" s="3" t="s">
        <v>2377</v>
      </c>
      <c r="C536" s="49" t="s">
        <v>2378</v>
      </c>
      <c r="D536" s="49"/>
      <c r="E536" s="49"/>
      <c r="F536" s="49"/>
      <c r="G536" s="4" t="s">
        <v>2379</v>
      </c>
      <c r="H536" s="8"/>
      <c r="I536" s="9" t="s">
        <v>2380</v>
      </c>
      <c r="J536" s="10"/>
      <c r="K536" s="11">
        <v>10</v>
      </c>
      <c r="L536" s="10"/>
      <c r="M536" s="10" t="s">
        <v>47</v>
      </c>
      <c r="N536" s="10"/>
      <c r="O536" s="2">
        <v>1</v>
      </c>
      <c r="P536" s="17">
        <f>347*(1-S3/100)</f>
        <v>347</v>
      </c>
      <c r="Q536" s="18"/>
      <c r="R536" s="10">
        <f t="shared" si="19"/>
        <v>0</v>
      </c>
      <c r="S536" s="19">
        <f>0.404*Q536</f>
        <v>0</v>
      </c>
      <c r="T536" s="20">
        <f>0.00063*Q536</f>
        <v>0</v>
      </c>
      <c r="U536" s="21"/>
      <c r="V536" s="22" t="s">
        <v>2381</v>
      </c>
      <c r="W536" s="22" t="s">
        <v>191</v>
      </c>
      <c r="X536" s="3"/>
      <c r="Y536" s="3" t="s">
        <v>2382</v>
      </c>
      <c r="Z536" s="3" t="s">
        <v>52</v>
      </c>
      <c r="AA536" s="3" t="s">
        <v>1698</v>
      </c>
      <c r="AB536" s="3"/>
      <c r="AC536" s="3" t="str">
        <f>HYPERLINK("https://knigipp.ru/api/getInfo/image/ed1b9c84-c1c0-11ee-a25a-00155d82e908")</f>
        <v>https://knigipp.ru/api/getInfo/image/ed1b9c84-c1c0-11ee-a25a-00155d82e908</v>
      </c>
      <c r="AD536" s="32">
        <v>160</v>
      </c>
      <c r="AE536" s="3" t="s">
        <v>2372</v>
      </c>
      <c r="AF536" s="3" t="s">
        <v>127</v>
      </c>
      <c r="AG536" s="3"/>
      <c r="AH536" s="3" t="s">
        <v>56</v>
      </c>
      <c r="AI536" s="3"/>
      <c r="AJ536" s="3"/>
      <c r="AK536" s="3" t="str">
        <f>HYPERLINK("https://knigipp.ru/api/getInfo/item/ed1b9c84-c1c0-11ee-a25a-00155d82e908")</f>
        <v>https://knigipp.ru/api/getInfo/item/ed1b9c84-c1c0-11ee-a25a-00155d82e908</v>
      </c>
      <c r="AL536" s="3" t="s">
        <v>2360</v>
      </c>
    </row>
    <row r="537" spans="1:38" ht="21" customHeight="1" outlineLevel="5" x14ac:dyDescent="0.2">
      <c r="A537" s="2">
        <v>389</v>
      </c>
      <c r="B537" s="3" t="s">
        <v>2383</v>
      </c>
      <c r="C537" s="49" t="s">
        <v>2384</v>
      </c>
      <c r="D537" s="49"/>
      <c r="E537" s="49"/>
      <c r="F537" s="49"/>
      <c r="G537" s="4" t="s">
        <v>2385</v>
      </c>
      <c r="H537" s="8"/>
      <c r="I537" s="9" t="s">
        <v>2370</v>
      </c>
      <c r="J537" s="10"/>
      <c r="K537" s="11">
        <v>10</v>
      </c>
      <c r="L537" s="10"/>
      <c r="M537" s="10" t="s">
        <v>47</v>
      </c>
      <c r="N537" s="10"/>
      <c r="O537" s="2">
        <v>1</v>
      </c>
      <c r="P537" s="17">
        <f>347*(1-S3/100)</f>
        <v>347</v>
      </c>
      <c r="Q537" s="18"/>
      <c r="R537" s="10">
        <f t="shared" si="19"/>
        <v>0</v>
      </c>
      <c r="S537" s="19">
        <f>0.404*Q537</f>
        <v>0</v>
      </c>
      <c r="T537" s="20">
        <f>0.00063*Q537</f>
        <v>0</v>
      </c>
      <c r="U537" s="21"/>
      <c r="V537" s="22" t="s">
        <v>2386</v>
      </c>
      <c r="W537" s="22" t="s">
        <v>191</v>
      </c>
      <c r="X537" s="3"/>
      <c r="Y537" s="3" t="s">
        <v>2382</v>
      </c>
      <c r="Z537" s="3" t="s">
        <v>52</v>
      </c>
      <c r="AA537" s="3"/>
      <c r="AB537" s="3"/>
      <c r="AC537" s="3" t="str">
        <f>HYPERLINK("https://knigipp.ru/api/getInfo/image/e09e1a38-6973-11ed-a22a-00155d82e902")</f>
        <v>https://knigipp.ru/api/getInfo/image/e09e1a38-6973-11ed-a22a-00155d82e902</v>
      </c>
      <c r="AD537" s="32">
        <v>160</v>
      </c>
      <c r="AE537" s="3" t="s">
        <v>2372</v>
      </c>
      <c r="AF537" s="3" t="s">
        <v>127</v>
      </c>
      <c r="AG537" s="3"/>
      <c r="AH537" s="3" t="s">
        <v>56</v>
      </c>
      <c r="AI537" s="3"/>
      <c r="AJ537" s="3"/>
      <c r="AK537" s="3" t="str">
        <f>HYPERLINK("https://knigipp.ru/api/getInfo/item/e09e1a38-6973-11ed-a22a-00155d82e902")</f>
        <v>https://knigipp.ru/api/getInfo/item/e09e1a38-6973-11ed-a22a-00155d82e902</v>
      </c>
      <c r="AL537" s="3" t="s">
        <v>2360</v>
      </c>
    </row>
    <row r="538" spans="1:38" ht="21" customHeight="1" outlineLevel="5" x14ac:dyDescent="0.2">
      <c r="A538" s="2">
        <v>390</v>
      </c>
      <c r="B538" s="3" t="s">
        <v>2387</v>
      </c>
      <c r="C538" s="49" t="s">
        <v>2388</v>
      </c>
      <c r="D538" s="49"/>
      <c r="E538" s="49"/>
      <c r="F538" s="49"/>
      <c r="G538" s="4" t="s">
        <v>2389</v>
      </c>
      <c r="H538" s="8"/>
      <c r="I538" s="9" t="s">
        <v>2390</v>
      </c>
      <c r="J538" s="10"/>
      <c r="K538" s="11">
        <v>10</v>
      </c>
      <c r="L538" s="10"/>
      <c r="M538" s="10" t="s">
        <v>47</v>
      </c>
      <c r="N538" s="10"/>
      <c r="O538" s="2">
        <v>1</v>
      </c>
      <c r="P538" s="17">
        <f>347*(1-S3/100)</f>
        <v>347</v>
      </c>
      <c r="Q538" s="18"/>
      <c r="R538" s="10">
        <f t="shared" si="19"/>
        <v>0</v>
      </c>
      <c r="S538" s="19">
        <f>0.404*Q538</f>
        <v>0</v>
      </c>
      <c r="T538" s="20">
        <f>0.00063*Q538</f>
        <v>0</v>
      </c>
      <c r="U538" s="21"/>
      <c r="V538" s="22" t="s">
        <v>2391</v>
      </c>
      <c r="W538" s="22" t="s">
        <v>191</v>
      </c>
      <c r="X538" s="3"/>
      <c r="Y538" s="3" t="s">
        <v>2359</v>
      </c>
      <c r="Z538" s="3" t="s">
        <v>52</v>
      </c>
      <c r="AA538" s="3" t="s">
        <v>2392</v>
      </c>
      <c r="AB538" s="3"/>
      <c r="AC538" s="3" t="str">
        <f>HYPERLINK("https://knigipp.ru/api/getInfo/image/0a9eacf1-19a8-11ee-a23b-00155d82e902")</f>
        <v>https://knigipp.ru/api/getInfo/image/0a9eacf1-19a8-11ee-a23b-00155d82e902</v>
      </c>
      <c r="AD538" s="32">
        <v>160</v>
      </c>
      <c r="AE538" s="3" t="s">
        <v>355</v>
      </c>
      <c r="AF538" s="3" t="s">
        <v>127</v>
      </c>
      <c r="AG538" s="3"/>
      <c r="AH538" s="3" t="s">
        <v>56</v>
      </c>
      <c r="AI538" s="3"/>
      <c r="AJ538" s="3"/>
      <c r="AK538" s="3" t="str">
        <f>HYPERLINK("https://knigipp.ru/api/getInfo/item/0a9eacf1-19a8-11ee-a23b-00155d82e902")</f>
        <v>https://knigipp.ru/api/getInfo/item/0a9eacf1-19a8-11ee-a23b-00155d82e902</v>
      </c>
      <c r="AL538" s="3" t="s">
        <v>2360</v>
      </c>
    </row>
    <row r="539" spans="1:38" ht="21" customHeight="1" outlineLevel="5" x14ac:dyDescent="0.2">
      <c r="A539" s="2">
        <v>391</v>
      </c>
      <c r="B539" s="3" t="s">
        <v>2393</v>
      </c>
      <c r="C539" s="49" t="s">
        <v>2394</v>
      </c>
      <c r="D539" s="49"/>
      <c r="E539" s="49"/>
      <c r="F539" s="49"/>
      <c r="G539" s="4" t="s">
        <v>2395</v>
      </c>
      <c r="H539" s="8"/>
      <c r="I539" s="9" t="s">
        <v>2370</v>
      </c>
      <c r="J539" s="10"/>
      <c r="K539" s="11">
        <v>10</v>
      </c>
      <c r="L539" s="10"/>
      <c r="M539" s="10" t="s">
        <v>47</v>
      </c>
      <c r="N539" s="10"/>
      <c r="O539" s="2">
        <v>1</v>
      </c>
      <c r="P539" s="17">
        <f>347*(1-S3/100)</f>
        <v>347</v>
      </c>
      <c r="Q539" s="18"/>
      <c r="R539" s="10">
        <f t="shared" si="19"/>
        <v>0</v>
      </c>
      <c r="S539" s="19">
        <f>0.405*Q539</f>
        <v>0</v>
      </c>
      <c r="T539" s="20">
        <f>0.00067*Q539</f>
        <v>0</v>
      </c>
      <c r="U539" s="21"/>
      <c r="V539" s="22" t="s">
        <v>2396</v>
      </c>
      <c r="W539" s="22" t="s">
        <v>191</v>
      </c>
      <c r="X539" s="3"/>
      <c r="Y539" s="3" t="s">
        <v>2397</v>
      </c>
      <c r="Z539" s="3" t="s">
        <v>52</v>
      </c>
      <c r="AA539" s="3"/>
      <c r="AB539" s="3"/>
      <c r="AC539" s="3" t="str">
        <f>HYPERLINK("https://knigipp.ru/api/getInfo/image/b189efa8-6973-11ed-a22a-00155d82e902")</f>
        <v>https://knigipp.ru/api/getInfo/image/b189efa8-6973-11ed-a22a-00155d82e902</v>
      </c>
      <c r="AD539" s="32">
        <v>160</v>
      </c>
      <c r="AE539" s="3" t="s">
        <v>2372</v>
      </c>
      <c r="AF539" s="3" t="s">
        <v>127</v>
      </c>
      <c r="AG539" s="3"/>
      <c r="AH539" s="3" t="s">
        <v>56</v>
      </c>
      <c r="AI539" s="3"/>
      <c r="AJ539" s="3"/>
      <c r="AK539" s="3" t="str">
        <f>HYPERLINK("https://knigipp.ru/api/getInfo/item/b189efa8-6973-11ed-a22a-00155d82e902")</f>
        <v>https://knigipp.ru/api/getInfo/item/b189efa8-6973-11ed-a22a-00155d82e902</v>
      </c>
      <c r="AL539" s="3" t="s">
        <v>2360</v>
      </c>
    </row>
    <row r="540" spans="1:38" ht="21" customHeight="1" outlineLevel="5" x14ac:dyDescent="0.2">
      <c r="A540" s="2">
        <v>392</v>
      </c>
      <c r="B540" s="3" t="s">
        <v>2398</v>
      </c>
      <c r="C540" s="49" t="s">
        <v>2399</v>
      </c>
      <c r="D540" s="49"/>
      <c r="E540" s="49"/>
      <c r="F540" s="49"/>
      <c r="G540" s="4" t="s">
        <v>2400</v>
      </c>
      <c r="H540" s="8"/>
      <c r="I540" s="9" t="s">
        <v>2390</v>
      </c>
      <c r="J540" s="10"/>
      <c r="K540" s="11">
        <v>10</v>
      </c>
      <c r="L540" s="10"/>
      <c r="M540" s="10" t="s">
        <v>47</v>
      </c>
      <c r="N540" s="10"/>
      <c r="O540" s="2">
        <v>1</v>
      </c>
      <c r="P540" s="17">
        <f>347*(1-S3/100)</f>
        <v>347</v>
      </c>
      <c r="Q540" s="18"/>
      <c r="R540" s="10">
        <f t="shared" si="19"/>
        <v>0</v>
      </c>
      <c r="S540" s="19">
        <f>0.416*Q540</f>
        <v>0</v>
      </c>
      <c r="T540" s="20">
        <f>0.00067*Q540</f>
        <v>0</v>
      </c>
      <c r="U540" s="21"/>
      <c r="V540" s="22" t="s">
        <v>2401</v>
      </c>
      <c r="W540" s="22" t="s">
        <v>191</v>
      </c>
      <c r="X540" s="3"/>
      <c r="Y540" s="3" t="s">
        <v>2359</v>
      </c>
      <c r="Z540" s="3" t="s">
        <v>52</v>
      </c>
      <c r="AA540" s="3" t="s">
        <v>2392</v>
      </c>
      <c r="AB540" s="3"/>
      <c r="AC540" s="3" t="str">
        <f>HYPERLINK("https://knigipp.ru/api/getInfo/image/30ef5059-19a8-11ee-a23b-00155d82e902")</f>
        <v>https://knigipp.ru/api/getInfo/image/30ef5059-19a8-11ee-a23b-00155d82e902</v>
      </c>
      <c r="AD540" s="32">
        <v>160</v>
      </c>
      <c r="AE540" s="3" t="s">
        <v>355</v>
      </c>
      <c r="AF540" s="3" t="s">
        <v>127</v>
      </c>
      <c r="AG540" s="3"/>
      <c r="AH540" s="3" t="s">
        <v>56</v>
      </c>
      <c r="AI540" s="3"/>
      <c r="AJ540" s="3"/>
      <c r="AK540" s="3" t="str">
        <f>HYPERLINK("https://knigipp.ru/api/getInfo/item/30ef5059-19a8-11ee-a23b-00155d82e902")</f>
        <v>https://knigipp.ru/api/getInfo/item/30ef5059-19a8-11ee-a23b-00155d82e902</v>
      </c>
      <c r="AL540" s="3" t="s">
        <v>2360</v>
      </c>
    </row>
    <row r="541" spans="1:38" ht="21" customHeight="1" outlineLevel="5" x14ac:dyDescent="0.2">
      <c r="A541" s="2">
        <v>393</v>
      </c>
      <c r="B541" s="3" t="s">
        <v>2402</v>
      </c>
      <c r="C541" s="49" t="s">
        <v>2403</v>
      </c>
      <c r="D541" s="49"/>
      <c r="E541" s="49"/>
      <c r="F541" s="49"/>
      <c r="G541" s="4" t="s">
        <v>2404</v>
      </c>
      <c r="H541" s="8"/>
      <c r="I541" s="9" t="s">
        <v>2364</v>
      </c>
      <c r="J541" s="10"/>
      <c r="K541" s="11">
        <v>10</v>
      </c>
      <c r="L541" s="10"/>
      <c r="M541" s="10" t="s">
        <v>47</v>
      </c>
      <c r="N541" s="10"/>
      <c r="O541" s="2">
        <v>1</v>
      </c>
      <c r="P541" s="17">
        <f>347*(1-S3/100)</f>
        <v>347</v>
      </c>
      <c r="Q541" s="18"/>
      <c r="R541" s="10">
        <f t="shared" si="19"/>
        <v>0</v>
      </c>
      <c r="S541" s="19">
        <f>0.404*Q541</f>
        <v>0</v>
      </c>
      <c r="T541" s="20">
        <f>0.00067*Q541</f>
        <v>0</v>
      </c>
      <c r="U541" s="21"/>
      <c r="V541" s="22" t="s">
        <v>2405</v>
      </c>
      <c r="W541" s="22" t="s">
        <v>191</v>
      </c>
      <c r="X541" s="3"/>
      <c r="Y541" s="3" t="s">
        <v>2397</v>
      </c>
      <c r="Z541" s="3" t="s">
        <v>52</v>
      </c>
      <c r="AA541" s="3"/>
      <c r="AB541" s="3"/>
      <c r="AC541" s="3" t="str">
        <f>HYPERLINK("https://knigipp.ru/api/getInfo/image/977ead69-46a7-11eb-a25e-ac1f6b442184")</f>
        <v>https://knigipp.ru/api/getInfo/image/977ead69-46a7-11eb-a25e-ac1f6b442184</v>
      </c>
      <c r="AD541" s="32">
        <v>160</v>
      </c>
      <c r="AE541" s="3"/>
      <c r="AF541" s="3" t="s">
        <v>127</v>
      </c>
      <c r="AG541" s="3"/>
      <c r="AH541" s="3" t="s">
        <v>56</v>
      </c>
      <c r="AI541" s="3"/>
      <c r="AJ541" s="3"/>
      <c r="AK541" s="3" t="str">
        <f>HYPERLINK("https://knigipp.ru/api/getInfo/item/977ead69-46a7-11eb-a25e-ac1f6b442184")</f>
        <v>https://knigipp.ru/api/getInfo/item/977ead69-46a7-11eb-a25e-ac1f6b442184</v>
      </c>
      <c r="AL541" s="3" t="s">
        <v>2360</v>
      </c>
    </row>
    <row r="542" spans="1:38" ht="21" customHeight="1" outlineLevel="5" x14ac:dyDescent="0.2">
      <c r="A542" s="2">
        <v>394</v>
      </c>
      <c r="B542" s="3" t="s">
        <v>2406</v>
      </c>
      <c r="C542" s="49" t="s">
        <v>2407</v>
      </c>
      <c r="D542" s="49"/>
      <c r="E542" s="49"/>
      <c r="F542" s="49"/>
      <c r="G542" s="4" t="s">
        <v>2408</v>
      </c>
      <c r="H542" s="8"/>
      <c r="I542" s="9" t="s">
        <v>2409</v>
      </c>
      <c r="J542" s="10"/>
      <c r="K542" s="11">
        <v>10</v>
      </c>
      <c r="L542" s="10"/>
      <c r="M542" s="10" t="s">
        <v>47</v>
      </c>
      <c r="N542" s="10"/>
      <c r="O542" s="2">
        <v>1</v>
      </c>
      <c r="P542" s="17">
        <f>347*(1-S3/100)</f>
        <v>347</v>
      </c>
      <c r="Q542" s="18"/>
      <c r="R542" s="10">
        <f t="shared" si="19"/>
        <v>0</v>
      </c>
      <c r="S542" s="19">
        <f>0.412*Q542</f>
        <v>0</v>
      </c>
      <c r="T542" s="20">
        <f>0.00059*Q542</f>
        <v>0</v>
      </c>
      <c r="U542" s="21"/>
      <c r="V542" s="22" t="s">
        <v>2410</v>
      </c>
      <c r="W542" s="22" t="s">
        <v>191</v>
      </c>
      <c r="X542" s="3"/>
      <c r="Y542" s="3" t="s">
        <v>2382</v>
      </c>
      <c r="Z542" s="3" t="s">
        <v>52</v>
      </c>
      <c r="AA542" s="3"/>
      <c r="AB542" s="3"/>
      <c r="AC542" s="3" t="str">
        <f>HYPERLINK("https://knigipp.ru/api/getInfo/image/a8f2fa32-9281-11ed-a22c-00155d82e902")</f>
        <v>https://knigipp.ru/api/getInfo/image/a8f2fa32-9281-11ed-a22c-00155d82e902</v>
      </c>
      <c r="AD542" s="32">
        <v>160</v>
      </c>
      <c r="AE542" s="3"/>
      <c r="AF542" s="3" t="s">
        <v>127</v>
      </c>
      <c r="AG542" s="3"/>
      <c r="AH542" s="3" t="s">
        <v>56</v>
      </c>
      <c r="AI542" s="3"/>
      <c r="AJ542" s="3"/>
      <c r="AK542" s="3" t="str">
        <f>HYPERLINK("https://knigipp.ru/api/getInfo/item/a8f2fa32-9281-11ed-a22c-00155d82e902")</f>
        <v>https://knigipp.ru/api/getInfo/item/a8f2fa32-9281-11ed-a22c-00155d82e902</v>
      </c>
      <c r="AL542" s="3" t="s">
        <v>2360</v>
      </c>
    </row>
    <row r="543" spans="1:38" ht="23.1" customHeight="1" outlineLevel="4" x14ac:dyDescent="0.2">
      <c r="A543" s="55" t="s">
        <v>2411</v>
      </c>
      <c r="B543" s="55"/>
      <c r="C543" s="55"/>
      <c r="D543" s="55"/>
      <c r="E543" s="55"/>
      <c r="F543" s="55"/>
    </row>
    <row r="544" spans="1:38" ht="21" customHeight="1" outlineLevel="5" x14ac:dyDescent="0.2">
      <c r="A544" s="2">
        <v>395</v>
      </c>
      <c r="B544" s="3" t="s">
        <v>2412</v>
      </c>
      <c r="C544" s="49" t="s">
        <v>2413</v>
      </c>
      <c r="D544" s="49"/>
      <c r="E544" s="49"/>
      <c r="F544" s="49"/>
      <c r="G544" s="4" t="s">
        <v>2414</v>
      </c>
      <c r="H544" s="8"/>
      <c r="I544" s="9" t="s">
        <v>2415</v>
      </c>
      <c r="J544" s="10"/>
      <c r="K544" s="11">
        <v>10</v>
      </c>
      <c r="L544" s="10"/>
      <c r="M544" s="10" t="s">
        <v>47</v>
      </c>
      <c r="N544" s="10"/>
      <c r="O544" s="2">
        <v>3</v>
      </c>
      <c r="P544" s="17">
        <f>367*(1-S3/100)</f>
        <v>367</v>
      </c>
      <c r="Q544" s="18"/>
      <c r="R544" s="10">
        <f t="shared" ref="R544:R552" si="20">P544*Q544</f>
        <v>0</v>
      </c>
      <c r="S544" s="19">
        <f>0.278*Q544</f>
        <v>0</v>
      </c>
      <c r="T544" s="20">
        <f>0.00046*Q544</f>
        <v>0</v>
      </c>
      <c r="U544" s="21"/>
      <c r="V544" s="22" t="s">
        <v>2416</v>
      </c>
      <c r="W544" s="22" t="s">
        <v>191</v>
      </c>
      <c r="X544" s="3"/>
      <c r="Y544" s="3" t="s">
        <v>2417</v>
      </c>
      <c r="Z544" s="3" t="s">
        <v>52</v>
      </c>
      <c r="AA544" s="3"/>
      <c r="AB544" s="3"/>
      <c r="AC544" s="3" t="str">
        <f>HYPERLINK("https://knigipp.ru/api/getInfo/image/2eff64a4-0ec1-11f0-a279-00155d82e908")</f>
        <v>https://knigipp.ru/api/getInfo/image/2eff64a4-0ec1-11f0-a279-00155d82e908</v>
      </c>
      <c r="AD544" s="32">
        <v>96</v>
      </c>
      <c r="AE544" s="3" t="s">
        <v>1958</v>
      </c>
      <c r="AF544" s="3" t="s">
        <v>127</v>
      </c>
      <c r="AG544" s="3"/>
      <c r="AH544" s="3" t="s">
        <v>56</v>
      </c>
      <c r="AI544" s="3"/>
      <c r="AJ544" s="3"/>
      <c r="AK544" s="3" t="str">
        <f>HYPERLINK("https://knigipp.ru/api/getInfo/item/2eff64a4-0ec1-11f0-a279-00155d82e908")</f>
        <v>https://knigipp.ru/api/getInfo/item/2eff64a4-0ec1-11f0-a279-00155d82e908</v>
      </c>
      <c r="AL544" s="3" t="s">
        <v>2418</v>
      </c>
    </row>
    <row r="545" spans="1:38" ht="21" customHeight="1" outlineLevel="5" x14ac:dyDescent="0.2">
      <c r="A545" s="2">
        <v>396</v>
      </c>
      <c r="B545" s="3" t="s">
        <v>2419</v>
      </c>
      <c r="C545" s="49" t="s">
        <v>2420</v>
      </c>
      <c r="D545" s="49"/>
      <c r="E545" s="49"/>
      <c r="F545" s="49"/>
      <c r="G545" s="4" t="s">
        <v>2421</v>
      </c>
      <c r="H545" s="8"/>
      <c r="I545" s="9" t="s">
        <v>2415</v>
      </c>
      <c r="J545" s="10"/>
      <c r="K545" s="11">
        <v>10</v>
      </c>
      <c r="L545" s="10"/>
      <c r="M545" s="10" t="s">
        <v>47</v>
      </c>
      <c r="N545" s="10"/>
      <c r="O545" s="2">
        <v>3</v>
      </c>
      <c r="P545" s="17">
        <f>367*(1-S3/100)</f>
        <v>367</v>
      </c>
      <c r="Q545" s="18"/>
      <c r="R545" s="10">
        <f t="shared" si="20"/>
        <v>0</v>
      </c>
      <c r="S545" s="19">
        <f>0.273*Q545</f>
        <v>0</v>
      </c>
      <c r="T545" s="20">
        <f>0.00043*Q545</f>
        <v>0</v>
      </c>
      <c r="U545" s="21"/>
      <c r="V545" s="22" t="s">
        <v>2422</v>
      </c>
      <c r="W545" s="22" t="s">
        <v>191</v>
      </c>
      <c r="X545" s="3"/>
      <c r="Y545" s="3" t="s">
        <v>2423</v>
      </c>
      <c r="Z545" s="3" t="s">
        <v>52</v>
      </c>
      <c r="AA545" s="3"/>
      <c r="AB545" s="3"/>
      <c r="AC545" s="3" t="str">
        <f>HYPERLINK("https://knigipp.ru/api/getInfo/image/bd3d9ed5-0ec0-11f0-a279-00155d82e908")</f>
        <v>https://knigipp.ru/api/getInfo/image/bd3d9ed5-0ec0-11f0-a279-00155d82e908</v>
      </c>
      <c r="AD545" s="32">
        <v>96</v>
      </c>
      <c r="AE545" s="3" t="s">
        <v>1958</v>
      </c>
      <c r="AF545" s="3" t="s">
        <v>127</v>
      </c>
      <c r="AG545" s="3"/>
      <c r="AH545" s="3" t="s">
        <v>56</v>
      </c>
      <c r="AI545" s="3"/>
      <c r="AJ545" s="3"/>
      <c r="AK545" s="3" t="str">
        <f>HYPERLINK("https://knigipp.ru/api/getInfo/item/bd3d9ed5-0ec0-11f0-a279-00155d82e908")</f>
        <v>https://knigipp.ru/api/getInfo/item/bd3d9ed5-0ec0-11f0-a279-00155d82e908</v>
      </c>
      <c r="AL545" s="3" t="s">
        <v>2418</v>
      </c>
    </row>
    <row r="546" spans="1:38" ht="21" customHeight="1" outlineLevel="5" x14ac:dyDescent="0.2">
      <c r="A546" s="2">
        <v>397</v>
      </c>
      <c r="B546" s="3" t="s">
        <v>2424</v>
      </c>
      <c r="C546" s="49" t="s">
        <v>2425</v>
      </c>
      <c r="D546" s="49"/>
      <c r="E546" s="49"/>
      <c r="F546" s="49"/>
      <c r="G546" s="4" t="s">
        <v>2426</v>
      </c>
      <c r="H546" s="8"/>
      <c r="I546" s="9" t="s">
        <v>2415</v>
      </c>
      <c r="J546" s="10"/>
      <c r="K546" s="11">
        <v>10</v>
      </c>
      <c r="L546" s="10"/>
      <c r="M546" s="10" t="s">
        <v>47</v>
      </c>
      <c r="N546" s="10"/>
      <c r="O546" s="2">
        <v>3</v>
      </c>
      <c r="P546" s="17">
        <f>367*(1-S3/100)</f>
        <v>367</v>
      </c>
      <c r="Q546" s="18"/>
      <c r="R546" s="10">
        <f t="shared" si="20"/>
        <v>0</v>
      </c>
      <c r="S546" s="28">
        <f>0.28*Q546</f>
        <v>0</v>
      </c>
      <c r="T546" s="20">
        <f>0.00069*Q546</f>
        <v>0</v>
      </c>
      <c r="U546" s="21"/>
      <c r="V546" s="22" t="s">
        <v>2427</v>
      </c>
      <c r="W546" s="22" t="s">
        <v>191</v>
      </c>
      <c r="X546" s="3"/>
      <c r="Y546" s="3" t="s">
        <v>2428</v>
      </c>
      <c r="Z546" s="3" t="s">
        <v>52</v>
      </c>
      <c r="AA546" s="3" t="s">
        <v>2429</v>
      </c>
      <c r="AB546" s="3"/>
      <c r="AC546" s="3" t="str">
        <f>HYPERLINK("https://knigipp.ru/api/getInfo/image/3738c82f-877f-11ee-a248-00155d82e902")</f>
        <v>https://knigipp.ru/api/getInfo/image/3738c82f-877f-11ee-a248-00155d82e902</v>
      </c>
      <c r="AD546" s="32">
        <v>96</v>
      </c>
      <c r="AE546" s="3" t="s">
        <v>1958</v>
      </c>
      <c r="AF546" s="3" t="s">
        <v>127</v>
      </c>
      <c r="AG546" s="3"/>
      <c r="AH546" s="3" t="s">
        <v>56</v>
      </c>
      <c r="AI546" s="3"/>
      <c r="AJ546" s="3"/>
      <c r="AK546" s="3" t="str">
        <f>HYPERLINK("https://knigipp.ru/api/getInfo/item/3738c82f-877f-11ee-a248-00155d82e902")</f>
        <v>https://knigipp.ru/api/getInfo/item/3738c82f-877f-11ee-a248-00155d82e902</v>
      </c>
      <c r="AL546" s="3" t="s">
        <v>2418</v>
      </c>
    </row>
    <row r="547" spans="1:38" ht="21" customHeight="1" outlineLevel="5" x14ac:dyDescent="0.2">
      <c r="A547" s="2">
        <v>398</v>
      </c>
      <c r="B547" s="3" t="s">
        <v>2430</v>
      </c>
      <c r="C547" s="49" t="s">
        <v>2431</v>
      </c>
      <c r="D547" s="49"/>
      <c r="E547" s="49"/>
      <c r="F547" s="49"/>
      <c r="G547" s="4" t="s">
        <v>2432</v>
      </c>
      <c r="H547" s="8"/>
      <c r="I547" s="9" t="s">
        <v>2415</v>
      </c>
      <c r="J547" s="10"/>
      <c r="K547" s="11">
        <v>10</v>
      </c>
      <c r="L547" s="10"/>
      <c r="M547" s="10" t="s">
        <v>47</v>
      </c>
      <c r="N547" s="10"/>
      <c r="O547" s="2">
        <v>3</v>
      </c>
      <c r="P547" s="17">
        <f>367*(1-S3/100)</f>
        <v>367</v>
      </c>
      <c r="Q547" s="18"/>
      <c r="R547" s="10">
        <f t="shared" si="20"/>
        <v>0</v>
      </c>
      <c r="S547" s="19">
        <f>0.276*Q547</f>
        <v>0</v>
      </c>
      <c r="T547" s="20">
        <f>0.00058*Q547</f>
        <v>0</v>
      </c>
      <c r="U547" s="21"/>
      <c r="V547" s="22" t="s">
        <v>2433</v>
      </c>
      <c r="W547" s="22" t="s">
        <v>191</v>
      </c>
      <c r="X547" s="3"/>
      <c r="Y547" s="3" t="s">
        <v>2434</v>
      </c>
      <c r="Z547" s="3" t="s">
        <v>52</v>
      </c>
      <c r="AA547" s="3" t="s">
        <v>2435</v>
      </c>
      <c r="AB547" s="3"/>
      <c r="AC547" s="3" t="str">
        <f>HYPERLINK("https://knigipp.ru/api/getInfo/image/2e1af093-7fee-11ef-a265-00155d82e908")</f>
        <v>https://knigipp.ru/api/getInfo/image/2e1af093-7fee-11ef-a265-00155d82e908</v>
      </c>
      <c r="AD547" s="32">
        <v>96</v>
      </c>
      <c r="AE547" s="3" t="s">
        <v>1958</v>
      </c>
      <c r="AF547" s="3" t="s">
        <v>127</v>
      </c>
      <c r="AG547" s="3"/>
      <c r="AH547" s="3" t="s">
        <v>56</v>
      </c>
      <c r="AI547" s="3"/>
      <c r="AJ547" s="3"/>
      <c r="AK547" s="3" t="str">
        <f>HYPERLINK("https://knigipp.ru/api/getInfo/item/2e1af093-7fee-11ef-a265-00155d82e908")</f>
        <v>https://knigipp.ru/api/getInfo/item/2e1af093-7fee-11ef-a265-00155d82e908</v>
      </c>
      <c r="AL547" s="3" t="s">
        <v>2418</v>
      </c>
    </row>
    <row r="548" spans="1:38" ht="21" customHeight="1" outlineLevel="5" x14ac:dyDescent="0.2">
      <c r="A548" s="2">
        <v>399</v>
      </c>
      <c r="B548" s="3" t="s">
        <v>2436</v>
      </c>
      <c r="C548" s="49" t="s">
        <v>2437</v>
      </c>
      <c r="D548" s="49"/>
      <c r="E548" s="49"/>
      <c r="F548" s="49"/>
      <c r="G548" s="4" t="s">
        <v>2438</v>
      </c>
      <c r="H548" s="8"/>
      <c r="I548" s="9" t="s">
        <v>2415</v>
      </c>
      <c r="J548" s="10"/>
      <c r="K548" s="11">
        <v>10</v>
      </c>
      <c r="L548" s="10"/>
      <c r="M548" s="10" t="s">
        <v>47</v>
      </c>
      <c r="N548" s="10"/>
      <c r="O548" s="2">
        <v>3</v>
      </c>
      <c r="P548" s="17">
        <f>367*(1-S3/100)</f>
        <v>367</v>
      </c>
      <c r="Q548" s="18"/>
      <c r="R548" s="10">
        <f t="shared" si="20"/>
        <v>0</v>
      </c>
      <c r="S548" s="28">
        <f>0.28*Q548</f>
        <v>0</v>
      </c>
      <c r="T548" s="20">
        <f>0.00054*Q548</f>
        <v>0</v>
      </c>
      <c r="U548" s="21"/>
      <c r="V548" s="22" t="s">
        <v>2439</v>
      </c>
      <c r="W548" s="22" t="s">
        <v>191</v>
      </c>
      <c r="X548" s="3"/>
      <c r="Y548" s="3" t="s">
        <v>2440</v>
      </c>
      <c r="Z548" s="3" t="s">
        <v>52</v>
      </c>
      <c r="AA548" s="3" t="s">
        <v>2441</v>
      </c>
      <c r="AB548" s="3"/>
      <c r="AC548" s="3" t="str">
        <f>HYPERLINK("https://knigipp.ru/api/getInfo/image/06eb236a-7fee-11ef-a265-00155d82e908")</f>
        <v>https://knigipp.ru/api/getInfo/image/06eb236a-7fee-11ef-a265-00155d82e908</v>
      </c>
      <c r="AD548" s="32">
        <v>96</v>
      </c>
      <c r="AE548" s="3" t="s">
        <v>1958</v>
      </c>
      <c r="AF548" s="3" t="s">
        <v>127</v>
      </c>
      <c r="AG548" s="3"/>
      <c r="AH548" s="3" t="s">
        <v>56</v>
      </c>
      <c r="AI548" s="3"/>
      <c r="AJ548" s="3"/>
      <c r="AK548" s="3" t="str">
        <f>HYPERLINK("https://knigipp.ru/api/getInfo/item/06eb236a-7fee-11ef-a265-00155d82e908")</f>
        <v>https://knigipp.ru/api/getInfo/item/06eb236a-7fee-11ef-a265-00155d82e908</v>
      </c>
      <c r="AL548" s="3" t="s">
        <v>2418</v>
      </c>
    </row>
    <row r="549" spans="1:38" ht="21" customHeight="1" outlineLevel="5" x14ac:dyDescent="0.2">
      <c r="A549" s="2">
        <v>400</v>
      </c>
      <c r="B549" s="3" t="s">
        <v>2442</v>
      </c>
      <c r="C549" s="49" t="s">
        <v>2443</v>
      </c>
      <c r="D549" s="49"/>
      <c r="E549" s="49"/>
      <c r="F549" s="49"/>
      <c r="G549" s="4" t="s">
        <v>2444</v>
      </c>
      <c r="H549" s="8"/>
      <c r="I549" s="9" t="s">
        <v>2415</v>
      </c>
      <c r="J549" s="10"/>
      <c r="K549" s="11">
        <v>10</v>
      </c>
      <c r="L549" s="10"/>
      <c r="M549" s="10" t="s">
        <v>47</v>
      </c>
      <c r="N549" s="10"/>
      <c r="O549" s="2">
        <v>3</v>
      </c>
      <c r="P549" s="17">
        <f>367*(1-S3/100)</f>
        <v>367</v>
      </c>
      <c r="Q549" s="18"/>
      <c r="R549" s="10">
        <f t="shared" si="20"/>
        <v>0</v>
      </c>
      <c r="S549" s="19">
        <f>0.276*Q549</f>
        <v>0</v>
      </c>
      <c r="T549" s="20">
        <f>0.00044*Q549</f>
        <v>0</v>
      </c>
      <c r="U549" s="21"/>
      <c r="V549" s="22" t="s">
        <v>2445</v>
      </c>
      <c r="W549" s="22" t="s">
        <v>191</v>
      </c>
      <c r="X549" s="3"/>
      <c r="Y549" s="3" t="s">
        <v>2428</v>
      </c>
      <c r="Z549" s="3" t="s">
        <v>52</v>
      </c>
      <c r="AA549" s="3" t="s">
        <v>2446</v>
      </c>
      <c r="AB549" s="3"/>
      <c r="AC549" s="3" t="str">
        <f>HYPERLINK("https://knigipp.ru/api/getInfo/image/a26c6793-877e-11ee-a248-00155d82e902")</f>
        <v>https://knigipp.ru/api/getInfo/image/a26c6793-877e-11ee-a248-00155d82e902</v>
      </c>
      <c r="AD549" s="32">
        <v>96</v>
      </c>
      <c r="AE549" s="3" t="s">
        <v>1958</v>
      </c>
      <c r="AF549" s="3" t="s">
        <v>127</v>
      </c>
      <c r="AG549" s="3"/>
      <c r="AH549" s="3" t="s">
        <v>56</v>
      </c>
      <c r="AI549" s="3"/>
      <c r="AJ549" s="3"/>
      <c r="AK549" s="3" t="str">
        <f>HYPERLINK("https://knigipp.ru/api/getInfo/item/a26c6793-877e-11ee-a248-00155d82e902")</f>
        <v>https://knigipp.ru/api/getInfo/item/a26c6793-877e-11ee-a248-00155d82e902</v>
      </c>
      <c r="AL549" s="3" t="s">
        <v>2418</v>
      </c>
    </row>
    <row r="550" spans="1:38" ht="21" customHeight="1" outlineLevel="5" x14ac:dyDescent="0.2">
      <c r="A550" s="2">
        <v>401</v>
      </c>
      <c r="B550" s="3" t="s">
        <v>2447</v>
      </c>
      <c r="C550" s="49" t="s">
        <v>2448</v>
      </c>
      <c r="D550" s="49"/>
      <c r="E550" s="49"/>
      <c r="F550" s="49"/>
      <c r="G550" s="4" t="s">
        <v>2449</v>
      </c>
      <c r="H550" s="8"/>
      <c r="I550" s="9" t="s">
        <v>2415</v>
      </c>
      <c r="J550" s="10"/>
      <c r="K550" s="11">
        <v>10</v>
      </c>
      <c r="L550" s="10"/>
      <c r="M550" s="10" t="s">
        <v>47</v>
      </c>
      <c r="N550" s="10"/>
      <c r="O550" s="2">
        <v>3</v>
      </c>
      <c r="P550" s="17">
        <f>367*(1-S3/100)</f>
        <v>367</v>
      </c>
      <c r="Q550" s="18"/>
      <c r="R550" s="10">
        <f t="shared" si="20"/>
        <v>0</v>
      </c>
      <c r="S550" s="28">
        <f>0.28*Q550</f>
        <v>0</v>
      </c>
      <c r="T550" s="20">
        <f>0.00069*Q550</f>
        <v>0</v>
      </c>
      <c r="U550" s="21"/>
      <c r="V550" s="22" t="s">
        <v>2450</v>
      </c>
      <c r="W550" s="22" t="s">
        <v>191</v>
      </c>
      <c r="X550" s="3"/>
      <c r="Y550" s="3" t="s">
        <v>2451</v>
      </c>
      <c r="Z550" s="3" t="s">
        <v>52</v>
      </c>
      <c r="AA550" s="3"/>
      <c r="AB550" s="3"/>
      <c r="AC550" s="3" t="str">
        <f>HYPERLINK("https://knigipp.ru/api/getInfo/image/271d0eb0-0e40-11f0-a279-00155d82e908")</f>
        <v>https://knigipp.ru/api/getInfo/image/271d0eb0-0e40-11f0-a279-00155d82e908</v>
      </c>
      <c r="AD550" s="32">
        <v>96</v>
      </c>
      <c r="AE550" s="3" t="s">
        <v>1958</v>
      </c>
      <c r="AF550" s="3" t="s">
        <v>127</v>
      </c>
      <c r="AG550" s="3"/>
      <c r="AH550" s="3" t="s">
        <v>56</v>
      </c>
      <c r="AI550" s="3"/>
      <c r="AJ550" s="3"/>
      <c r="AK550" s="3" t="str">
        <f>HYPERLINK("https://knigipp.ru/api/getInfo/item/271d0eb0-0e40-11f0-a279-00155d82e908")</f>
        <v>https://knigipp.ru/api/getInfo/item/271d0eb0-0e40-11f0-a279-00155d82e908</v>
      </c>
      <c r="AL550" s="3" t="s">
        <v>2418</v>
      </c>
    </row>
    <row r="551" spans="1:38" ht="21" customHeight="1" outlineLevel="5" x14ac:dyDescent="0.2">
      <c r="A551" s="5">
        <v>402</v>
      </c>
      <c r="B551" s="6" t="s">
        <v>2452</v>
      </c>
      <c r="C551" s="54" t="s">
        <v>2453</v>
      </c>
      <c r="D551" s="54"/>
      <c r="E551" s="54"/>
      <c r="F551" s="54"/>
      <c r="G551" s="7" t="s">
        <v>2454</v>
      </c>
      <c r="H551" s="12"/>
      <c r="I551" s="13" t="s">
        <v>2415</v>
      </c>
      <c r="J551" s="14"/>
      <c r="K551" s="15">
        <v>10</v>
      </c>
      <c r="L551" s="14"/>
      <c r="M551" s="14" t="s">
        <v>47</v>
      </c>
      <c r="N551" s="14"/>
      <c r="O551" s="5">
        <v>3</v>
      </c>
      <c r="P551" s="23">
        <f>367*(1-S3/100)</f>
        <v>367</v>
      </c>
      <c r="Q551" s="18"/>
      <c r="R551" s="14">
        <f t="shared" si="20"/>
        <v>0</v>
      </c>
      <c r="S551" s="24">
        <f>0.282*Q551</f>
        <v>0</v>
      </c>
      <c r="T551" s="25">
        <f>0.00042*Q551</f>
        <v>0</v>
      </c>
      <c r="U551" s="26" t="s">
        <v>62</v>
      </c>
      <c r="V551" s="27" t="s">
        <v>2455</v>
      </c>
      <c r="W551" s="27" t="s">
        <v>191</v>
      </c>
      <c r="X551" s="6"/>
      <c r="Y551" s="6"/>
      <c r="Z551" s="6" t="s">
        <v>52</v>
      </c>
      <c r="AA551" s="6"/>
      <c r="AB551" s="6"/>
      <c r="AC551" s="6" t="str">
        <f>HYPERLINK("https://knigipp.ru/api/getInfo/image/afe23b24-479c-11f1-a294-00155d82e908")</f>
        <v>https://knigipp.ru/api/getInfo/image/afe23b24-479c-11f1-a294-00155d82e908</v>
      </c>
      <c r="AD551" s="33">
        <v>96</v>
      </c>
      <c r="AE551" s="6" t="s">
        <v>1958</v>
      </c>
      <c r="AF551" s="6" t="s">
        <v>127</v>
      </c>
      <c r="AG551" s="6"/>
      <c r="AH551" s="6" t="s">
        <v>56</v>
      </c>
      <c r="AI551" s="6"/>
      <c r="AJ551" s="6"/>
      <c r="AK551" s="6" t="str">
        <f>HYPERLINK("https://knigipp.ru/api/getInfo/item/afe23b24-479c-11f1-a294-00155d82e908")</f>
        <v>https://knigipp.ru/api/getInfo/item/afe23b24-479c-11f1-a294-00155d82e908</v>
      </c>
      <c r="AL551" s="6" t="s">
        <v>2418</v>
      </c>
    </row>
    <row r="552" spans="1:38" ht="21" customHeight="1" outlineLevel="5" x14ac:dyDescent="0.2">
      <c r="A552" s="5">
        <v>403</v>
      </c>
      <c r="B552" s="6" t="s">
        <v>2456</v>
      </c>
      <c r="C552" s="54" t="s">
        <v>2457</v>
      </c>
      <c r="D552" s="54"/>
      <c r="E552" s="54"/>
      <c r="F552" s="54"/>
      <c r="G552" s="7" t="s">
        <v>2458</v>
      </c>
      <c r="H552" s="12"/>
      <c r="I552" s="13" t="s">
        <v>2415</v>
      </c>
      <c r="J552" s="14"/>
      <c r="K552" s="15">
        <v>10</v>
      </c>
      <c r="L552" s="14"/>
      <c r="M552" s="14" t="s">
        <v>47</v>
      </c>
      <c r="N552" s="14"/>
      <c r="O552" s="5">
        <v>3</v>
      </c>
      <c r="P552" s="23">
        <f>367*(1-S3/100)</f>
        <v>367</v>
      </c>
      <c r="Q552" s="18"/>
      <c r="R552" s="14">
        <f t="shared" si="20"/>
        <v>0</v>
      </c>
      <c r="S552" s="24">
        <f>0.286*Q552</f>
        <v>0</v>
      </c>
      <c r="T552" s="25">
        <f>0.00037*Q552</f>
        <v>0</v>
      </c>
      <c r="U552" s="26" t="s">
        <v>62</v>
      </c>
      <c r="V552" s="27" t="s">
        <v>2459</v>
      </c>
      <c r="W552" s="27" t="s">
        <v>191</v>
      </c>
      <c r="X552" s="6"/>
      <c r="Y552" s="6"/>
      <c r="Z552" s="6" t="s">
        <v>52</v>
      </c>
      <c r="AA552" s="6"/>
      <c r="AB552" s="6"/>
      <c r="AC552" s="6" t="str">
        <f>HYPERLINK("https://knigipp.ru/api/getInfo/image/901e9e1c-479c-11f1-a294-00155d82e908")</f>
        <v>https://knigipp.ru/api/getInfo/image/901e9e1c-479c-11f1-a294-00155d82e908</v>
      </c>
      <c r="AD552" s="33">
        <v>96</v>
      </c>
      <c r="AE552" s="6" t="s">
        <v>1958</v>
      </c>
      <c r="AF552" s="6" t="s">
        <v>127</v>
      </c>
      <c r="AG552" s="6"/>
      <c r="AH552" s="6" t="s">
        <v>56</v>
      </c>
      <c r="AI552" s="6"/>
      <c r="AJ552" s="6"/>
      <c r="AK552" s="6" t="str">
        <f>HYPERLINK("https://knigipp.ru/api/getInfo/item/901e9e1c-479c-11f1-a294-00155d82e908")</f>
        <v>https://knigipp.ru/api/getInfo/item/901e9e1c-479c-11f1-a294-00155d82e908</v>
      </c>
      <c r="AL552" s="6" t="s">
        <v>2418</v>
      </c>
    </row>
    <row r="553" spans="1:38" ht="23.1" customHeight="1" outlineLevel="4" x14ac:dyDescent="0.2">
      <c r="A553" s="55" t="s">
        <v>2460</v>
      </c>
      <c r="B553" s="55"/>
      <c r="C553" s="55"/>
      <c r="D553" s="55"/>
      <c r="E553" s="55"/>
      <c r="F553" s="55"/>
    </row>
    <row r="554" spans="1:38" ht="21" customHeight="1" outlineLevel="5" x14ac:dyDescent="0.2">
      <c r="A554" s="2">
        <v>404</v>
      </c>
      <c r="B554" s="3" t="s">
        <v>2461</v>
      </c>
      <c r="C554" s="49" t="s">
        <v>2462</v>
      </c>
      <c r="D554" s="49"/>
      <c r="E554" s="49"/>
      <c r="F554" s="49"/>
      <c r="G554" s="4" t="s">
        <v>2463</v>
      </c>
      <c r="H554" s="8"/>
      <c r="I554" s="9" t="s">
        <v>2464</v>
      </c>
      <c r="J554" s="10"/>
      <c r="K554" s="11">
        <v>10</v>
      </c>
      <c r="L554" s="10"/>
      <c r="M554" s="10" t="s">
        <v>47</v>
      </c>
      <c r="N554" s="10"/>
      <c r="O554" s="2">
        <v>3</v>
      </c>
      <c r="P554" s="17">
        <f>219*(1-S3/100)</f>
        <v>219</v>
      </c>
      <c r="Q554" s="18"/>
      <c r="R554" s="10">
        <f t="shared" ref="R554:R564" si="21">P554*Q554</f>
        <v>0</v>
      </c>
      <c r="S554" s="19">
        <f t="shared" ref="S554:S559" si="22">0.284*Q554</f>
        <v>0</v>
      </c>
      <c r="T554" s="20">
        <f t="shared" ref="T554:T559" si="23">0.00048*Q554</f>
        <v>0</v>
      </c>
      <c r="U554" s="21"/>
      <c r="V554" s="22" t="s">
        <v>2465</v>
      </c>
      <c r="W554" s="22" t="s">
        <v>191</v>
      </c>
      <c r="X554" s="3"/>
      <c r="Y554" s="3"/>
      <c r="Z554" s="3" t="s">
        <v>52</v>
      </c>
      <c r="AA554" s="3"/>
      <c r="AB554" s="3"/>
      <c r="AC554" s="3" t="str">
        <f>HYPERLINK("https://knigipp.ru/api/getInfo/image/1b95528c-900e-11ee-a250-00155d82e908")</f>
        <v>https://knigipp.ru/api/getInfo/image/1b95528c-900e-11ee-a250-00155d82e908</v>
      </c>
      <c r="AD554" s="32">
        <v>128</v>
      </c>
      <c r="AE554" s="3" t="s">
        <v>355</v>
      </c>
      <c r="AF554" s="3" t="s">
        <v>127</v>
      </c>
      <c r="AG554" s="32">
        <v>120</v>
      </c>
      <c r="AH554" s="3" t="s">
        <v>56</v>
      </c>
      <c r="AI554" s="3"/>
      <c r="AJ554" s="3"/>
      <c r="AK554" s="3" t="str">
        <f>HYPERLINK("https://knigipp.ru/api/getInfo/item/1b95528c-900e-11ee-a250-00155d82e908")</f>
        <v>https://knigipp.ru/api/getInfo/item/1b95528c-900e-11ee-a250-00155d82e908</v>
      </c>
      <c r="AL554" s="3" t="s">
        <v>784</v>
      </c>
    </row>
    <row r="555" spans="1:38" ht="21" customHeight="1" outlineLevel="5" x14ac:dyDescent="0.2">
      <c r="A555" s="2">
        <v>405</v>
      </c>
      <c r="B555" s="3" t="s">
        <v>2466</v>
      </c>
      <c r="C555" s="49" t="s">
        <v>2467</v>
      </c>
      <c r="D555" s="49"/>
      <c r="E555" s="49"/>
      <c r="F555" s="49"/>
      <c r="G555" s="4" t="s">
        <v>2468</v>
      </c>
      <c r="H555" s="8"/>
      <c r="I555" s="9" t="s">
        <v>2464</v>
      </c>
      <c r="J555" s="10"/>
      <c r="K555" s="11">
        <v>10</v>
      </c>
      <c r="L555" s="10"/>
      <c r="M555" s="10" t="s">
        <v>78</v>
      </c>
      <c r="N555" s="10"/>
      <c r="O555" s="2">
        <v>3</v>
      </c>
      <c r="P555" s="17">
        <f>219*(1-S3/100)</f>
        <v>219</v>
      </c>
      <c r="Q555" s="18"/>
      <c r="R555" s="10">
        <f t="shared" si="21"/>
        <v>0</v>
      </c>
      <c r="S555" s="19">
        <f t="shared" si="22"/>
        <v>0</v>
      </c>
      <c r="T555" s="20">
        <f t="shared" si="23"/>
        <v>0</v>
      </c>
      <c r="U555" s="21"/>
      <c r="V555" s="22" t="s">
        <v>2469</v>
      </c>
      <c r="W555" s="22" t="s">
        <v>191</v>
      </c>
      <c r="X555" s="3"/>
      <c r="Y555" s="3" t="s">
        <v>2470</v>
      </c>
      <c r="Z555" s="3" t="s">
        <v>52</v>
      </c>
      <c r="AA555" s="3"/>
      <c r="AB555" s="3"/>
      <c r="AC555" s="3" t="str">
        <f>HYPERLINK("https://knigipp.ru/api/getInfo/image/5894b594-6e75-11ee-a247-00155d82e902")</f>
        <v>https://knigipp.ru/api/getInfo/image/5894b594-6e75-11ee-a247-00155d82e902</v>
      </c>
      <c r="AD555" s="32">
        <v>128</v>
      </c>
      <c r="AE555" s="3" t="s">
        <v>355</v>
      </c>
      <c r="AF555" s="3" t="s">
        <v>127</v>
      </c>
      <c r="AG555" s="32">
        <v>120</v>
      </c>
      <c r="AH555" s="3" t="s">
        <v>56</v>
      </c>
      <c r="AI555" s="3"/>
      <c r="AJ555" s="3"/>
      <c r="AK555" s="3" t="str">
        <f>HYPERLINK("https://knigipp.ru/api/getInfo/item/5894b594-6e75-11ee-a247-00155d82e902")</f>
        <v>https://knigipp.ru/api/getInfo/item/5894b594-6e75-11ee-a247-00155d82e902</v>
      </c>
      <c r="AL555" s="3" t="s">
        <v>784</v>
      </c>
    </row>
    <row r="556" spans="1:38" ht="21" customHeight="1" outlineLevel="5" x14ac:dyDescent="0.2">
      <c r="A556" s="2">
        <v>406</v>
      </c>
      <c r="B556" s="3" t="s">
        <v>2471</v>
      </c>
      <c r="C556" s="49" t="s">
        <v>2472</v>
      </c>
      <c r="D556" s="49"/>
      <c r="E556" s="49"/>
      <c r="F556" s="49"/>
      <c r="G556" s="4" t="s">
        <v>2473</v>
      </c>
      <c r="H556" s="8"/>
      <c r="I556" s="9" t="s">
        <v>2464</v>
      </c>
      <c r="J556" s="10"/>
      <c r="K556" s="11">
        <v>10</v>
      </c>
      <c r="L556" s="10"/>
      <c r="M556" s="10" t="s">
        <v>47</v>
      </c>
      <c r="N556" s="10"/>
      <c r="O556" s="2">
        <v>3</v>
      </c>
      <c r="P556" s="17">
        <f>219*(1-S3/100)</f>
        <v>219</v>
      </c>
      <c r="Q556" s="18"/>
      <c r="R556" s="10">
        <f t="shared" si="21"/>
        <v>0</v>
      </c>
      <c r="S556" s="19">
        <f t="shared" si="22"/>
        <v>0</v>
      </c>
      <c r="T556" s="20">
        <f t="shared" si="23"/>
        <v>0</v>
      </c>
      <c r="U556" s="21"/>
      <c r="V556" s="22" t="s">
        <v>2474</v>
      </c>
      <c r="W556" s="22" t="s">
        <v>191</v>
      </c>
      <c r="X556" s="3"/>
      <c r="Y556" s="3"/>
      <c r="Z556" s="3" t="s">
        <v>52</v>
      </c>
      <c r="AA556" s="3" t="s">
        <v>2475</v>
      </c>
      <c r="AB556" s="3"/>
      <c r="AC556" s="3" t="str">
        <f>HYPERLINK("https://knigipp.ru/api/getInfo/image/a90389ce-2575-11ee-a23d-00155d82e902")</f>
        <v>https://knigipp.ru/api/getInfo/image/a90389ce-2575-11ee-a23d-00155d82e902</v>
      </c>
      <c r="AD556" s="32">
        <v>128</v>
      </c>
      <c r="AE556" s="3" t="s">
        <v>355</v>
      </c>
      <c r="AF556" s="3" t="s">
        <v>127</v>
      </c>
      <c r="AG556" s="32">
        <v>120</v>
      </c>
      <c r="AH556" s="3" t="s">
        <v>56</v>
      </c>
      <c r="AI556" s="3"/>
      <c r="AJ556" s="3"/>
      <c r="AK556" s="3" t="str">
        <f>HYPERLINK("https://knigipp.ru/api/getInfo/item/a90389ce-2575-11ee-a23d-00155d82e902")</f>
        <v>https://knigipp.ru/api/getInfo/item/a90389ce-2575-11ee-a23d-00155d82e902</v>
      </c>
      <c r="AL556" s="3" t="s">
        <v>784</v>
      </c>
    </row>
    <row r="557" spans="1:38" ht="21" customHeight="1" outlineLevel="5" x14ac:dyDescent="0.2">
      <c r="A557" s="2">
        <v>407</v>
      </c>
      <c r="B557" s="3" t="s">
        <v>2476</v>
      </c>
      <c r="C557" s="49" t="s">
        <v>2477</v>
      </c>
      <c r="D557" s="49"/>
      <c r="E557" s="49"/>
      <c r="F557" s="49"/>
      <c r="G557" s="4" t="s">
        <v>2478</v>
      </c>
      <c r="H557" s="8"/>
      <c r="I557" s="9" t="s">
        <v>2464</v>
      </c>
      <c r="J557" s="10"/>
      <c r="K557" s="11">
        <v>10</v>
      </c>
      <c r="L557" s="10"/>
      <c r="M557" s="10" t="s">
        <v>304</v>
      </c>
      <c r="N557" s="10"/>
      <c r="O557" s="2">
        <v>3</v>
      </c>
      <c r="P557" s="17">
        <f>219*(1-S3/100)</f>
        <v>219</v>
      </c>
      <c r="Q557" s="18"/>
      <c r="R557" s="10">
        <f t="shared" si="21"/>
        <v>0</v>
      </c>
      <c r="S557" s="19">
        <f t="shared" si="22"/>
        <v>0</v>
      </c>
      <c r="T557" s="20">
        <f t="shared" si="23"/>
        <v>0</v>
      </c>
      <c r="U557" s="21"/>
      <c r="V557" s="22" t="s">
        <v>2479</v>
      </c>
      <c r="W557" s="22" t="s">
        <v>191</v>
      </c>
      <c r="X557" s="3"/>
      <c r="Y557" s="3"/>
      <c r="Z557" s="3" t="s">
        <v>52</v>
      </c>
      <c r="AA557" s="3" t="s">
        <v>2475</v>
      </c>
      <c r="AB557" s="3"/>
      <c r="AC557" s="3" t="str">
        <f>HYPERLINK("https://knigipp.ru/api/getInfo/image/7debe33e-2575-11ee-a23d-00155d82e902")</f>
        <v>https://knigipp.ru/api/getInfo/image/7debe33e-2575-11ee-a23d-00155d82e902</v>
      </c>
      <c r="AD557" s="32">
        <v>128</v>
      </c>
      <c r="AE557" s="3" t="s">
        <v>355</v>
      </c>
      <c r="AF557" s="3" t="s">
        <v>127</v>
      </c>
      <c r="AG557" s="32">
        <v>120</v>
      </c>
      <c r="AH557" s="3" t="s">
        <v>56</v>
      </c>
      <c r="AI557" s="3"/>
      <c r="AJ557" s="3"/>
      <c r="AK557" s="3" t="str">
        <f>HYPERLINK("https://knigipp.ru/api/getInfo/item/7debe33e-2575-11ee-a23d-00155d82e902")</f>
        <v>https://knigipp.ru/api/getInfo/item/7debe33e-2575-11ee-a23d-00155d82e902</v>
      </c>
      <c r="AL557" s="3" t="s">
        <v>784</v>
      </c>
    </row>
    <row r="558" spans="1:38" ht="21" customHeight="1" outlineLevel="5" x14ac:dyDescent="0.2">
      <c r="A558" s="2">
        <v>408</v>
      </c>
      <c r="B558" s="3" t="s">
        <v>2480</v>
      </c>
      <c r="C558" s="49" t="s">
        <v>2481</v>
      </c>
      <c r="D558" s="49"/>
      <c r="E558" s="49"/>
      <c r="F558" s="49"/>
      <c r="G558" s="4" t="s">
        <v>2482</v>
      </c>
      <c r="H558" s="8"/>
      <c r="I558" s="9" t="s">
        <v>2464</v>
      </c>
      <c r="J558" s="10"/>
      <c r="K558" s="11">
        <v>10</v>
      </c>
      <c r="L558" s="10"/>
      <c r="M558" s="10" t="s">
        <v>47</v>
      </c>
      <c r="N558" s="10"/>
      <c r="O558" s="2">
        <v>3</v>
      </c>
      <c r="P558" s="17">
        <f>219*(1-S3/100)</f>
        <v>219</v>
      </c>
      <c r="Q558" s="18"/>
      <c r="R558" s="10">
        <f t="shared" si="21"/>
        <v>0</v>
      </c>
      <c r="S558" s="19">
        <f t="shared" si="22"/>
        <v>0</v>
      </c>
      <c r="T558" s="20">
        <f t="shared" si="23"/>
        <v>0</v>
      </c>
      <c r="U558" s="21"/>
      <c r="V558" s="22" t="s">
        <v>2483</v>
      </c>
      <c r="W558" s="22" t="s">
        <v>191</v>
      </c>
      <c r="X558" s="3"/>
      <c r="Y558" s="3"/>
      <c r="Z558" s="3" t="s">
        <v>52</v>
      </c>
      <c r="AA558" s="3"/>
      <c r="AB558" s="3"/>
      <c r="AC558" s="3" t="str">
        <f>HYPERLINK("https://knigipp.ru/api/getInfo/image/701bb0ef-900d-11ee-a250-00155d82e908")</f>
        <v>https://knigipp.ru/api/getInfo/image/701bb0ef-900d-11ee-a250-00155d82e908</v>
      </c>
      <c r="AD558" s="32">
        <v>128</v>
      </c>
      <c r="AE558" s="3" t="s">
        <v>355</v>
      </c>
      <c r="AF558" s="3" t="s">
        <v>127</v>
      </c>
      <c r="AG558" s="32">
        <v>120</v>
      </c>
      <c r="AH558" s="3" t="s">
        <v>56</v>
      </c>
      <c r="AI558" s="3"/>
      <c r="AJ558" s="3"/>
      <c r="AK558" s="3" t="str">
        <f>HYPERLINK("https://knigipp.ru/api/getInfo/item/701bb0ef-900d-11ee-a250-00155d82e908")</f>
        <v>https://knigipp.ru/api/getInfo/item/701bb0ef-900d-11ee-a250-00155d82e908</v>
      </c>
      <c r="AL558" s="3" t="s">
        <v>784</v>
      </c>
    </row>
    <row r="559" spans="1:38" ht="21" customHeight="1" outlineLevel="5" x14ac:dyDescent="0.2">
      <c r="A559" s="2">
        <v>409</v>
      </c>
      <c r="B559" s="3" t="s">
        <v>2484</v>
      </c>
      <c r="C559" s="49" t="s">
        <v>2485</v>
      </c>
      <c r="D559" s="49"/>
      <c r="E559" s="49"/>
      <c r="F559" s="49"/>
      <c r="G559" s="4" t="s">
        <v>2486</v>
      </c>
      <c r="H559" s="8"/>
      <c r="I559" s="9" t="s">
        <v>2464</v>
      </c>
      <c r="J559" s="10"/>
      <c r="K559" s="11">
        <v>10</v>
      </c>
      <c r="L559" s="10"/>
      <c r="M559" s="10" t="s">
        <v>78</v>
      </c>
      <c r="N559" s="10"/>
      <c r="O559" s="2">
        <v>3</v>
      </c>
      <c r="P559" s="17">
        <f>219*(1-S3/100)</f>
        <v>219</v>
      </c>
      <c r="Q559" s="18"/>
      <c r="R559" s="10">
        <f t="shared" si="21"/>
        <v>0</v>
      </c>
      <c r="S559" s="19">
        <f t="shared" si="22"/>
        <v>0</v>
      </c>
      <c r="T559" s="20">
        <f t="shared" si="23"/>
        <v>0</v>
      </c>
      <c r="U559" s="21"/>
      <c r="V559" s="22" t="s">
        <v>2487</v>
      </c>
      <c r="W559" s="22" t="s">
        <v>191</v>
      </c>
      <c r="X559" s="3"/>
      <c r="Y559" s="3" t="s">
        <v>2488</v>
      </c>
      <c r="Z559" s="3" t="s">
        <v>52</v>
      </c>
      <c r="AA559" s="3"/>
      <c r="AB559" s="3"/>
      <c r="AC559" s="3" t="str">
        <f>HYPERLINK("https://knigipp.ru/api/getInfo/image/f865991e-6e75-11ee-a247-00155d82e902")</f>
        <v>https://knigipp.ru/api/getInfo/image/f865991e-6e75-11ee-a247-00155d82e902</v>
      </c>
      <c r="AD559" s="32">
        <v>128</v>
      </c>
      <c r="AE559" s="3" t="s">
        <v>355</v>
      </c>
      <c r="AF559" s="3" t="s">
        <v>127</v>
      </c>
      <c r="AG559" s="32">
        <v>120</v>
      </c>
      <c r="AH559" s="3" t="s">
        <v>56</v>
      </c>
      <c r="AI559" s="3"/>
      <c r="AJ559" s="3"/>
      <c r="AK559" s="3" t="str">
        <f>HYPERLINK("https://knigipp.ru/api/getInfo/item/f865991e-6e75-11ee-a247-00155d82e902")</f>
        <v>https://knigipp.ru/api/getInfo/item/f865991e-6e75-11ee-a247-00155d82e902</v>
      </c>
      <c r="AL559" s="3" t="s">
        <v>784</v>
      </c>
    </row>
    <row r="560" spans="1:38" ht="21" customHeight="1" outlineLevel="5" x14ac:dyDescent="0.2">
      <c r="A560" s="2">
        <v>410</v>
      </c>
      <c r="B560" s="3" t="s">
        <v>2489</v>
      </c>
      <c r="C560" s="49" t="s">
        <v>2490</v>
      </c>
      <c r="D560" s="49"/>
      <c r="E560" s="49"/>
      <c r="F560" s="49"/>
      <c r="G560" s="4" t="s">
        <v>2491</v>
      </c>
      <c r="H560" s="8"/>
      <c r="I560" s="9" t="s">
        <v>2464</v>
      </c>
      <c r="J560" s="10"/>
      <c r="K560" s="11">
        <v>10</v>
      </c>
      <c r="L560" s="10"/>
      <c r="M560" s="10" t="s">
        <v>78</v>
      </c>
      <c r="N560" s="10"/>
      <c r="O560" s="2">
        <v>3</v>
      </c>
      <c r="P560" s="17">
        <f>219*(1-S3/100)</f>
        <v>219</v>
      </c>
      <c r="Q560" s="18"/>
      <c r="R560" s="10">
        <f t="shared" si="21"/>
        <v>0</v>
      </c>
      <c r="S560" s="19">
        <f>0.275*Q560</f>
        <v>0</v>
      </c>
      <c r="T560" s="20">
        <f>0.00037*Q560</f>
        <v>0</v>
      </c>
      <c r="U560" s="21"/>
      <c r="V560" s="22" t="s">
        <v>2492</v>
      </c>
      <c r="W560" s="22" t="s">
        <v>191</v>
      </c>
      <c r="X560" s="3"/>
      <c r="Y560" s="3" t="s">
        <v>2493</v>
      </c>
      <c r="Z560" s="3" t="s">
        <v>52</v>
      </c>
      <c r="AA560" s="3"/>
      <c r="AB560" s="3"/>
      <c r="AC560" s="3" t="str">
        <f>HYPERLINK("https://knigipp.ru/api/getInfo/image/38826fe4-6e76-11ee-a247-00155d82e902")</f>
        <v>https://knigipp.ru/api/getInfo/image/38826fe4-6e76-11ee-a247-00155d82e902</v>
      </c>
      <c r="AD560" s="32">
        <v>128</v>
      </c>
      <c r="AE560" s="3" t="s">
        <v>355</v>
      </c>
      <c r="AF560" s="3" t="s">
        <v>127</v>
      </c>
      <c r="AG560" s="32">
        <v>120</v>
      </c>
      <c r="AH560" s="3" t="s">
        <v>56</v>
      </c>
      <c r="AI560" s="3"/>
      <c r="AJ560" s="3"/>
      <c r="AK560" s="3" t="str">
        <f>HYPERLINK("https://knigipp.ru/api/getInfo/item/38826fe4-6e76-11ee-a247-00155d82e902")</f>
        <v>https://knigipp.ru/api/getInfo/item/38826fe4-6e76-11ee-a247-00155d82e902</v>
      </c>
      <c r="AL560" s="3" t="s">
        <v>784</v>
      </c>
    </row>
    <row r="561" spans="1:38" ht="21" customHeight="1" outlineLevel="5" x14ac:dyDescent="0.2">
      <c r="A561" s="2">
        <v>411</v>
      </c>
      <c r="B561" s="3" t="s">
        <v>2494</v>
      </c>
      <c r="C561" s="49" t="s">
        <v>2495</v>
      </c>
      <c r="D561" s="49"/>
      <c r="E561" s="49"/>
      <c r="F561" s="49"/>
      <c r="G561" s="4" t="s">
        <v>2496</v>
      </c>
      <c r="H561" s="8"/>
      <c r="I561" s="9" t="s">
        <v>2464</v>
      </c>
      <c r="J561" s="10"/>
      <c r="K561" s="11">
        <v>10</v>
      </c>
      <c r="L561" s="10"/>
      <c r="M561" s="10" t="s">
        <v>47</v>
      </c>
      <c r="N561" s="10"/>
      <c r="O561" s="2">
        <v>3</v>
      </c>
      <c r="P561" s="17">
        <f>219*(1-S3/100)</f>
        <v>219</v>
      </c>
      <c r="Q561" s="18"/>
      <c r="R561" s="10">
        <f t="shared" si="21"/>
        <v>0</v>
      </c>
      <c r="S561" s="19">
        <f>0.284*Q561</f>
        <v>0</v>
      </c>
      <c r="T561" s="20">
        <f>0.00048*Q561</f>
        <v>0</v>
      </c>
      <c r="U561" s="21"/>
      <c r="V561" s="22" t="s">
        <v>2497</v>
      </c>
      <c r="W561" s="22" t="s">
        <v>191</v>
      </c>
      <c r="X561" s="3"/>
      <c r="Y561" s="3" t="s">
        <v>2498</v>
      </c>
      <c r="Z561" s="3" t="s">
        <v>52</v>
      </c>
      <c r="AA561" s="3"/>
      <c r="AB561" s="3"/>
      <c r="AC561" s="3" t="str">
        <f>HYPERLINK("https://knigipp.ru/api/getInfo/image/c88b9354-6e75-11ee-a247-00155d82e902")</f>
        <v>https://knigipp.ru/api/getInfo/image/c88b9354-6e75-11ee-a247-00155d82e902</v>
      </c>
      <c r="AD561" s="32">
        <v>128</v>
      </c>
      <c r="AE561" s="3" t="s">
        <v>355</v>
      </c>
      <c r="AF561" s="3" t="s">
        <v>127</v>
      </c>
      <c r="AG561" s="32">
        <v>120</v>
      </c>
      <c r="AH561" s="3" t="s">
        <v>56</v>
      </c>
      <c r="AI561" s="3"/>
      <c r="AJ561" s="3"/>
      <c r="AK561" s="3" t="str">
        <f>HYPERLINK("https://knigipp.ru/api/getInfo/item/c88b9354-6e75-11ee-a247-00155d82e902")</f>
        <v>https://knigipp.ru/api/getInfo/item/c88b9354-6e75-11ee-a247-00155d82e902</v>
      </c>
      <c r="AL561" s="3" t="s">
        <v>784</v>
      </c>
    </row>
    <row r="562" spans="1:38" ht="21" customHeight="1" outlineLevel="5" x14ac:dyDescent="0.2">
      <c r="A562" s="2">
        <v>412</v>
      </c>
      <c r="B562" s="3" t="s">
        <v>2499</v>
      </c>
      <c r="C562" s="49" t="s">
        <v>2500</v>
      </c>
      <c r="D562" s="49"/>
      <c r="E562" s="49"/>
      <c r="F562" s="49"/>
      <c r="G562" s="4" t="s">
        <v>2501</v>
      </c>
      <c r="H562" s="8"/>
      <c r="I562" s="9" t="s">
        <v>2464</v>
      </c>
      <c r="J562" s="10"/>
      <c r="K562" s="11">
        <v>10</v>
      </c>
      <c r="L562" s="10"/>
      <c r="M562" s="10" t="s">
        <v>47</v>
      </c>
      <c r="N562" s="10"/>
      <c r="O562" s="2">
        <v>3</v>
      </c>
      <c r="P562" s="17">
        <f>219*(1-S3/100)</f>
        <v>219</v>
      </c>
      <c r="Q562" s="18"/>
      <c r="R562" s="10">
        <f t="shared" si="21"/>
        <v>0</v>
      </c>
      <c r="S562" s="19">
        <f>0.284*Q562</f>
        <v>0</v>
      </c>
      <c r="T562" s="20">
        <f>0.00048*Q562</f>
        <v>0</v>
      </c>
      <c r="U562" s="21"/>
      <c r="V562" s="22" t="s">
        <v>2502</v>
      </c>
      <c r="W562" s="22" t="s">
        <v>191</v>
      </c>
      <c r="X562" s="3"/>
      <c r="Y562" s="3"/>
      <c r="Z562" s="3" t="s">
        <v>52</v>
      </c>
      <c r="AA562" s="3" t="s">
        <v>2503</v>
      </c>
      <c r="AB562" s="3"/>
      <c r="AC562" s="3" t="str">
        <f>HYPERLINK("https://knigipp.ru/api/getInfo/image/ec2e2d61-2575-11ee-a23d-00155d82e902")</f>
        <v>https://knigipp.ru/api/getInfo/image/ec2e2d61-2575-11ee-a23d-00155d82e902</v>
      </c>
      <c r="AD562" s="32">
        <v>128</v>
      </c>
      <c r="AE562" s="3" t="s">
        <v>355</v>
      </c>
      <c r="AF562" s="3" t="s">
        <v>127</v>
      </c>
      <c r="AG562" s="32">
        <v>120</v>
      </c>
      <c r="AH562" s="3" t="s">
        <v>56</v>
      </c>
      <c r="AI562" s="3"/>
      <c r="AJ562" s="3"/>
      <c r="AK562" s="3" t="str">
        <f>HYPERLINK("https://knigipp.ru/api/getInfo/item/ec2e2d61-2575-11ee-a23d-00155d82e902")</f>
        <v>https://knigipp.ru/api/getInfo/item/ec2e2d61-2575-11ee-a23d-00155d82e902</v>
      </c>
      <c r="AL562" s="3" t="s">
        <v>784</v>
      </c>
    </row>
    <row r="563" spans="1:38" ht="21" customHeight="1" outlineLevel="5" x14ac:dyDescent="0.2">
      <c r="A563" s="2">
        <v>413</v>
      </c>
      <c r="B563" s="3" t="s">
        <v>2504</v>
      </c>
      <c r="C563" s="49" t="s">
        <v>2505</v>
      </c>
      <c r="D563" s="49"/>
      <c r="E563" s="49"/>
      <c r="F563" s="49"/>
      <c r="G563" s="4" t="s">
        <v>2506</v>
      </c>
      <c r="H563" s="8"/>
      <c r="I563" s="9" t="s">
        <v>2464</v>
      </c>
      <c r="J563" s="10"/>
      <c r="K563" s="11">
        <v>10</v>
      </c>
      <c r="L563" s="10"/>
      <c r="M563" s="10" t="s">
        <v>47</v>
      </c>
      <c r="N563" s="10"/>
      <c r="O563" s="2">
        <v>3</v>
      </c>
      <c r="P563" s="17">
        <f>219*(1-S3/100)</f>
        <v>219</v>
      </c>
      <c r="Q563" s="18"/>
      <c r="R563" s="10">
        <f t="shared" si="21"/>
        <v>0</v>
      </c>
      <c r="S563" s="19">
        <f>0.284*Q563</f>
        <v>0</v>
      </c>
      <c r="T563" s="20">
        <f>0.00048*Q563</f>
        <v>0</v>
      </c>
      <c r="U563" s="21"/>
      <c r="V563" s="22" t="s">
        <v>2507</v>
      </c>
      <c r="W563" s="22" t="s">
        <v>191</v>
      </c>
      <c r="X563" s="3"/>
      <c r="Y563" s="3"/>
      <c r="Z563" s="3" t="s">
        <v>52</v>
      </c>
      <c r="AA563" s="3"/>
      <c r="AB563" s="3"/>
      <c r="AC563" s="3" t="str">
        <f>HYPERLINK("https://knigipp.ru/api/getInfo/image/63552d55-900e-11ee-a250-00155d82e908")</f>
        <v>https://knigipp.ru/api/getInfo/image/63552d55-900e-11ee-a250-00155d82e908</v>
      </c>
      <c r="AD563" s="32">
        <v>128</v>
      </c>
      <c r="AE563" s="3" t="s">
        <v>355</v>
      </c>
      <c r="AF563" s="3" t="s">
        <v>127</v>
      </c>
      <c r="AG563" s="32">
        <v>120</v>
      </c>
      <c r="AH563" s="3" t="s">
        <v>56</v>
      </c>
      <c r="AI563" s="3"/>
      <c r="AJ563" s="3"/>
      <c r="AK563" s="3" t="str">
        <f>HYPERLINK("https://knigipp.ru/api/getInfo/item/63552d55-900e-11ee-a250-00155d82e908")</f>
        <v>https://knigipp.ru/api/getInfo/item/63552d55-900e-11ee-a250-00155d82e908</v>
      </c>
      <c r="AL563" s="3" t="s">
        <v>784</v>
      </c>
    </row>
    <row r="564" spans="1:38" ht="21" customHeight="1" outlineLevel="5" x14ac:dyDescent="0.2">
      <c r="A564" s="2">
        <v>414</v>
      </c>
      <c r="B564" s="3" t="s">
        <v>2508</v>
      </c>
      <c r="C564" s="49" t="s">
        <v>2509</v>
      </c>
      <c r="D564" s="49"/>
      <c r="E564" s="49"/>
      <c r="F564" s="49"/>
      <c r="G564" s="4" t="s">
        <v>2510</v>
      </c>
      <c r="H564" s="8"/>
      <c r="I564" s="9" t="s">
        <v>2464</v>
      </c>
      <c r="J564" s="10"/>
      <c r="K564" s="11">
        <v>10</v>
      </c>
      <c r="L564" s="10"/>
      <c r="M564" s="10" t="s">
        <v>78</v>
      </c>
      <c r="N564" s="10"/>
      <c r="O564" s="2">
        <v>3</v>
      </c>
      <c r="P564" s="17">
        <f>219*(1-S3/100)</f>
        <v>219</v>
      </c>
      <c r="Q564" s="18"/>
      <c r="R564" s="10">
        <f t="shared" si="21"/>
        <v>0</v>
      </c>
      <c r="S564" s="19">
        <f>0.284*Q564</f>
        <v>0</v>
      </c>
      <c r="T564" s="20">
        <f>0.00048*Q564</f>
        <v>0</v>
      </c>
      <c r="U564" s="21"/>
      <c r="V564" s="22" t="s">
        <v>2511</v>
      </c>
      <c r="W564" s="22" t="s">
        <v>191</v>
      </c>
      <c r="X564" s="3"/>
      <c r="Y564" s="3" t="s">
        <v>2512</v>
      </c>
      <c r="Z564" s="3" t="s">
        <v>52</v>
      </c>
      <c r="AA564" s="3" t="s">
        <v>2513</v>
      </c>
      <c r="AB564" s="3"/>
      <c r="AC564" s="3" t="str">
        <f>HYPERLINK("https://knigipp.ru/api/getInfo/image/e50e40e1-bf64-11ee-a25a-00155d82e908")</f>
        <v>https://knigipp.ru/api/getInfo/image/e50e40e1-bf64-11ee-a25a-00155d82e908</v>
      </c>
      <c r="AD564" s="32">
        <v>128</v>
      </c>
      <c r="AE564" s="3" t="s">
        <v>355</v>
      </c>
      <c r="AF564" s="3" t="s">
        <v>127</v>
      </c>
      <c r="AG564" s="32">
        <v>120</v>
      </c>
      <c r="AH564" s="3" t="s">
        <v>56</v>
      </c>
      <c r="AI564" s="3"/>
      <c r="AJ564" s="3"/>
      <c r="AK564" s="3" t="str">
        <f>HYPERLINK("https://knigipp.ru/api/getInfo/item/e50e40e1-bf64-11ee-a25a-00155d82e908")</f>
        <v>https://knigipp.ru/api/getInfo/item/e50e40e1-bf64-11ee-a25a-00155d82e908</v>
      </c>
      <c r="AL564" s="3" t="s">
        <v>784</v>
      </c>
    </row>
    <row r="565" spans="1:38" ht="23.1" customHeight="1" outlineLevel="4" x14ac:dyDescent="0.2">
      <c r="A565" s="55" t="s">
        <v>2514</v>
      </c>
      <c r="B565" s="55"/>
      <c r="C565" s="55"/>
      <c r="D565" s="55"/>
      <c r="E565" s="55"/>
      <c r="F565" s="55"/>
    </row>
    <row r="566" spans="1:38" ht="21" customHeight="1" outlineLevel="5" x14ac:dyDescent="0.2">
      <c r="A566" s="2">
        <v>415</v>
      </c>
      <c r="B566" s="3" t="s">
        <v>2515</v>
      </c>
      <c r="C566" s="49" t="s">
        <v>2516</v>
      </c>
      <c r="D566" s="49"/>
      <c r="E566" s="49"/>
      <c r="F566" s="49"/>
      <c r="G566" s="4" t="s">
        <v>2517</v>
      </c>
      <c r="H566" s="8"/>
      <c r="I566" s="9" t="s">
        <v>2518</v>
      </c>
      <c r="J566" s="10"/>
      <c r="K566" s="11">
        <v>10</v>
      </c>
      <c r="L566" s="10"/>
      <c r="M566" s="10" t="s">
        <v>47</v>
      </c>
      <c r="N566" s="10"/>
      <c r="O566" s="2">
        <v>1</v>
      </c>
      <c r="P566" s="17">
        <f>647*(1-S3/100)</f>
        <v>647</v>
      </c>
      <c r="Q566" s="18"/>
      <c r="R566" s="10">
        <f t="shared" ref="R566:R571" si="24">P566*Q566</f>
        <v>0</v>
      </c>
      <c r="S566" s="19">
        <f>0.446*Q566</f>
        <v>0</v>
      </c>
      <c r="T566" s="20">
        <f>0.00068*Q566</f>
        <v>0</v>
      </c>
      <c r="U566" s="21"/>
      <c r="V566" s="22" t="s">
        <v>2519</v>
      </c>
      <c r="W566" s="22" t="s">
        <v>191</v>
      </c>
      <c r="X566" s="3"/>
      <c r="Y566" s="3" t="s">
        <v>2520</v>
      </c>
      <c r="Z566" s="3" t="s">
        <v>52</v>
      </c>
      <c r="AA566" s="3"/>
      <c r="AB566" s="3"/>
      <c r="AC566" s="3" t="str">
        <f>HYPERLINK("https://knigipp.ru/api/getInfo/image/a5a130d0-25c0-11f0-a279-00155d82e908")</f>
        <v>https://knigipp.ru/api/getInfo/image/a5a130d0-25c0-11f0-a279-00155d82e908</v>
      </c>
      <c r="AD566" s="32">
        <v>128</v>
      </c>
      <c r="AE566" s="3" t="s">
        <v>65</v>
      </c>
      <c r="AF566" s="3" t="s">
        <v>127</v>
      </c>
      <c r="AG566" s="3"/>
      <c r="AH566" s="3" t="s">
        <v>56</v>
      </c>
      <c r="AI566" s="3"/>
      <c r="AJ566" s="3"/>
      <c r="AK566" s="3" t="str">
        <f>HYPERLINK("https://knigipp.ru/api/getInfo/item/a5a130d0-25c0-11f0-a279-00155d82e908")</f>
        <v>https://knigipp.ru/api/getInfo/item/a5a130d0-25c0-11f0-a279-00155d82e908</v>
      </c>
      <c r="AL566" s="3" t="s">
        <v>2521</v>
      </c>
    </row>
    <row r="567" spans="1:38" ht="21" customHeight="1" outlineLevel="5" x14ac:dyDescent="0.2">
      <c r="A567" s="2">
        <v>416</v>
      </c>
      <c r="B567" s="3" t="s">
        <v>2522</v>
      </c>
      <c r="C567" s="49" t="s">
        <v>2523</v>
      </c>
      <c r="D567" s="49"/>
      <c r="E567" s="49"/>
      <c r="F567" s="49"/>
      <c r="G567" s="4" t="s">
        <v>2524</v>
      </c>
      <c r="H567" s="8"/>
      <c r="I567" s="9"/>
      <c r="J567" s="10"/>
      <c r="K567" s="11">
        <v>10</v>
      </c>
      <c r="L567" s="10"/>
      <c r="M567" s="10" t="s">
        <v>47</v>
      </c>
      <c r="N567" s="10"/>
      <c r="O567" s="2">
        <v>1</v>
      </c>
      <c r="P567" s="17">
        <f>647*(1-S3/100)</f>
        <v>647</v>
      </c>
      <c r="Q567" s="18"/>
      <c r="R567" s="10">
        <f t="shared" si="24"/>
        <v>0</v>
      </c>
      <c r="S567" s="19">
        <f>0.443*Q567</f>
        <v>0</v>
      </c>
      <c r="T567" s="20">
        <f>0.00053*Q567</f>
        <v>0</v>
      </c>
      <c r="U567" s="21"/>
      <c r="V567" s="22" t="s">
        <v>2525</v>
      </c>
      <c r="W567" s="22" t="s">
        <v>191</v>
      </c>
      <c r="X567" s="3"/>
      <c r="Y567" s="3" t="s">
        <v>2526</v>
      </c>
      <c r="Z567" s="3" t="s">
        <v>52</v>
      </c>
      <c r="AA567" s="3"/>
      <c r="AB567" s="3"/>
      <c r="AC567" s="3" t="str">
        <f>HYPERLINK("https://knigipp.ru/api/getInfo/image/21b92d82-9abc-11f0-a285-00155d82e908")</f>
        <v>https://knigipp.ru/api/getInfo/image/21b92d82-9abc-11f0-a285-00155d82e908</v>
      </c>
      <c r="AD567" s="32">
        <v>128</v>
      </c>
      <c r="AE567" s="3" t="s">
        <v>65</v>
      </c>
      <c r="AF567" s="3" t="s">
        <v>127</v>
      </c>
      <c r="AG567" s="3"/>
      <c r="AH567" s="3" t="s">
        <v>56</v>
      </c>
      <c r="AI567" s="3"/>
      <c r="AJ567" s="3"/>
      <c r="AK567" s="3" t="str">
        <f>HYPERLINK("https://knigipp.ru/api/getInfo/item/21b92d82-9abc-11f0-a285-00155d82e908")</f>
        <v>https://knigipp.ru/api/getInfo/item/21b92d82-9abc-11f0-a285-00155d82e908</v>
      </c>
      <c r="AL567" s="3" t="s">
        <v>2521</v>
      </c>
    </row>
    <row r="568" spans="1:38" ht="21" customHeight="1" outlineLevel="5" x14ac:dyDescent="0.2">
      <c r="A568" s="2">
        <v>417</v>
      </c>
      <c r="B568" s="3" t="s">
        <v>2527</v>
      </c>
      <c r="C568" s="49" t="s">
        <v>2528</v>
      </c>
      <c r="D568" s="49"/>
      <c r="E568" s="49"/>
      <c r="F568" s="49"/>
      <c r="G568" s="4" t="s">
        <v>2529</v>
      </c>
      <c r="H568" s="8"/>
      <c r="I568" s="9" t="s">
        <v>2518</v>
      </c>
      <c r="J568" s="10"/>
      <c r="K568" s="11">
        <v>10</v>
      </c>
      <c r="L568" s="10"/>
      <c r="M568" s="10" t="s">
        <v>47</v>
      </c>
      <c r="N568" s="10"/>
      <c r="O568" s="2">
        <v>1</v>
      </c>
      <c r="P568" s="17">
        <f>647*(1-S3/100)</f>
        <v>647</v>
      </c>
      <c r="Q568" s="18"/>
      <c r="R568" s="10">
        <f t="shared" si="24"/>
        <v>0</v>
      </c>
      <c r="S568" s="19">
        <f>4.527*Q568</f>
        <v>0</v>
      </c>
      <c r="T568" s="20">
        <f>0.04438*Q568</f>
        <v>0</v>
      </c>
      <c r="U568" s="21"/>
      <c r="V568" s="22" t="s">
        <v>2530</v>
      </c>
      <c r="W568" s="22" t="s">
        <v>191</v>
      </c>
      <c r="X568" s="3"/>
      <c r="Y568" s="3" t="s">
        <v>2531</v>
      </c>
      <c r="Z568" s="3" t="s">
        <v>52</v>
      </c>
      <c r="AA568" s="3"/>
      <c r="AB568" s="3"/>
      <c r="AC568" s="3" t="str">
        <f>HYPERLINK("https://knigipp.ru/api/getInfo/image/4df3d72d-25c1-11f0-a279-00155d82e908")</f>
        <v>https://knigipp.ru/api/getInfo/image/4df3d72d-25c1-11f0-a279-00155d82e908</v>
      </c>
      <c r="AD568" s="32">
        <v>128</v>
      </c>
      <c r="AE568" s="3" t="s">
        <v>65</v>
      </c>
      <c r="AF568" s="3" t="s">
        <v>127</v>
      </c>
      <c r="AG568" s="3"/>
      <c r="AH568" s="3" t="s">
        <v>56</v>
      </c>
      <c r="AI568" s="3"/>
      <c r="AJ568" s="3"/>
      <c r="AK568" s="3" t="str">
        <f>HYPERLINK("https://knigipp.ru/api/getInfo/item/4df3d72d-25c1-11f0-a279-00155d82e908")</f>
        <v>https://knigipp.ru/api/getInfo/item/4df3d72d-25c1-11f0-a279-00155d82e908</v>
      </c>
      <c r="AL568" s="3" t="s">
        <v>2521</v>
      </c>
    </row>
    <row r="569" spans="1:38" ht="21" customHeight="1" outlineLevel="5" x14ac:dyDescent="0.2">
      <c r="A569" s="2">
        <v>418</v>
      </c>
      <c r="B569" s="3" t="s">
        <v>2532</v>
      </c>
      <c r="C569" s="49" t="s">
        <v>2533</v>
      </c>
      <c r="D569" s="49"/>
      <c r="E569" s="49"/>
      <c r="F569" s="49"/>
      <c r="G569" s="4" t="s">
        <v>2534</v>
      </c>
      <c r="H569" s="8"/>
      <c r="I569" s="9"/>
      <c r="J569" s="10"/>
      <c r="K569" s="11">
        <v>10</v>
      </c>
      <c r="L569" s="10"/>
      <c r="M569" s="10" t="s">
        <v>47</v>
      </c>
      <c r="N569" s="10"/>
      <c r="O569" s="2">
        <v>1</v>
      </c>
      <c r="P569" s="17">
        <f>647*(1-S3/100)</f>
        <v>647</v>
      </c>
      <c r="Q569" s="18"/>
      <c r="R569" s="10">
        <f t="shared" si="24"/>
        <v>0</v>
      </c>
      <c r="S569" s="19">
        <f>0.444*Q569</f>
        <v>0</v>
      </c>
      <c r="T569" s="20">
        <f>0.00053*Q569</f>
        <v>0</v>
      </c>
      <c r="U569" s="21"/>
      <c r="V569" s="22" t="s">
        <v>2535</v>
      </c>
      <c r="W569" s="22" t="s">
        <v>191</v>
      </c>
      <c r="X569" s="3"/>
      <c r="Y569" s="3" t="s">
        <v>2526</v>
      </c>
      <c r="Z569" s="3" t="s">
        <v>52</v>
      </c>
      <c r="AA569" s="3"/>
      <c r="AB569" s="3"/>
      <c r="AC569" s="3" t="str">
        <f>HYPERLINK("https://knigipp.ru/api/getInfo/image/4a27bcbd-9abc-11f0-a285-00155d82e908")</f>
        <v>https://knigipp.ru/api/getInfo/image/4a27bcbd-9abc-11f0-a285-00155d82e908</v>
      </c>
      <c r="AD569" s="32">
        <v>128</v>
      </c>
      <c r="AE569" s="3" t="s">
        <v>65</v>
      </c>
      <c r="AF569" s="3" t="s">
        <v>127</v>
      </c>
      <c r="AG569" s="3"/>
      <c r="AH569" s="3" t="s">
        <v>56</v>
      </c>
      <c r="AI569" s="3"/>
      <c r="AJ569" s="3"/>
      <c r="AK569" s="3" t="str">
        <f>HYPERLINK("https://knigipp.ru/api/getInfo/item/4a27bcbd-9abc-11f0-a285-00155d82e908")</f>
        <v>https://knigipp.ru/api/getInfo/item/4a27bcbd-9abc-11f0-a285-00155d82e908</v>
      </c>
      <c r="AL569" s="3" t="s">
        <v>2521</v>
      </c>
    </row>
    <row r="570" spans="1:38" ht="21" customHeight="1" outlineLevel="5" x14ac:dyDescent="0.2">
      <c r="A570" s="2">
        <v>419</v>
      </c>
      <c r="B570" s="3" t="s">
        <v>2536</v>
      </c>
      <c r="C570" s="49" t="s">
        <v>2537</v>
      </c>
      <c r="D570" s="49"/>
      <c r="E570" s="49"/>
      <c r="F570" s="49"/>
      <c r="G570" s="4" t="s">
        <v>2538</v>
      </c>
      <c r="H570" s="8"/>
      <c r="I570" s="9" t="s">
        <v>2518</v>
      </c>
      <c r="J570" s="10"/>
      <c r="K570" s="11">
        <v>10</v>
      </c>
      <c r="L570" s="10"/>
      <c r="M570" s="10" t="s">
        <v>78</v>
      </c>
      <c r="N570" s="10"/>
      <c r="O570" s="2">
        <v>1</v>
      </c>
      <c r="P570" s="17">
        <f>647*(1-S3/100)</f>
        <v>647</v>
      </c>
      <c r="Q570" s="18"/>
      <c r="R570" s="10">
        <f t="shared" si="24"/>
        <v>0</v>
      </c>
      <c r="S570" s="19">
        <f>4.527*Q570</f>
        <v>0</v>
      </c>
      <c r="T570" s="20">
        <f>0.04438*Q570</f>
        <v>0</v>
      </c>
      <c r="U570" s="21"/>
      <c r="V570" s="22" t="s">
        <v>2539</v>
      </c>
      <c r="W570" s="22" t="s">
        <v>191</v>
      </c>
      <c r="X570" s="3"/>
      <c r="Y570" s="3" t="s">
        <v>2540</v>
      </c>
      <c r="Z570" s="3" t="s">
        <v>52</v>
      </c>
      <c r="AA570" s="3"/>
      <c r="AB570" s="3"/>
      <c r="AC570" s="3" t="str">
        <f>HYPERLINK("https://knigipp.ru/api/getInfo/image/209a1d9c-25c1-11f0-a279-00155d82e908")</f>
        <v>https://knigipp.ru/api/getInfo/image/209a1d9c-25c1-11f0-a279-00155d82e908</v>
      </c>
      <c r="AD570" s="32">
        <v>128</v>
      </c>
      <c r="AE570" s="3" t="s">
        <v>65</v>
      </c>
      <c r="AF570" s="3" t="s">
        <v>127</v>
      </c>
      <c r="AG570" s="3"/>
      <c r="AH570" s="3" t="s">
        <v>56</v>
      </c>
      <c r="AI570" s="3"/>
      <c r="AJ570" s="3"/>
      <c r="AK570" s="3" t="str">
        <f>HYPERLINK("https://knigipp.ru/api/getInfo/item/209a1d9c-25c1-11f0-a279-00155d82e908")</f>
        <v>https://knigipp.ru/api/getInfo/item/209a1d9c-25c1-11f0-a279-00155d82e908</v>
      </c>
      <c r="AL570" s="3" t="s">
        <v>2521</v>
      </c>
    </row>
    <row r="571" spans="1:38" ht="21" customHeight="1" outlineLevel="5" x14ac:dyDescent="0.2">
      <c r="A571" s="2">
        <v>420</v>
      </c>
      <c r="B571" s="3" t="s">
        <v>2541</v>
      </c>
      <c r="C571" s="49" t="s">
        <v>2542</v>
      </c>
      <c r="D571" s="49"/>
      <c r="E571" s="49"/>
      <c r="F571" s="49"/>
      <c r="G571" s="4" t="s">
        <v>2543</v>
      </c>
      <c r="H571" s="8"/>
      <c r="I571" s="9" t="s">
        <v>2518</v>
      </c>
      <c r="J571" s="10"/>
      <c r="K571" s="11">
        <v>10</v>
      </c>
      <c r="L571" s="10"/>
      <c r="M571" s="10" t="s">
        <v>47</v>
      </c>
      <c r="N571" s="10"/>
      <c r="O571" s="2">
        <v>1</v>
      </c>
      <c r="P571" s="17">
        <f>647*(1-S3/100)</f>
        <v>647</v>
      </c>
      <c r="Q571" s="18"/>
      <c r="R571" s="10">
        <f t="shared" si="24"/>
        <v>0</v>
      </c>
      <c r="S571" s="19">
        <f>0.446*Q571</f>
        <v>0</v>
      </c>
      <c r="T571" s="20">
        <f>0.00068*Q571</f>
        <v>0</v>
      </c>
      <c r="U571" s="21"/>
      <c r="V571" s="22" t="s">
        <v>2544</v>
      </c>
      <c r="W571" s="22" t="s">
        <v>191</v>
      </c>
      <c r="X571" s="3"/>
      <c r="Y571" s="3" t="s">
        <v>2545</v>
      </c>
      <c r="Z571" s="3" t="s">
        <v>52</v>
      </c>
      <c r="AA571" s="3"/>
      <c r="AB571" s="3"/>
      <c r="AC571" s="3" t="str">
        <f>HYPERLINK("https://knigipp.ru/api/getInfo/image/e6c72930-25c0-11f0-a279-00155d82e908")</f>
        <v>https://knigipp.ru/api/getInfo/image/e6c72930-25c0-11f0-a279-00155d82e908</v>
      </c>
      <c r="AD571" s="32">
        <v>128</v>
      </c>
      <c r="AE571" s="3" t="s">
        <v>65</v>
      </c>
      <c r="AF571" s="3" t="s">
        <v>127</v>
      </c>
      <c r="AG571" s="3"/>
      <c r="AH571" s="3" t="s">
        <v>56</v>
      </c>
      <c r="AI571" s="3"/>
      <c r="AJ571" s="3"/>
      <c r="AK571" s="3" t="str">
        <f>HYPERLINK("https://knigipp.ru/api/getInfo/item/e6c72930-25c0-11f0-a279-00155d82e908")</f>
        <v>https://knigipp.ru/api/getInfo/item/e6c72930-25c0-11f0-a279-00155d82e908</v>
      </c>
      <c r="AL571" s="3" t="s">
        <v>2521</v>
      </c>
    </row>
    <row r="572" spans="1:38" ht="23.1" customHeight="1" outlineLevel="4" x14ac:dyDescent="0.2">
      <c r="A572" s="55" t="s">
        <v>2546</v>
      </c>
      <c r="B572" s="55"/>
      <c r="C572" s="55"/>
      <c r="D572" s="55"/>
      <c r="E572" s="55"/>
      <c r="F572" s="55"/>
    </row>
    <row r="573" spans="1:38" ht="21" customHeight="1" outlineLevel="5" x14ac:dyDescent="0.2">
      <c r="A573" s="2">
        <v>421</v>
      </c>
      <c r="B573" s="3" t="s">
        <v>2547</v>
      </c>
      <c r="C573" s="49" t="s">
        <v>2548</v>
      </c>
      <c r="D573" s="49"/>
      <c r="E573" s="49"/>
      <c r="F573" s="49"/>
      <c r="G573" s="4" t="s">
        <v>2549</v>
      </c>
      <c r="H573" s="8"/>
      <c r="I573" s="9" t="s">
        <v>2550</v>
      </c>
      <c r="J573" s="10"/>
      <c r="K573" s="11">
        <v>10</v>
      </c>
      <c r="L573" s="10"/>
      <c r="M573" s="10" t="s">
        <v>78</v>
      </c>
      <c r="N573" s="10"/>
      <c r="O573" s="2">
        <v>3</v>
      </c>
      <c r="P573" s="17">
        <f>239*(1-S3/100)</f>
        <v>239</v>
      </c>
      <c r="Q573" s="18"/>
      <c r="R573" s="10">
        <f>P573*Q573</f>
        <v>0</v>
      </c>
      <c r="S573" s="19">
        <f>0.287*Q573</f>
        <v>0</v>
      </c>
      <c r="T573" s="20">
        <f>0.00038*Q573</f>
        <v>0</v>
      </c>
      <c r="U573" s="21"/>
      <c r="V573" s="22" t="s">
        <v>2551</v>
      </c>
      <c r="W573" s="22" t="s">
        <v>191</v>
      </c>
      <c r="X573" s="3"/>
      <c r="Y573" s="3" t="s">
        <v>2552</v>
      </c>
      <c r="Z573" s="3" t="s">
        <v>52</v>
      </c>
      <c r="AA573" s="3"/>
      <c r="AB573" s="3"/>
      <c r="AC573" s="3" t="str">
        <f>HYPERLINK("https://knigipp.ru/api/getInfo/image/393f8752-2bb8-11ee-a23d-00155d82e902")</f>
        <v>https://knigipp.ru/api/getInfo/image/393f8752-2bb8-11ee-a23d-00155d82e902</v>
      </c>
      <c r="AD573" s="32">
        <v>128</v>
      </c>
      <c r="AE573" s="3" t="s">
        <v>481</v>
      </c>
      <c r="AF573" s="3" t="s">
        <v>127</v>
      </c>
      <c r="AG573" s="3"/>
      <c r="AH573" s="3" t="s">
        <v>56</v>
      </c>
      <c r="AI573" s="3"/>
      <c r="AJ573" s="3"/>
      <c r="AK573" s="3" t="str">
        <f>HYPERLINK("https://knigipp.ru/api/getInfo/item/393f8752-2bb8-11ee-a23d-00155d82e902")</f>
        <v>https://knigipp.ru/api/getInfo/item/393f8752-2bb8-11ee-a23d-00155d82e902</v>
      </c>
      <c r="AL573" s="3" t="s">
        <v>2553</v>
      </c>
    </row>
    <row r="574" spans="1:38" ht="21" customHeight="1" outlineLevel="5" x14ac:dyDescent="0.2">
      <c r="A574" s="2">
        <v>422</v>
      </c>
      <c r="B574" s="3" t="s">
        <v>2554</v>
      </c>
      <c r="C574" s="49" t="s">
        <v>2555</v>
      </c>
      <c r="D574" s="49"/>
      <c r="E574" s="49"/>
      <c r="F574" s="49"/>
      <c r="G574" s="4" t="s">
        <v>2556</v>
      </c>
      <c r="H574" s="8"/>
      <c r="I574" s="9" t="s">
        <v>2550</v>
      </c>
      <c r="J574" s="10"/>
      <c r="K574" s="11">
        <v>10</v>
      </c>
      <c r="L574" s="10"/>
      <c r="M574" s="10" t="s">
        <v>78</v>
      </c>
      <c r="N574" s="10"/>
      <c r="O574" s="2">
        <v>3</v>
      </c>
      <c r="P574" s="17">
        <f>239*(1-S3/100)</f>
        <v>239</v>
      </c>
      <c r="Q574" s="18"/>
      <c r="R574" s="10">
        <f>P574*Q574</f>
        <v>0</v>
      </c>
      <c r="S574" s="19">
        <f>0.287*Q574</f>
        <v>0</v>
      </c>
      <c r="T574" s="20">
        <f>0.00038*Q574</f>
        <v>0</v>
      </c>
      <c r="U574" s="21"/>
      <c r="V574" s="22" t="s">
        <v>2557</v>
      </c>
      <c r="W574" s="22" t="s">
        <v>191</v>
      </c>
      <c r="X574" s="3"/>
      <c r="Y574" s="3" t="s">
        <v>2558</v>
      </c>
      <c r="Z574" s="3" t="s">
        <v>52</v>
      </c>
      <c r="AA574" s="3"/>
      <c r="AB574" s="3"/>
      <c r="AC574" s="3" t="str">
        <f>HYPERLINK("https://knigipp.ru/api/getInfo/image/682b270a-2bb8-11ee-a23d-00155d82e902")</f>
        <v>https://knigipp.ru/api/getInfo/image/682b270a-2bb8-11ee-a23d-00155d82e902</v>
      </c>
      <c r="AD574" s="32">
        <v>128</v>
      </c>
      <c r="AE574" s="3" t="s">
        <v>481</v>
      </c>
      <c r="AF574" s="3" t="s">
        <v>127</v>
      </c>
      <c r="AG574" s="3"/>
      <c r="AH574" s="3" t="s">
        <v>56</v>
      </c>
      <c r="AI574" s="3"/>
      <c r="AJ574" s="3"/>
      <c r="AK574" s="3" t="str">
        <f>HYPERLINK("https://knigipp.ru/api/getInfo/item/682b270a-2bb8-11ee-a23d-00155d82e902")</f>
        <v>https://knigipp.ru/api/getInfo/item/682b270a-2bb8-11ee-a23d-00155d82e902</v>
      </c>
      <c r="AL574" s="3" t="s">
        <v>2553</v>
      </c>
    </row>
    <row r="575" spans="1:38" ht="23.1" customHeight="1" outlineLevel="4" x14ac:dyDescent="0.2">
      <c r="A575" s="55" t="s">
        <v>2559</v>
      </c>
      <c r="B575" s="55"/>
      <c r="C575" s="55"/>
      <c r="D575" s="55"/>
      <c r="E575" s="55"/>
      <c r="F575" s="55"/>
    </row>
    <row r="576" spans="1:38" ht="21" customHeight="1" outlineLevel="5" x14ac:dyDescent="0.2">
      <c r="A576" s="2">
        <v>423</v>
      </c>
      <c r="B576" s="3" t="s">
        <v>2560</v>
      </c>
      <c r="C576" s="49" t="s">
        <v>2561</v>
      </c>
      <c r="D576" s="49"/>
      <c r="E576" s="49"/>
      <c r="F576" s="49"/>
      <c r="G576" s="4" t="s">
        <v>2562</v>
      </c>
      <c r="H576" s="8"/>
      <c r="I576" s="9" t="s">
        <v>2563</v>
      </c>
      <c r="J576" s="10"/>
      <c r="K576" s="11">
        <v>10</v>
      </c>
      <c r="L576" s="10"/>
      <c r="M576" s="10" t="s">
        <v>304</v>
      </c>
      <c r="N576" s="10"/>
      <c r="O576" s="2">
        <v>2</v>
      </c>
      <c r="P576" s="17">
        <f>419*(1-S3/100)</f>
        <v>419</v>
      </c>
      <c r="Q576" s="18"/>
      <c r="R576" s="10">
        <f>P576*Q576</f>
        <v>0</v>
      </c>
      <c r="S576" s="28">
        <f>0.53*Q576</f>
        <v>0</v>
      </c>
      <c r="T576" s="20">
        <f>0.00109*Q576</f>
        <v>0</v>
      </c>
      <c r="U576" s="21"/>
      <c r="V576" s="22" t="s">
        <v>2564</v>
      </c>
      <c r="W576" s="22" t="s">
        <v>191</v>
      </c>
      <c r="X576" s="3"/>
      <c r="Y576" s="3"/>
      <c r="Z576" s="3" t="s">
        <v>52</v>
      </c>
      <c r="AA576" s="3"/>
      <c r="AB576" s="3"/>
      <c r="AC576" s="3" t="str">
        <f>HYPERLINK("https://knigipp.ru/api/getInfo/image/97dadfeb-777d-11eb-a273-ac1f6b442184")</f>
        <v>https://knigipp.ru/api/getInfo/image/97dadfeb-777d-11eb-a273-ac1f6b442184</v>
      </c>
      <c r="AD576" s="32">
        <v>128</v>
      </c>
      <c r="AE576" s="3"/>
      <c r="AF576" s="3" t="s">
        <v>127</v>
      </c>
      <c r="AG576" s="32">
        <v>150</v>
      </c>
      <c r="AH576" s="3" t="s">
        <v>56</v>
      </c>
      <c r="AI576" s="3"/>
      <c r="AJ576" s="3"/>
      <c r="AK576" s="3" t="str">
        <f>HYPERLINK("https://knigipp.ru/api/getInfo/item/97dadfeb-777d-11eb-a273-ac1f6b442184")</f>
        <v>https://knigipp.ru/api/getInfo/item/97dadfeb-777d-11eb-a273-ac1f6b442184</v>
      </c>
      <c r="AL576" s="3" t="s">
        <v>2565</v>
      </c>
    </row>
    <row r="577" spans="1:38" ht="21" customHeight="1" outlineLevel="5" x14ac:dyDescent="0.2">
      <c r="A577" s="2">
        <v>424</v>
      </c>
      <c r="B577" s="3" t="s">
        <v>2566</v>
      </c>
      <c r="C577" s="49" t="s">
        <v>2567</v>
      </c>
      <c r="D577" s="49"/>
      <c r="E577" s="49"/>
      <c r="F577" s="49"/>
      <c r="G577" s="4" t="s">
        <v>2568</v>
      </c>
      <c r="H577" s="8"/>
      <c r="I577" s="9" t="s">
        <v>2563</v>
      </c>
      <c r="J577" s="10"/>
      <c r="K577" s="11">
        <v>10</v>
      </c>
      <c r="L577" s="10"/>
      <c r="M577" s="10" t="s">
        <v>78</v>
      </c>
      <c r="N577" s="10"/>
      <c r="O577" s="2">
        <v>2</v>
      </c>
      <c r="P577" s="17">
        <f>419*(1-S3/100)</f>
        <v>419</v>
      </c>
      <c r="Q577" s="18"/>
      <c r="R577" s="10">
        <f>P577*Q577</f>
        <v>0</v>
      </c>
      <c r="S577" s="28">
        <f>0.53*Q577</f>
        <v>0</v>
      </c>
      <c r="T577" s="20">
        <f>0.00109*Q577</f>
        <v>0</v>
      </c>
      <c r="U577" s="21"/>
      <c r="V577" s="22" t="s">
        <v>2569</v>
      </c>
      <c r="W577" s="22" t="s">
        <v>191</v>
      </c>
      <c r="X577" s="3"/>
      <c r="Y577" s="3"/>
      <c r="Z577" s="3" t="s">
        <v>52</v>
      </c>
      <c r="AA577" s="3"/>
      <c r="AB577" s="3"/>
      <c r="AC577" s="3" t="str">
        <f>HYPERLINK("https://knigipp.ru/api/getInfo/image/ddc6bc7f-777d-11eb-a273-ac1f6b442184")</f>
        <v>https://knigipp.ru/api/getInfo/image/ddc6bc7f-777d-11eb-a273-ac1f6b442184</v>
      </c>
      <c r="AD577" s="32">
        <v>128</v>
      </c>
      <c r="AE577" s="3"/>
      <c r="AF577" s="3" t="s">
        <v>127</v>
      </c>
      <c r="AG577" s="32">
        <v>150</v>
      </c>
      <c r="AH577" s="3" t="s">
        <v>56</v>
      </c>
      <c r="AI577" s="3"/>
      <c r="AJ577" s="3"/>
      <c r="AK577" s="3" t="str">
        <f>HYPERLINK("https://knigipp.ru/api/getInfo/item/ddc6bc7f-777d-11eb-a273-ac1f6b442184")</f>
        <v>https://knigipp.ru/api/getInfo/item/ddc6bc7f-777d-11eb-a273-ac1f6b442184</v>
      </c>
      <c r="AL577" s="3" t="s">
        <v>2565</v>
      </c>
    </row>
    <row r="578" spans="1:38" ht="23.1" customHeight="1" outlineLevel="4" x14ac:dyDescent="0.2">
      <c r="A578" s="55" t="s">
        <v>2570</v>
      </c>
      <c r="B578" s="55"/>
      <c r="C578" s="55"/>
      <c r="D578" s="55"/>
      <c r="E578" s="55"/>
      <c r="F578" s="55"/>
    </row>
    <row r="579" spans="1:38" ht="21" customHeight="1" outlineLevel="5" x14ac:dyDescent="0.2">
      <c r="A579" s="2">
        <v>425</v>
      </c>
      <c r="B579" s="3" t="s">
        <v>2571</v>
      </c>
      <c r="C579" s="49" t="s">
        <v>2572</v>
      </c>
      <c r="D579" s="49"/>
      <c r="E579" s="49"/>
      <c r="F579" s="49"/>
      <c r="G579" s="4" t="s">
        <v>2573</v>
      </c>
      <c r="H579" s="8"/>
      <c r="I579" s="9" t="s">
        <v>2574</v>
      </c>
      <c r="J579" s="10"/>
      <c r="K579" s="11">
        <v>20</v>
      </c>
      <c r="L579" s="10"/>
      <c r="M579" s="10" t="s">
        <v>304</v>
      </c>
      <c r="N579" s="10"/>
      <c r="O579" s="2">
        <v>3</v>
      </c>
      <c r="P579" s="17">
        <f>213*(1-S3/100)</f>
        <v>213</v>
      </c>
      <c r="Q579" s="18"/>
      <c r="R579" s="10">
        <f>P579*Q579</f>
        <v>0</v>
      </c>
      <c r="S579" s="19">
        <f>0.288*Q579</f>
        <v>0</v>
      </c>
      <c r="T579" s="20">
        <f>0.00044*Q579</f>
        <v>0</v>
      </c>
      <c r="U579" s="21"/>
      <c r="V579" s="22" t="s">
        <v>2575</v>
      </c>
      <c r="W579" s="22" t="s">
        <v>191</v>
      </c>
      <c r="X579" s="3"/>
      <c r="Y579" s="3"/>
      <c r="Z579" s="3" t="s">
        <v>52</v>
      </c>
      <c r="AA579" s="3"/>
      <c r="AB579" s="3"/>
      <c r="AC579" s="3" t="str">
        <f>HYPERLINK("https://knigipp.ru/api/getInfo/image/a9c90dd3-962e-11ed-a22d-00155d82e902")</f>
        <v>https://knigipp.ru/api/getInfo/image/a9c90dd3-962e-11ed-a22d-00155d82e902</v>
      </c>
      <c r="AD579" s="32">
        <v>128</v>
      </c>
      <c r="AE579" s="3" t="s">
        <v>2372</v>
      </c>
      <c r="AF579" s="3" t="s">
        <v>127</v>
      </c>
      <c r="AG579" s="32">
        <v>120</v>
      </c>
      <c r="AH579" s="3" t="s">
        <v>56</v>
      </c>
      <c r="AI579" s="3"/>
      <c r="AJ579" s="3"/>
      <c r="AK579" s="3" t="str">
        <f>HYPERLINK("https://knigipp.ru/api/getInfo/item/a9c90dd3-962e-11ed-a22d-00155d82e902")</f>
        <v>https://knigipp.ru/api/getInfo/item/a9c90dd3-962e-11ed-a22d-00155d82e902</v>
      </c>
      <c r="AL579" s="3" t="s">
        <v>2576</v>
      </c>
    </row>
    <row r="580" spans="1:38" ht="23.1" customHeight="1" outlineLevel="4" x14ac:dyDescent="0.2">
      <c r="A580" s="55" t="s">
        <v>2577</v>
      </c>
      <c r="B580" s="55"/>
      <c r="C580" s="55"/>
      <c r="D580" s="55"/>
      <c r="E580" s="55"/>
      <c r="F580" s="55"/>
    </row>
    <row r="581" spans="1:38" ht="21" customHeight="1" outlineLevel="5" x14ac:dyDescent="0.2">
      <c r="A581" s="2">
        <v>426</v>
      </c>
      <c r="B581" s="3" t="s">
        <v>2578</v>
      </c>
      <c r="C581" s="49" t="s">
        <v>2579</v>
      </c>
      <c r="D581" s="49"/>
      <c r="E581" s="49"/>
      <c r="F581" s="49"/>
      <c r="G581" s="4" t="s">
        <v>2580</v>
      </c>
      <c r="H581" s="8"/>
      <c r="I581" s="9" t="s">
        <v>2581</v>
      </c>
      <c r="J581" s="10"/>
      <c r="K581" s="11">
        <v>10</v>
      </c>
      <c r="L581" s="10"/>
      <c r="M581" s="10" t="s">
        <v>47</v>
      </c>
      <c r="N581" s="10"/>
      <c r="O581" s="2">
        <v>3</v>
      </c>
      <c r="P581" s="17">
        <f>213*(1-S3/100)</f>
        <v>213</v>
      </c>
      <c r="Q581" s="18"/>
      <c r="R581" s="10">
        <f>P581*Q581</f>
        <v>0</v>
      </c>
      <c r="S581" s="19">
        <f>0.266*Q581</f>
        <v>0</v>
      </c>
      <c r="T581" s="20">
        <f>0.00038*Q581</f>
        <v>0</v>
      </c>
      <c r="U581" s="21"/>
      <c r="V581" s="22" t="s">
        <v>2582</v>
      </c>
      <c r="W581" s="22" t="s">
        <v>191</v>
      </c>
      <c r="X581" s="3"/>
      <c r="Y581" s="3"/>
      <c r="Z581" s="3" t="s">
        <v>52</v>
      </c>
      <c r="AA581" s="3"/>
      <c r="AB581" s="3"/>
      <c r="AC581" s="3" t="str">
        <f>HYPERLINK("https://knigipp.ru/api/getInfo/image/9e9ba57d-6972-11ed-a22a-00155d82e902")</f>
        <v>https://knigipp.ru/api/getInfo/image/9e9ba57d-6972-11ed-a22a-00155d82e902</v>
      </c>
      <c r="AD581" s="32">
        <v>128</v>
      </c>
      <c r="AE581" s="3" t="s">
        <v>2372</v>
      </c>
      <c r="AF581" s="3" t="s">
        <v>127</v>
      </c>
      <c r="AG581" s="32">
        <v>120</v>
      </c>
      <c r="AH581" s="3" t="s">
        <v>56</v>
      </c>
      <c r="AI581" s="3"/>
      <c r="AJ581" s="3"/>
      <c r="AK581" s="3" t="str">
        <f>HYPERLINK("https://knigipp.ru/api/getInfo/item/9e9ba57d-6972-11ed-a22a-00155d82e902")</f>
        <v>https://knigipp.ru/api/getInfo/item/9e9ba57d-6972-11ed-a22a-00155d82e902</v>
      </c>
      <c r="AL581" s="3" t="s">
        <v>2576</v>
      </c>
    </row>
    <row r="582" spans="1:38" ht="21" customHeight="1" outlineLevel="5" x14ac:dyDescent="0.2">
      <c r="A582" s="2">
        <v>427</v>
      </c>
      <c r="B582" s="3" t="s">
        <v>2583</v>
      </c>
      <c r="C582" s="49" t="s">
        <v>2584</v>
      </c>
      <c r="D582" s="49"/>
      <c r="E582" s="49"/>
      <c r="F582" s="49"/>
      <c r="G582" s="4" t="s">
        <v>2585</v>
      </c>
      <c r="H582" s="8"/>
      <c r="I582" s="9" t="s">
        <v>2581</v>
      </c>
      <c r="J582" s="10"/>
      <c r="K582" s="11">
        <v>10</v>
      </c>
      <c r="L582" s="10"/>
      <c r="M582" s="10" t="s">
        <v>47</v>
      </c>
      <c r="N582" s="10"/>
      <c r="O582" s="2">
        <v>3</v>
      </c>
      <c r="P582" s="17">
        <f>213*(1-S3/100)</f>
        <v>213</v>
      </c>
      <c r="Q582" s="18"/>
      <c r="R582" s="10">
        <f>P582*Q582</f>
        <v>0</v>
      </c>
      <c r="S582" s="19">
        <f>0.266*Q582</f>
        <v>0</v>
      </c>
      <c r="T582" s="20">
        <f>0.00038*Q582</f>
        <v>0</v>
      </c>
      <c r="U582" s="21"/>
      <c r="V582" s="22" t="s">
        <v>2586</v>
      </c>
      <c r="W582" s="22" t="s">
        <v>191</v>
      </c>
      <c r="X582" s="3"/>
      <c r="Y582" s="3"/>
      <c r="Z582" s="3" t="s">
        <v>52</v>
      </c>
      <c r="AA582" s="3"/>
      <c r="AB582" s="3"/>
      <c r="AC582" s="3" t="str">
        <f>HYPERLINK("https://knigipp.ru/api/getInfo/image/5a254a24-6972-11ed-a22a-00155d82e902")</f>
        <v>https://knigipp.ru/api/getInfo/image/5a254a24-6972-11ed-a22a-00155d82e902</v>
      </c>
      <c r="AD582" s="32">
        <v>128</v>
      </c>
      <c r="AE582" s="3" t="s">
        <v>2372</v>
      </c>
      <c r="AF582" s="3" t="s">
        <v>127</v>
      </c>
      <c r="AG582" s="32">
        <v>120</v>
      </c>
      <c r="AH582" s="3" t="s">
        <v>56</v>
      </c>
      <c r="AI582" s="3"/>
      <c r="AJ582" s="3"/>
      <c r="AK582" s="3" t="str">
        <f>HYPERLINK("https://knigipp.ru/api/getInfo/item/5a254a24-6972-11ed-a22a-00155d82e902")</f>
        <v>https://knigipp.ru/api/getInfo/item/5a254a24-6972-11ed-a22a-00155d82e902</v>
      </c>
      <c r="AL582" s="3" t="s">
        <v>2576</v>
      </c>
    </row>
    <row r="583" spans="1:38" ht="21" customHeight="1" outlineLevel="5" x14ac:dyDescent="0.2">
      <c r="A583" s="2">
        <v>428</v>
      </c>
      <c r="B583" s="3" t="s">
        <v>2587</v>
      </c>
      <c r="C583" s="49" t="s">
        <v>2588</v>
      </c>
      <c r="D583" s="49"/>
      <c r="E583" s="49"/>
      <c r="F583" s="49"/>
      <c r="G583" s="4" t="s">
        <v>2589</v>
      </c>
      <c r="H583" s="8"/>
      <c r="I583" s="9" t="s">
        <v>2581</v>
      </c>
      <c r="J583" s="10"/>
      <c r="K583" s="11">
        <v>10</v>
      </c>
      <c r="L583" s="10"/>
      <c r="M583" s="10" t="s">
        <v>47</v>
      </c>
      <c r="N583" s="10"/>
      <c r="O583" s="2">
        <v>3</v>
      </c>
      <c r="P583" s="17">
        <f>213*(1-S3/100)</f>
        <v>213</v>
      </c>
      <c r="Q583" s="18"/>
      <c r="R583" s="10">
        <f>P583*Q583</f>
        <v>0</v>
      </c>
      <c r="S583" s="19">
        <f>0.266*Q583</f>
        <v>0</v>
      </c>
      <c r="T583" s="20">
        <f>0.00038*Q583</f>
        <v>0</v>
      </c>
      <c r="U583" s="21"/>
      <c r="V583" s="22" t="s">
        <v>2590</v>
      </c>
      <c r="W583" s="22" t="s">
        <v>191</v>
      </c>
      <c r="X583" s="3"/>
      <c r="Y583" s="3"/>
      <c r="Z583" s="3" t="s">
        <v>52</v>
      </c>
      <c r="AA583" s="3"/>
      <c r="AB583" s="3"/>
      <c r="AC583" s="3" t="str">
        <f>HYPERLINK("https://knigipp.ru/api/getInfo/image/cae6ebb0-6972-11ed-a22a-00155d82e902")</f>
        <v>https://knigipp.ru/api/getInfo/image/cae6ebb0-6972-11ed-a22a-00155d82e902</v>
      </c>
      <c r="AD583" s="32">
        <v>128</v>
      </c>
      <c r="AE583" s="3" t="s">
        <v>2372</v>
      </c>
      <c r="AF583" s="3" t="s">
        <v>127</v>
      </c>
      <c r="AG583" s="32">
        <v>120</v>
      </c>
      <c r="AH583" s="3" t="s">
        <v>56</v>
      </c>
      <c r="AI583" s="3"/>
      <c r="AJ583" s="3"/>
      <c r="AK583" s="3" t="str">
        <f>HYPERLINK("https://knigipp.ru/api/getInfo/item/cae6ebb0-6972-11ed-a22a-00155d82e902")</f>
        <v>https://knigipp.ru/api/getInfo/item/cae6ebb0-6972-11ed-a22a-00155d82e902</v>
      </c>
      <c r="AL583" s="3" t="s">
        <v>2576</v>
      </c>
    </row>
    <row r="584" spans="1:38" ht="23.1" customHeight="1" outlineLevel="4" x14ac:dyDescent="0.2">
      <c r="A584" s="55" t="s">
        <v>2591</v>
      </c>
      <c r="B584" s="55"/>
      <c r="C584" s="55"/>
      <c r="D584" s="55"/>
      <c r="E584" s="55"/>
      <c r="F584" s="55"/>
    </row>
    <row r="585" spans="1:38" ht="21" customHeight="1" outlineLevel="5" x14ac:dyDescent="0.2">
      <c r="A585" s="2">
        <v>429</v>
      </c>
      <c r="B585" s="3" t="s">
        <v>2592</v>
      </c>
      <c r="C585" s="49" t="s">
        <v>2593</v>
      </c>
      <c r="D585" s="49"/>
      <c r="E585" s="49"/>
      <c r="F585" s="49"/>
      <c r="G585" s="4" t="s">
        <v>2594</v>
      </c>
      <c r="H585" s="8"/>
      <c r="I585" s="9" t="s">
        <v>2595</v>
      </c>
      <c r="J585" s="10"/>
      <c r="K585" s="11">
        <v>10</v>
      </c>
      <c r="L585" s="10"/>
      <c r="M585" s="10" t="s">
        <v>47</v>
      </c>
      <c r="N585" s="10"/>
      <c r="O585" s="2">
        <v>3</v>
      </c>
      <c r="P585" s="17">
        <f>209*(1-S3/100)</f>
        <v>209</v>
      </c>
      <c r="Q585" s="18"/>
      <c r="R585" s="10">
        <f>P585*Q585</f>
        <v>0</v>
      </c>
      <c r="S585" s="28">
        <f>0.37*Q585</f>
        <v>0</v>
      </c>
      <c r="T585" s="20">
        <f>0.00056*Q585</f>
        <v>0</v>
      </c>
      <c r="U585" s="21"/>
      <c r="V585" s="22" t="s">
        <v>2596</v>
      </c>
      <c r="W585" s="22" t="s">
        <v>191</v>
      </c>
      <c r="X585" s="3"/>
      <c r="Y585" s="3"/>
      <c r="Z585" s="3" t="s">
        <v>52</v>
      </c>
      <c r="AA585" s="3"/>
      <c r="AB585" s="3"/>
      <c r="AC585" s="3" t="str">
        <f>HYPERLINK("https://knigipp.ru/api/getInfo/image/67a75204-4864-11ed-a216-ac1f6b442185")</f>
        <v>https://knigipp.ru/api/getInfo/image/67a75204-4864-11ed-a216-ac1f6b442185</v>
      </c>
      <c r="AD585" s="32">
        <v>128</v>
      </c>
      <c r="AE585" s="3"/>
      <c r="AF585" s="3" t="s">
        <v>127</v>
      </c>
      <c r="AG585" s="32">
        <v>90</v>
      </c>
      <c r="AH585" s="3" t="s">
        <v>56</v>
      </c>
      <c r="AI585" s="3"/>
      <c r="AJ585" s="3"/>
      <c r="AK585" s="3" t="str">
        <f>HYPERLINK("https://knigipp.ru/api/getInfo/item/67a75204-4864-11ed-a216-ac1f6b442185")</f>
        <v>https://knigipp.ru/api/getInfo/item/67a75204-4864-11ed-a216-ac1f6b442185</v>
      </c>
      <c r="AL585" s="3" t="s">
        <v>2597</v>
      </c>
    </row>
    <row r="586" spans="1:38" ht="21" customHeight="1" outlineLevel="5" x14ac:dyDescent="0.2">
      <c r="A586" s="2">
        <v>430</v>
      </c>
      <c r="B586" s="3" t="s">
        <v>2598</v>
      </c>
      <c r="C586" s="49" t="s">
        <v>2599</v>
      </c>
      <c r="D586" s="49"/>
      <c r="E586" s="49"/>
      <c r="F586" s="49"/>
      <c r="G586" s="4" t="s">
        <v>2600</v>
      </c>
      <c r="H586" s="8"/>
      <c r="I586" s="9" t="s">
        <v>2595</v>
      </c>
      <c r="J586" s="10"/>
      <c r="K586" s="11">
        <v>10</v>
      </c>
      <c r="L586" s="10"/>
      <c r="M586" s="10" t="s">
        <v>47</v>
      </c>
      <c r="N586" s="10"/>
      <c r="O586" s="2">
        <v>3</v>
      </c>
      <c r="P586" s="17">
        <f>209*(1-S3/100)</f>
        <v>209</v>
      </c>
      <c r="Q586" s="18"/>
      <c r="R586" s="10">
        <f>P586*Q586</f>
        <v>0</v>
      </c>
      <c r="S586" s="28">
        <f>0.37*Q586</f>
        <v>0</v>
      </c>
      <c r="T586" s="20">
        <f>0.00078*Q586</f>
        <v>0</v>
      </c>
      <c r="U586" s="21"/>
      <c r="V586" s="22" t="s">
        <v>2601</v>
      </c>
      <c r="W586" s="22" t="s">
        <v>191</v>
      </c>
      <c r="X586" s="3"/>
      <c r="Y586" s="3"/>
      <c r="Z586" s="3" t="s">
        <v>52</v>
      </c>
      <c r="AA586" s="3"/>
      <c r="AB586" s="3"/>
      <c r="AC586" s="3" t="str">
        <f>HYPERLINK("https://knigipp.ru/api/getInfo/image/4035604b-a382-11ed-a22f-00155d82e902")</f>
        <v>https://knigipp.ru/api/getInfo/image/4035604b-a382-11ed-a22f-00155d82e902</v>
      </c>
      <c r="AD586" s="32">
        <v>128</v>
      </c>
      <c r="AE586" s="3" t="s">
        <v>2372</v>
      </c>
      <c r="AF586" s="3" t="s">
        <v>127</v>
      </c>
      <c r="AG586" s="32">
        <v>90</v>
      </c>
      <c r="AH586" s="3" t="s">
        <v>56</v>
      </c>
      <c r="AI586" s="3"/>
      <c r="AJ586" s="3"/>
      <c r="AK586" s="3" t="str">
        <f>HYPERLINK("https://knigipp.ru/api/getInfo/item/4035604b-a382-11ed-a22f-00155d82e902")</f>
        <v>https://knigipp.ru/api/getInfo/item/4035604b-a382-11ed-a22f-00155d82e902</v>
      </c>
      <c r="AL586" s="3" t="s">
        <v>2597</v>
      </c>
    </row>
    <row r="587" spans="1:38" ht="21" customHeight="1" outlineLevel="5" x14ac:dyDescent="0.2">
      <c r="A587" s="2">
        <v>431</v>
      </c>
      <c r="B587" s="3" t="s">
        <v>2602</v>
      </c>
      <c r="C587" s="49" t="s">
        <v>2603</v>
      </c>
      <c r="D587" s="49"/>
      <c r="E587" s="49"/>
      <c r="F587" s="49"/>
      <c r="G587" s="4" t="s">
        <v>2604</v>
      </c>
      <c r="H587" s="8"/>
      <c r="I587" s="9" t="s">
        <v>2595</v>
      </c>
      <c r="J587" s="10"/>
      <c r="K587" s="11">
        <v>10</v>
      </c>
      <c r="L587" s="10"/>
      <c r="M587" s="10" t="s">
        <v>47</v>
      </c>
      <c r="N587" s="10"/>
      <c r="O587" s="2">
        <v>3</v>
      </c>
      <c r="P587" s="17">
        <f>209*(1-S3/100)</f>
        <v>209</v>
      </c>
      <c r="Q587" s="18"/>
      <c r="R587" s="10">
        <f>P587*Q587</f>
        <v>0</v>
      </c>
      <c r="S587" s="28">
        <f>0.37*Q587</f>
        <v>0</v>
      </c>
      <c r="T587" s="20">
        <f>0.00056*Q587</f>
        <v>0</v>
      </c>
      <c r="U587" s="21"/>
      <c r="V587" s="22" t="s">
        <v>2605</v>
      </c>
      <c r="W587" s="22" t="s">
        <v>191</v>
      </c>
      <c r="X587" s="3"/>
      <c r="Y587" s="3"/>
      <c r="Z587" s="3" t="s">
        <v>52</v>
      </c>
      <c r="AA587" s="3"/>
      <c r="AB587" s="3"/>
      <c r="AC587" s="3" t="str">
        <f>HYPERLINK("https://knigipp.ru/api/getInfo/image/d10a05e7-a382-11ed-a22f-00155d82e902")</f>
        <v>https://knigipp.ru/api/getInfo/image/d10a05e7-a382-11ed-a22f-00155d82e902</v>
      </c>
      <c r="AD587" s="32">
        <v>128</v>
      </c>
      <c r="AE587" s="3" t="s">
        <v>2372</v>
      </c>
      <c r="AF587" s="3" t="s">
        <v>127</v>
      </c>
      <c r="AG587" s="32">
        <v>90</v>
      </c>
      <c r="AH587" s="3" t="s">
        <v>56</v>
      </c>
      <c r="AI587" s="3"/>
      <c r="AJ587" s="3"/>
      <c r="AK587" s="3" t="str">
        <f>HYPERLINK("https://knigipp.ru/api/getInfo/item/d10a05e7-a382-11ed-a22f-00155d82e902")</f>
        <v>https://knigipp.ru/api/getInfo/item/d10a05e7-a382-11ed-a22f-00155d82e902</v>
      </c>
      <c r="AL587" s="3" t="s">
        <v>2597</v>
      </c>
    </row>
    <row r="588" spans="1:38" ht="23.1" customHeight="1" outlineLevel="4" x14ac:dyDescent="0.2">
      <c r="A588" s="55" t="s">
        <v>2606</v>
      </c>
      <c r="B588" s="55"/>
      <c r="C588" s="55"/>
      <c r="D588" s="55"/>
      <c r="E588" s="55"/>
      <c r="F588" s="55"/>
    </row>
    <row r="589" spans="1:38" ht="21" customHeight="1" outlineLevel="5" x14ac:dyDescent="0.2">
      <c r="A589" s="2">
        <v>432</v>
      </c>
      <c r="B589" s="3" t="s">
        <v>2607</v>
      </c>
      <c r="C589" s="49" t="s">
        <v>2608</v>
      </c>
      <c r="D589" s="49"/>
      <c r="E589" s="49"/>
      <c r="F589" s="49"/>
      <c r="G589" s="4" t="s">
        <v>2609</v>
      </c>
      <c r="H589" s="8"/>
      <c r="I589" s="9" t="s">
        <v>2610</v>
      </c>
      <c r="J589" s="10"/>
      <c r="K589" s="11">
        <v>20</v>
      </c>
      <c r="L589" s="10"/>
      <c r="M589" s="10" t="s">
        <v>47</v>
      </c>
      <c r="N589" s="10"/>
      <c r="O589" s="2">
        <v>3</v>
      </c>
      <c r="P589" s="17">
        <f>199*(1-S3/100)</f>
        <v>199</v>
      </c>
      <c r="Q589" s="18"/>
      <c r="R589" s="10">
        <f>P589*Q589</f>
        <v>0</v>
      </c>
      <c r="S589" s="19">
        <f>0.189*Q589</f>
        <v>0</v>
      </c>
      <c r="T589" s="20">
        <f>0.00029*Q589</f>
        <v>0</v>
      </c>
      <c r="U589" s="21"/>
      <c r="V589" s="22" t="s">
        <v>2611</v>
      </c>
      <c r="W589" s="22" t="s">
        <v>191</v>
      </c>
      <c r="X589" s="3"/>
      <c r="Y589" s="3"/>
      <c r="Z589" s="3" t="s">
        <v>52</v>
      </c>
      <c r="AA589" s="3"/>
      <c r="AB589" s="3"/>
      <c r="AC589" s="3" t="str">
        <f>HYPERLINK("https://knigipp.ru/api/getInfo/image/212fc294-4548-11ed-a216-ac1f6b442185")</f>
        <v>https://knigipp.ru/api/getInfo/image/212fc294-4548-11ed-a216-ac1f6b442185</v>
      </c>
      <c r="AD589" s="32">
        <v>80</v>
      </c>
      <c r="AE589" s="3" t="s">
        <v>355</v>
      </c>
      <c r="AF589" s="3" t="s">
        <v>127</v>
      </c>
      <c r="AG589" s="32">
        <v>120</v>
      </c>
      <c r="AH589" s="3" t="s">
        <v>56</v>
      </c>
      <c r="AI589" s="3"/>
      <c r="AJ589" s="3"/>
      <c r="AK589" s="3" t="str">
        <f>HYPERLINK("https://knigipp.ru/api/getInfo/item/212fc294-4548-11ed-a216-ac1f6b442185")</f>
        <v>https://knigipp.ru/api/getInfo/item/212fc294-4548-11ed-a216-ac1f6b442185</v>
      </c>
      <c r="AL589" s="3" t="s">
        <v>2612</v>
      </c>
    </row>
    <row r="590" spans="1:38" ht="21" customHeight="1" outlineLevel="5" x14ac:dyDescent="0.2">
      <c r="A590" s="2">
        <v>433</v>
      </c>
      <c r="B590" s="3" t="s">
        <v>2613</v>
      </c>
      <c r="C590" s="49" t="s">
        <v>2614</v>
      </c>
      <c r="D590" s="49"/>
      <c r="E590" s="49"/>
      <c r="F590" s="49"/>
      <c r="G590" s="4" t="s">
        <v>2615</v>
      </c>
      <c r="H590" s="8"/>
      <c r="I590" s="9" t="s">
        <v>2610</v>
      </c>
      <c r="J590" s="10"/>
      <c r="K590" s="11">
        <v>20</v>
      </c>
      <c r="L590" s="10"/>
      <c r="M590" s="10" t="s">
        <v>78</v>
      </c>
      <c r="N590" s="10"/>
      <c r="O590" s="2">
        <v>3</v>
      </c>
      <c r="P590" s="17">
        <f>199*(1-S3/100)</f>
        <v>199</v>
      </c>
      <c r="Q590" s="18"/>
      <c r="R590" s="10">
        <f>P590*Q590</f>
        <v>0</v>
      </c>
      <c r="S590" s="19">
        <f>0.192*Q590</f>
        <v>0</v>
      </c>
      <c r="T590" s="20">
        <f>0.00032*Q590</f>
        <v>0</v>
      </c>
      <c r="U590" s="21"/>
      <c r="V590" s="22" t="s">
        <v>2616</v>
      </c>
      <c r="W590" s="22" t="s">
        <v>191</v>
      </c>
      <c r="X590" s="3"/>
      <c r="Y590" s="3"/>
      <c r="Z590" s="3" t="s">
        <v>52</v>
      </c>
      <c r="AA590" s="3"/>
      <c r="AB590" s="3"/>
      <c r="AC590" s="3" t="str">
        <f>HYPERLINK("https://knigipp.ru/api/getInfo/image/d4cf3cea-4548-11ed-a216-ac1f6b442185")</f>
        <v>https://knigipp.ru/api/getInfo/image/d4cf3cea-4548-11ed-a216-ac1f6b442185</v>
      </c>
      <c r="AD590" s="32">
        <v>80</v>
      </c>
      <c r="AE590" s="3" t="s">
        <v>355</v>
      </c>
      <c r="AF590" s="3" t="s">
        <v>127</v>
      </c>
      <c r="AG590" s="32">
        <v>120</v>
      </c>
      <c r="AH590" s="3" t="s">
        <v>56</v>
      </c>
      <c r="AI590" s="3"/>
      <c r="AJ590" s="3"/>
      <c r="AK590" s="3" t="str">
        <f>HYPERLINK("https://knigipp.ru/api/getInfo/item/d4cf3cea-4548-11ed-a216-ac1f6b442185")</f>
        <v>https://knigipp.ru/api/getInfo/item/d4cf3cea-4548-11ed-a216-ac1f6b442185</v>
      </c>
      <c r="AL590" s="3" t="s">
        <v>2612</v>
      </c>
    </row>
    <row r="591" spans="1:38" ht="23.1" customHeight="1" outlineLevel="3" x14ac:dyDescent="0.2">
      <c r="A591" s="48" t="s">
        <v>2617</v>
      </c>
      <c r="B591" s="48"/>
      <c r="C591" s="48"/>
      <c r="D591" s="48"/>
      <c r="E591" s="48"/>
      <c r="F591" s="48"/>
    </row>
    <row r="592" spans="1:38" ht="21" customHeight="1" outlineLevel="4" x14ac:dyDescent="0.2">
      <c r="A592" s="2">
        <v>434</v>
      </c>
      <c r="B592" s="3" t="s">
        <v>2618</v>
      </c>
      <c r="C592" s="49" t="s">
        <v>2619</v>
      </c>
      <c r="D592" s="49"/>
      <c r="E592" s="49"/>
      <c r="F592" s="49"/>
      <c r="G592" s="4" t="s">
        <v>2620</v>
      </c>
      <c r="H592" s="8"/>
      <c r="I592" s="9" t="s">
        <v>2621</v>
      </c>
      <c r="J592" s="10"/>
      <c r="K592" s="11">
        <v>8</v>
      </c>
      <c r="L592" s="10"/>
      <c r="M592" s="10" t="s">
        <v>47</v>
      </c>
      <c r="N592" s="10"/>
      <c r="O592" s="2">
        <v>2</v>
      </c>
      <c r="P592" s="17">
        <f>399*(1-S3/100)</f>
        <v>399</v>
      </c>
      <c r="Q592" s="18"/>
      <c r="R592" s="10">
        <f t="shared" ref="R592:R600" si="25">P592*Q592</f>
        <v>0</v>
      </c>
      <c r="S592" s="19">
        <f>0.631*Q592</f>
        <v>0</v>
      </c>
      <c r="T592" s="30">
        <f>0.0011*Q592</f>
        <v>0</v>
      </c>
      <c r="U592" s="21"/>
      <c r="V592" s="22" t="s">
        <v>2622</v>
      </c>
      <c r="W592" s="22" t="s">
        <v>191</v>
      </c>
      <c r="X592" s="3"/>
      <c r="Y592" s="3" t="s">
        <v>2623</v>
      </c>
      <c r="Z592" s="3" t="s">
        <v>52</v>
      </c>
      <c r="AA592" s="3"/>
      <c r="AB592" s="3"/>
      <c r="AC592" s="3" t="str">
        <f>HYPERLINK("https://knigipp.ru/api/getInfo/image/910e4b95-9280-11ed-a22c-00155d82e902")</f>
        <v>https://knigipp.ru/api/getInfo/image/910e4b95-9280-11ed-a22c-00155d82e902</v>
      </c>
      <c r="AD592" s="32">
        <v>128</v>
      </c>
      <c r="AE592" s="3" t="s">
        <v>355</v>
      </c>
      <c r="AF592" s="3" t="s">
        <v>127</v>
      </c>
      <c r="AG592" s="32">
        <v>120</v>
      </c>
      <c r="AH592" s="3" t="s">
        <v>56</v>
      </c>
      <c r="AI592" s="3"/>
      <c r="AJ592" s="3"/>
      <c r="AK592" s="3" t="str">
        <f>HYPERLINK("https://knigipp.ru/api/getInfo/item/910e4b95-9280-11ed-a22c-00155d82e902")</f>
        <v>https://knigipp.ru/api/getInfo/item/910e4b95-9280-11ed-a22c-00155d82e902</v>
      </c>
      <c r="AL592" s="3" t="s">
        <v>2624</v>
      </c>
    </row>
    <row r="593" spans="1:38" ht="21" customHeight="1" outlineLevel="4" x14ac:dyDescent="0.2">
      <c r="A593" s="2">
        <v>435</v>
      </c>
      <c r="B593" s="3" t="s">
        <v>2625</v>
      </c>
      <c r="C593" s="49" t="s">
        <v>2626</v>
      </c>
      <c r="D593" s="49"/>
      <c r="E593" s="49"/>
      <c r="F593" s="49"/>
      <c r="G593" s="4" t="s">
        <v>2627</v>
      </c>
      <c r="H593" s="8"/>
      <c r="I593" s="9" t="s">
        <v>2621</v>
      </c>
      <c r="J593" s="10"/>
      <c r="K593" s="11">
        <v>8</v>
      </c>
      <c r="L593" s="10"/>
      <c r="M593" s="10" t="s">
        <v>47</v>
      </c>
      <c r="N593" s="10"/>
      <c r="O593" s="2">
        <v>2</v>
      </c>
      <c r="P593" s="17">
        <f>399*(1-S3/100)</f>
        <v>399</v>
      </c>
      <c r="Q593" s="18"/>
      <c r="R593" s="10">
        <f t="shared" si="25"/>
        <v>0</v>
      </c>
      <c r="S593" s="19">
        <f>0.639*Q593</f>
        <v>0</v>
      </c>
      <c r="T593" s="30">
        <f>0.0011*Q593</f>
        <v>0</v>
      </c>
      <c r="U593" s="21"/>
      <c r="V593" s="22" t="s">
        <v>2628</v>
      </c>
      <c r="W593" s="22" t="s">
        <v>191</v>
      </c>
      <c r="X593" s="3"/>
      <c r="Y593" s="3" t="s">
        <v>2629</v>
      </c>
      <c r="Z593" s="3" t="s">
        <v>52</v>
      </c>
      <c r="AA593" s="3"/>
      <c r="AB593" s="3"/>
      <c r="AC593" s="3" t="str">
        <f>HYPERLINK("https://knigipp.ru/api/getInfo/image/8c01788f-e8ba-11ed-a233-00155d82e902")</f>
        <v>https://knigipp.ru/api/getInfo/image/8c01788f-e8ba-11ed-a233-00155d82e902</v>
      </c>
      <c r="AD593" s="32">
        <v>128</v>
      </c>
      <c r="AE593" s="3" t="s">
        <v>481</v>
      </c>
      <c r="AF593" s="3" t="s">
        <v>127</v>
      </c>
      <c r="AG593" s="32">
        <v>120</v>
      </c>
      <c r="AH593" s="3" t="s">
        <v>56</v>
      </c>
      <c r="AI593" s="3"/>
      <c r="AJ593" s="3"/>
      <c r="AK593" s="3" t="str">
        <f>HYPERLINK("https://knigipp.ru/api/getInfo/item/8c01788f-e8ba-11ed-a233-00155d82e902")</f>
        <v>https://knigipp.ru/api/getInfo/item/8c01788f-e8ba-11ed-a233-00155d82e902</v>
      </c>
      <c r="AL593" s="3" t="s">
        <v>2630</v>
      </c>
    </row>
    <row r="594" spans="1:38" ht="21" customHeight="1" outlineLevel="4" x14ac:dyDescent="0.2">
      <c r="A594" s="2">
        <v>436</v>
      </c>
      <c r="B594" s="3" t="s">
        <v>2631</v>
      </c>
      <c r="C594" s="49" t="s">
        <v>2632</v>
      </c>
      <c r="D594" s="49"/>
      <c r="E594" s="49"/>
      <c r="F594" s="49"/>
      <c r="G594" s="4" t="s">
        <v>2633</v>
      </c>
      <c r="H594" s="8"/>
      <c r="I594" s="9" t="s">
        <v>2634</v>
      </c>
      <c r="J594" s="10"/>
      <c r="K594" s="11">
        <v>8</v>
      </c>
      <c r="L594" s="10"/>
      <c r="M594" s="10" t="s">
        <v>47</v>
      </c>
      <c r="N594" s="10"/>
      <c r="O594" s="2">
        <v>2</v>
      </c>
      <c r="P594" s="17">
        <f>399*(1-S3/100)</f>
        <v>399</v>
      </c>
      <c r="Q594" s="18"/>
      <c r="R594" s="10">
        <f t="shared" si="25"/>
        <v>0</v>
      </c>
      <c r="S594" s="19">
        <f>0.639*Q594</f>
        <v>0</v>
      </c>
      <c r="T594" s="20">
        <f>0.00127*Q594</f>
        <v>0</v>
      </c>
      <c r="U594" s="21"/>
      <c r="V594" s="22" t="s">
        <v>2635</v>
      </c>
      <c r="W594" s="22" t="s">
        <v>191</v>
      </c>
      <c r="X594" s="3"/>
      <c r="Y594" s="3" t="s">
        <v>2636</v>
      </c>
      <c r="Z594" s="3" t="s">
        <v>52</v>
      </c>
      <c r="AA594" s="3"/>
      <c r="AB594" s="3"/>
      <c r="AC594" s="3" t="str">
        <f>HYPERLINK("https://knigipp.ru/api/getInfo/image/c992e242-7f7c-11ec-a211-ac1f6b442185")</f>
        <v>https://knigipp.ru/api/getInfo/image/c992e242-7f7c-11ec-a211-ac1f6b442185</v>
      </c>
      <c r="AD594" s="32">
        <v>128</v>
      </c>
      <c r="AE594" s="3"/>
      <c r="AF594" s="3" t="s">
        <v>127</v>
      </c>
      <c r="AG594" s="32">
        <v>120</v>
      </c>
      <c r="AH594" s="3" t="s">
        <v>56</v>
      </c>
      <c r="AI594" s="3"/>
      <c r="AJ594" s="3"/>
      <c r="AK594" s="3" t="str">
        <f>HYPERLINK("https://knigipp.ru/api/getInfo/item/c992e242-7f7c-11ec-a211-ac1f6b442185")</f>
        <v>https://knigipp.ru/api/getInfo/item/c992e242-7f7c-11ec-a211-ac1f6b442185</v>
      </c>
      <c r="AL594" s="3" t="s">
        <v>2624</v>
      </c>
    </row>
    <row r="595" spans="1:38" ht="21" customHeight="1" outlineLevel="4" x14ac:dyDescent="0.2">
      <c r="A595" s="2">
        <v>437</v>
      </c>
      <c r="B595" s="3" t="s">
        <v>2637</v>
      </c>
      <c r="C595" s="49" t="s">
        <v>2638</v>
      </c>
      <c r="D595" s="49"/>
      <c r="E595" s="49"/>
      <c r="F595" s="49"/>
      <c r="G595" s="4" t="s">
        <v>2639</v>
      </c>
      <c r="H595" s="8"/>
      <c r="I595" s="9" t="s">
        <v>2634</v>
      </c>
      <c r="J595" s="10"/>
      <c r="K595" s="11">
        <v>8</v>
      </c>
      <c r="L595" s="10"/>
      <c r="M595" s="10" t="s">
        <v>47</v>
      </c>
      <c r="N595" s="10"/>
      <c r="O595" s="2">
        <v>2</v>
      </c>
      <c r="P595" s="17">
        <f>399*(1-S3/100)</f>
        <v>399</v>
      </c>
      <c r="Q595" s="18"/>
      <c r="R595" s="10">
        <f t="shared" si="25"/>
        <v>0</v>
      </c>
      <c r="S595" s="19">
        <f>0.636*Q595</f>
        <v>0</v>
      </c>
      <c r="T595" s="20">
        <f>0.00107*Q595</f>
        <v>0</v>
      </c>
      <c r="U595" s="21"/>
      <c r="V595" s="22" t="s">
        <v>2640</v>
      </c>
      <c r="W595" s="22" t="s">
        <v>191</v>
      </c>
      <c r="X595" s="3"/>
      <c r="Y595" s="3" t="s">
        <v>2641</v>
      </c>
      <c r="Z595" s="3" t="s">
        <v>52</v>
      </c>
      <c r="AA595" s="3"/>
      <c r="AB595" s="3"/>
      <c r="AC595" s="3" t="str">
        <f>HYPERLINK("https://knigipp.ru/api/getInfo/image/42ff16df-3bb0-11eb-a25e-ac1f6b442184")</f>
        <v>https://knigipp.ru/api/getInfo/image/42ff16df-3bb0-11eb-a25e-ac1f6b442184</v>
      </c>
      <c r="AD595" s="32">
        <v>128</v>
      </c>
      <c r="AE595" s="3"/>
      <c r="AF595" s="3" t="s">
        <v>127</v>
      </c>
      <c r="AG595" s="32">
        <v>120</v>
      </c>
      <c r="AH595" s="3" t="s">
        <v>56</v>
      </c>
      <c r="AI595" s="3"/>
      <c r="AJ595" s="3"/>
      <c r="AK595" s="3" t="str">
        <f>HYPERLINK("https://knigipp.ru/api/getInfo/item/42ff16df-3bb0-11eb-a25e-ac1f6b442184")</f>
        <v>https://knigipp.ru/api/getInfo/item/42ff16df-3bb0-11eb-a25e-ac1f6b442184</v>
      </c>
      <c r="AL595" s="3" t="s">
        <v>2624</v>
      </c>
    </row>
    <row r="596" spans="1:38" ht="21" customHeight="1" outlineLevel="4" x14ac:dyDescent="0.2">
      <c r="A596" s="2">
        <v>438</v>
      </c>
      <c r="B596" s="3" t="s">
        <v>2642</v>
      </c>
      <c r="C596" s="49" t="s">
        <v>2643</v>
      </c>
      <c r="D596" s="49"/>
      <c r="E596" s="49"/>
      <c r="F596" s="49"/>
      <c r="G596" s="4" t="s">
        <v>2644</v>
      </c>
      <c r="H596" s="8"/>
      <c r="I596" s="9" t="s">
        <v>2634</v>
      </c>
      <c r="J596" s="10"/>
      <c r="K596" s="11">
        <v>8</v>
      </c>
      <c r="L596" s="10"/>
      <c r="M596" s="10" t="s">
        <v>47</v>
      </c>
      <c r="N596" s="10"/>
      <c r="O596" s="2">
        <v>2</v>
      </c>
      <c r="P596" s="17">
        <f>399*(1-S3/100)</f>
        <v>399</v>
      </c>
      <c r="Q596" s="18"/>
      <c r="R596" s="10">
        <f t="shared" si="25"/>
        <v>0</v>
      </c>
      <c r="S596" s="19">
        <f>0.639*Q596</f>
        <v>0</v>
      </c>
      <c r="T596" s="30">
        <f>0.0011*Q596</f>
        <v>0</v>
      </c>
      <c r="U596" s="21"/>
      <c r="V596" s="22" t="s">
        <v>2645</v>
      </c>
      <c r="W596" s="22" t="s">
        <v>191</v>
      </c>
      <c r="X596" s="3"/>
      <c r="Y596" s="3" t="s">
        <v>2646</v>
      </c>
      <c r="Z596" s="3" t="s">
        <v>52</v>
      </c>
      <c r="AA596" s="3"/>
      <c r="AB596" s="3"/>
      <c r="AC596" s="3" t="str">
        <f>HYPERLINK("https://knigipp.ru/api/getInfo/image/3df1a1a6-081e-11ed-a215-ac1f6b442185")</f>
        <v>https://knigipp.ru/api/getInfo/image/3df1a1a6-081e-11ed-a215-ac1f6b442185</v>
      </c>
      <c r="AD596" s="32">
        <v>128</v>
      </c>
      <c r="AE596" s="3" t="s">
        <v>355</v>
      </c>
      <c r="AF596" s="3" t="s">
        <v>127</v>
      </c>
      <c r="AG596" s="32">
        <v>120</v>
      </c>
      <c r="AH596" s="3" t="s">
        <v>56</v>
      </c>
      <c r="AI596" s="3"/>
      <c r="AJ596" s="3"/>
      <c r="AK596" s="3" t="str">
        <f>HYPERLINK("https://knigipp.ru/api/getInfo/item/3df1a1a6-081e-11ed-a215-ac1f6b442185")</f>
        <v>https://knigipp.ru/api/getInfo/item/3df1a1a6-081e-11ed-a215-ac1f6b442185</v>
      </c>
      <c r="AL596" s="3" t="s">
        <v>2624</v>
      </c>
    </row>
    <row r="597" spans="1:38" ht="21" customHeight="1" outlineLevel="4" x14ac:dyDescent="0.2">
      <c r="A597" s="2">
        <v>439</v>
      </c>
      <c r="B597" s="3" t="s">
        <v>2647</v>
      </c>
      <c r="C597" s="49" t="s">
        <v>2648</v>
      </c>
      <c r="D597" s="49"/>
      <c r="E597" s="49"/>
      <c r="F597" s="49"/>
      <c r="G597" s="4" t="s">
        <v>2649</v>
      </c>
      <c r="H597" s="8"/>
      <c r="I597" s="9" t="s">
        <v>2634</v>
      </c>
      <c r="J597" s="10"/>
      <c r="K597" s="11">
        <v>8</v>
      </c>
      <c r="L597" s="10"/>
      <c r="M597" s="10" t="s">
        <v>78</v>
      </c>
      <c r="N597" s="10"/>
      <c r="O597" s="2">
        <v>2</v>
      </c>
      <c r="P597" s="17">
        <f>399*(1-S3/100)</f>
        <v>399</v>
      </c>
      <c r="Q597" s="18"/>
      <c r="R597" s="10">
        <f t="shared" si="25"/>
        <v>0</v>
      </c>
      <c r="S597" s="19">
        <f>0.087*Q597</f>
        <v>0</v>
      </c>
      <c r="T597" s="20">
        <f>0.00098*Q597</f>
        <v>0</v>
      </c>
      <c r="U597" s="21"/>
      <c r="V597" s="22" t="s">
        <v>2650</v>
      </c>
      <c r="W597" s="22" t="s">
        <v>191</v>
      </c>
      <c r="X597" s="3"/>
      <c r="Y597" s="3" t="s">
        <v>2651</v>
      </c>
      <c r="Z597" s="3" t="s">
        <v>52</v>
      </c>
      <c r="AA597" s="3"/>
      <c r="AB597" s="3"/>
      <c r="AC597" s="3" t="str">
        <f>HYPERLINK("https://knigipp.ru/api/getInfo/image/d902e292-3baf-11eb-a25e-ac1f6b442184")</f>
        <v>https://knigipp.ru/api/getInfo/image/d902e292-3baf-11eb-a25e-ac1f6b442184</v>
      </c>
      <c r="AD597" s="32">
        <v>128</v>
      </c>
      <c r="AE597" s="3"/>
      <c r="AF597" s="3" t="s">
        <v>127</v>
      </c>
      <c r="AG597" s="32">
        <v>120</v>
      </c>
      <c r="AH597" s="3" t="s">
        <v>56</v>
      </c>
      <c r="AI597" s="3"/>
      <c r="AJ597" s="3"/>
      <c r="AK597" s="3" t="str">
        <f>HYPERLINK("https://knigipp.ru/api/getInfo/item/d902e292-3baf-11eb-a25e-ac1f6b442184")</f>
        <v>https://knigipp.ru/api/getInfo/item/d902e292-3baf-11eb-a25e-ac1f6b442184</v>
      </c>
      <c r="AL597" s="3" t="s">
        <v>2624</v>
      </c>
    </row>
    <row r="598" spans="1:38" ht="21" customHeight="1" outlineLevel="4" x14ac:dyDescent="0.2">
      <c r="A598" s="2">
        <v>440</v>
      </c>
      <c r="B598" s="3" t="s">
        <v>2652</v>
      </c>
      <c r="C598" s="49" t="s">
        <v>2653</v>
      </c>
      <c r="D598" s="49"/>
      <c r="E598" s="49"/>
      <c r="F598" s="49"/>
      <c r="G598" s="4" t="s">
        <v>2654</v>
      </c>
      <c r="H598" s="8"/>
      <c r="I598" s="9" t="s">
        <v>2634</v>
      </c>
      <c r="J598" s="10"/>
      <c r="K598" s="11">
        <v>8</v>
      </c>
      <c r="L598" s="10"/>
      <c r="M598" s="10" t="s">
        <v>47</v>
      </c>
      <c r="N598" s="10"/>
      <c r="O598" s="2">
        <v>2</v>
      </c>
      <c r="P598" s="17">
        <f>399*(1-S3/100)</f>
        <v>399</v>
      </c>
      <c r="Q598" s="18"/>
      <c r="R598" s="10">
        <f t="shared" si="25"/>
        <v>0</v>
      </c>
      <c r="S598" s="10">
        <v>0</v>
      </c>
      <c r="T598" s="10">
        <v>0</v>
      </c>
      <c r="U598" s="21"/>
      <c r="V598" s="22" t="s">
        <v>2655</v>
      </c>
      <c r="W598" s="22" t="s">
        <v>191</v>
      </c>
      <c r="X598" s="3"/>
      <c r="Y598" s="3" t="s">
        <v>2656</v>
      </c>
      <c r="Z598" s="3" t="s">
        <v>52</v>
      </c>
      <c r="AA598" s="3" t="s">
        <v>2657</v>
      </c>
      <c r="AB598" s="3"/>
      <c r="AC598" s="3" t="str">
        <f>HYPERLINK("https://knigipp.ru/api/getInfo/image/b2beda60-3dbc-11ee-a241-00155d82e902")</f>
        <v>https://knigipp.ru/api/getInfo/image/b2beda60-3dbc-11ee-a241-00155d82e902</v>
      </c>
      <c r="AD598" s="32">
        <v>128</v>
      </c>
      <c r="AE598" s="3" t="s">
        <v>355</v>
      </c>
      <c r="AF598" s="3" t="s">
        <v>127</v>
      </c>
      <c r="AG598" s="32">
        <v>120</v>
      </c>
      <c r="AH598" s="3" t="s">
        <v>56</v>
      </c>
      <c r="AI598" s="3"/>
      <c r="AJ598" s="3"/>
      <c r="AK598" s="3" t="str">
        <f>HYPERLINK("https://knigipp.ru/api/getInfo/item/b2beda60-3dbc-11ee-a241-00155d82e902")</f>
        <v>https://knigipp.ru/api/getInfo/item/b2beda60-3dbc-11ee-a241-00155d82e902</v>
      </c>
      <c r="AL598" s="3" t="s">
        <v>2630</v>
      </c>
    </row>
    <row r="599" spans="1:38" ht="21" customHeight="1" outlineLevel="4" x14ac:dyDescent="0.2">
      <c r="A599" s="2">
        <v>441</v>
      </c>
      <c r="B599" s="3" t="s">
        <v>2658</v>
      </c>
      <c r="C599" s="49" t="s">
        <v>2659</v>
      </c>
      <c r="D599" s="49"/>
      <c r="E599" s="49"/>
      <c r="F599" s="49"/>
      <c r="G599" s="4" t="s">
        <v>2660</v>
      </c>
      <c r="H599" s="8"/>
      <c r="I599" s="9" t="s">
        <v>2634</v>
      </c>
      <c r="J599" s="10"/>
      <c r="K599" s="11">
        <v>8</v>
      </c>
      <c r="L599" s="10"/>
      <c r="M599" s="10" t="s">
        <v>78</v>
      </c>
      <c r="N599" s="10"/>
      <c r="O599" s="2">
        <v>2</v>
      </c>
      <c r="P599" s="17">
        <f>399*(1-S3/100)</f>
        <v>399</v>
      </c>
      <c r="Q599" s="18"/>
      <c r="R599" s="10">
        <f t="shared" si="25"/>
        <v>0</v>
      </c>
      <c r="S599" s="19">
        <f>0.651*Q599</f>
        <v>0</v>
      </c>
      <c r="T599" s="20">
        <f>0.00107*Q599</f>
        <v>0</v>
      </c>
      <c r="U599" s="21"/>
      <c r="V599" s="22" t="s">
        <v>2661</v>
      </c>
      <c r="W599" s="22" t="s">
        <v>191</v>
      </c>
      <c r="X599" s="3"/>
      <c r="Y599" s="3" t="s">
        <v>2662</v>
      </c>
      <c r="Z599" s="3" t="s">
        <v>52</v>
      </c>
      <c r="AA599" s="3" t="s">
        <v>2657</v>
      </c>
      <c r="AB599" s="3"/>
      <c r="AC599" s="3" t="str">
        <f>HYPERLINK("https://knigipp.ru/api/getInfo/image/ad1760fc-ffb7-11ed-a23a-00155d82e902")</f>
        <v>https://knigipp.ru/api/getInfo/image/ad1760fc-ffb7-11ed-a23a-00155d82e902</v>
      </c>
      <c r="AD599" s="32">
        <v>128</v>
      </c>
      <c r="AE599" s="3" t="s">
        <v>355</v>
      </c>
      <c r="AF599" s="3" t="s">
        <v>127</v>
      </c>
      <c r="AG599" s="32">
        <v>120</v>
      </c>
      <c r="AH599" s="3" t="s">
        <v>56</v>
      </c>
      <c r="AI599" s="3"/>
      <c r="AJ599" s="3"/>
      <c r="AK599" s="3" t="str">
        <f>HYPERLINK("https://knigipp.ru/api/getInfo/item/ad1760fc-ffb7-11ed-a23a-00155d82e902")</f>
        <v>https://knigipp.ru/api/getInfo/item/ad1760fc-ffb7-11ed-a23a-00155d82e902</v>
      </c>
      <c r="AL599" s="3" t="s">
        <v>2630</v>
      </c>
    </row>
    <row r="600" spans="1:38" ht="21" customHeight="1" outlineLevel="4" x14ac:dyDescent="0.2">
      <c r="A600" s="2">
        <v>442</v>
      </c>
      <c r="B600" s="3" t="s">
        <v>2663</v>
      </c>
      <c r="C600" s="49" t="s">
        <v>2664</v>
      </c>
      <c r="D600" s="49"/>
      <c r="E600" s="49"/>
      <c r="F600" s="49"/>
      <c r="G600" s="4" t="s">
        <v>2665</v>
      </c>
      <c r="H600" s="8"/>
      <c r="I600" s="9" t="s">
        <v>2634</v>
      </c>
      <c r="J600" s="10"/>
      <c r="K600" s="11">
        <v>8</v>
      </c>
      <c r="L600" s="10"/>
      <c r="M600" s="10" t="s">
        <v>78</v>
      </c>
      <c r="N600" s="10"/>
      <c r="O600" s="2">
        <v>2</v>
      </c>
      <c r="P600" s="17">
        <f>399*(1-S3/100)</f>
        <v>399</v>
      </c>
      <c r="Q600" s="18"/>
      <c r="R600" s="10">
        <f t="shared" si="25"/>
        <v>0</v>
      </c>
      <c r="S600" s="19">
        <f>0.631*Q600</f>
        <v>0</v>
      </c>
      <c r="T600" s="30">
        <f>0.0011*Q600</f>
        <v>0</v>
      </c>
      <c r="U600" s="21"/>
      <c r="V600" s="22" t="s">
        <v>2666</v>
      </c>
      <c r="W600" s="22" t="s">
        <v>191</v>
      </c>
      <c r="X600" s="3"/>
      <c r="Y600" s="3" t="s">
        <v>2667</v>
      </c>
      <c r="Z600" s="3" t="s">
        <v>52</v>
      </c>
      <c r="AA600" s="3"/>
      <c r="AB600" s="3"/>
      <c r="AC600" s="3" t="str">
        <f>HYPERLINK("https://knigipp.ru/api/getInfo/image/086da6fe-1558-11ec-a20f-ac1f6b442185")</f>
        <v>https://knigipp.ru/api/getInfo/image/086da6fe-1558-11ec-a20f-ac1f6b442185</v>
      </c>
      <c r="AD600" s="32">
        <v>128</v>
      </c>
      <c r="AE600" s="3"/>
      <c r="AF600" s="3" t="s">
        <v>127</v>
      </c>
      <c r="AG600" s="32">
        <v>120</v>
      </c>
      <c r="AH600" s="3" t="s">
        <v>56</v>
      </c>
      <c r="AI600" s="3"/>
      <c r="AJ600" s="3"/>
      <c r="AK600" s="3" t="str">
        <f>HYPERLINK("https://knigipp.ru/api/getInfo/item/086da6fe-1558-11ec-a20f-ac1f6b442185")</f>
        <v>https://knigipp.ru/api/getInfo/item/086da6fe-1558-11ec-a20f-ac1f6b442185</v>
      </c>
      <c r="AL600" s="3" t="s">
        <v>2624</v>
      </c>
    </row>
    <row r="601" spans="1:38" ht="23.1" customHeight="1" outlineLevel="3" x14ac:dyDescent="0.2">
      <c r="A601" s="48" t="s">
        <v>2668</v>
      </c>
      <c r="B601" s="48"/>
      <c r="C601" s="48"/>
      <c r="D601" s="48"/>
      <c r="E601" s="48"/>
      <c r="F601" s="48"/>
    </row>
    <row r="602" spans="1:38" ht="21" customHeight="1" outlineLevel="4" x14ac:dyDescent="0.2">
      <c r="A602" s="2">
        <v>443</v>
      </c>
      <c r="B602" s="3" t="s">
        <v>2669</v>
      </c>
      <c r="C602" s="49" t="s">
        <v>2670</v>
      </c>
      <c r="D602" s="49"/>
      <c r="E602" s="49"/>
      <c r="F602" s="49"/>
      <c r="G602" s="4" t="s">
        <v>2671</v>
      </c>
      <c r="H602" s="8"/>
      <c r="I602" s="9"/>
      <c r="J602" s="10"/>
      <c r="K602" s="11">
        <v>10</v>
      </c>
      <c r="L602" s="10"/>
      <c r="M602" s="10" t="s">
        <v>47</v>
      </c>
      <c r="N602" s="10"/>
      <c r="O602" s="2">
        <v>7</v>
      </c>
      <c r="P602" s="17">
        <f>89*(1-S3/100)</f>
        <v>89</v>
      </c>
      <c r="Q602" s="18"/>
      <c r="R602" s="10">
        <f t="shared" ref="R602:R609" si="26">P602*Q602</f>
        <v>0</v>
      </c>
      <c r="S602" s="19">
        <f t="shared" ref="S602:S609" si="27">0.102*Q602</f>
        <v>0</v>
      </c>
      <c r="T602" s="20">
        <f t="shared" ref="T602:T609" si="28">0.00014*Q602</f>
        <v>0</v>
      </c>
      <c r="U602" s="21"/>
      <c r="V602" s="22" t="s">
        <v>2672</v>
      </c>
      <c r="W602" s="22" t="s">
        <v>191</v>
      </c>
      <c r="X602" s="3"/>
      <c r="Y602" s="3"/>
      <c r="Z602" s="3" t="s">
        <v>52</v>
      </c>
      <c r="AA602" s="3"/>
      <c r="AB602" s="3"/>
      <c r="AC602" s="3" t="str">
        <f>HYPERLINK("https://knigipp.ru/api/getInfo/image/3c54b67b-bf68-11ee-a25a-00155d82e908")</f>
        <v>https://knigipp.ru/api/getInfo/image/3c54b67b-bf68-11ee-a25a-00155d82e908</v>
      </c>
      <c r="AD602" s="32">
        <v>80</v>
      </c>
      <c r="AE602" s="3" t="s">
        <v>481</v>
      </c>
      <c r="AF602" s="3" t="s">
        <v>136</v>
      </c>
      <c r="AG602" s="3"/>
      <c r="AH602" s="3" t="s">
        <v>56</v>
      </c>
      <c r="AI602" s="3"/>
      <c r="AJ602" s="3"/>
      <c r="AK602" s="3" t="str">
        <f>HYPERLINK("https://knigipp.ru/api/getInfo/item/3c54b67b-bf68-11ee-a25a-00155d82e908")</f>
        <v>https://knigipp.ru/api/getInfo/item/3c54b67b-bf68-11ee-a25a-00155d82e908</v>
      </c>
      <c r="AL602" s="3" t="s">
        <v>1385</v>
      </c>
    </row>
    <row r="603" spans="1:38" ht="21" customHeight="1" outlineLevel="4" x14ac:dyDescent="0.2">
      <c r="A603" s="2">
        <v>444</v>
      </c>
      <c r="B603" s="3" t="s">
        <v>2673</v>
      </c>
      <c r="C603" s="49" t="s">
        <v>2674</v>
      </c>
      <c r="D603" s="49"/>
      <c r="E603" s="49"/>
      <c r="F603" s="49"/>
      <c r="G603" s="4" t="s">
        <v>2675</v>
      </c>
      <c r="H603" s="8"/>
      <c r="I603" s="9"/>
      <c r="J603" s="10"/>
      <c r="K603" s="11">
        <v>10</v>
      </c>
      <c r="L603" s="10"/>
      <c r="M603" s="10" t="s">
        <v>47</v>
      </c>
      <c r="N603" s="10"/>
      <c r="O603" s="2">
        <v>7</v>
      </c>
      <c r="P603" s="17">
        <f>89*(1-S3/100)</f>
        <v>89</v>
      </c>
      <c r="Q603" s="18"/>
      <c r="R603" s="10">
        <f t="shared" si="26"/>
        <v>0</v>
      </c>
      <c r="S603" s="19">
        <f t="shared" si="27"/>
        <v>0</v>
      </c>
      <c r="T603" s="20">
        <f t="shared" si="28"/>
        <v>0</v>
      </c>
      <c r="U603" s="21"/>
      <c r="V603" s="22" t="s">
        <v>2676</v>
      </c>
      <c r="W603" s="22" t="s">
        <v>191</v>
      </c>
      <c r="X603" s="3"/>
      <c r="Y603" s="3"/>
      <c r="Z603" s="3" t="s">
        <v>52</v>
      </c>
      <c r="AA603" s="3"/>
      <c r="AB603" s="3"/>
      <c r="AC603" s="3" t="str">
        <f>HYPERLINK("https://knigipp.ru/api/getInfo/image/f192c0fd-bf67-11ee-a25a-00155d82e908")</f>
        <v>https://knigipp.ru/api/getInfo/image/f192c0fd-bf67-11ee-a25a-00155d82e908</v>
      </c>
      <c r="AD603" s="32">
        <v>80</v>
      </c>
      <c r="AE603" s="3" t="s">
        <v>481</v>
      </c>
      <c r="AF603" s="3" t="s">
        <v>136</v>
      </c>
      <c r="AG603" s="3"/>
      <c r="AH603" s="3" t="s">
        <v>56</v>
      </c>
      <c r="AI603" s="3"/>
      <c r="AJ603" s="3"/>
      <c r="AK603" s="3" t="str">
        <f>HYPERLINK("https://knigipp.ru/api/getInfo/item/f192c0fd-bf67-11ee-a25a-00155d82e908")</f>
        <v>https://knigipp.ru/api/getInfo/item/f192c0fd-bf67-11ee-a25a-00155d82e908</v>
      </c>
      <c r="AL603" s="3" t="s">
        <v>1385</v>
      </c>
    </row>
    <row r="604" spans="1:38" ht="21" customHeight="1" outlineLevel="4" x14ac:dyDescent="0.2">
      <c r="A604" s="2">
        <v>445</v>
      </c>
      <c r="B604" s="3" t="s">
        <v>2677</v>
      </c>
      <c r="C604" s="49" t="s">
        <v>2678</v>
      </c>
      <c r="D604" s="49"/>
      <c r="E604" s="49"/>
      <c r="F604" s="49"/>
      <c r="G604" s="4" t="s">
        <v>2679</v>
      </c>
      <c r="H604" s="8"/>
      <c r="I604" s="9"/>
      <c r="J604" s="10"/>
      <c r="K604" s="11">
        <v>10</v>
      </c>
      <c r="L604" s="10"/>
      <c r="M604" s="10" t="s">
        <v>47</v>
      </c>
      <c r="N604" s="10"/>
      <c r="O604" s="2">
        <v>7</v>
      </c>
      <c r="P604" s="17">
        <f>89*(1-S3/100)</f>
        <v>89</v>
      </c>
      <c r="Q604" s="18"/>
      <c r="R604" s="10">
        <f t="shared" si="26"/>
        <v>0</v>
      </c>
      <c r="S604" s="19">
        <f t="shared" si="27"/>
        <v>0</v>
      </c>
      <c r="T604" s="20">
        <f t="shared" si="28"/>
        <v>0</v>
      </c>
      <c r="U604" s="21"/>
      <c r="V604" s="22" t="s">
        <v>2680</v>
      </c>
      <c r="W604" s="22" t="s">
        <v>191</v>
      </c>
      <c r="X604" s="3"/>
      <c r="Y604" s="3"/>
      <c r="Z604" s="3" t="s">
        <v>52</v>
      </c>
      <c r="AA604" s="3"/>
      <c r="AB604" s="3"/>
      <c r="AC604" s="3" t="str">
        <f>HYPERLINK("https://knigipp.ru/api/getInfo/image/bc69a585-bf67-11ee-a25a-00155d82e908")</f>
        <v>https://knigipp.ru/api/getInfo/image/bc69a585-bf67-11ee-a25a-00155d82e908</v>
      </c>
      <c r="AD604" s="32">
        <v>80</v>
      </c>
      <c r="AE604" s="3" t="s">
        <v>481</v>
      </c>
      <c r="AF604" s="3" t="s">
        <v>136</v>
      </c>
      <c r="AG604" s="3"/>
      <c r="AH604" s="3" t="s">
        <v>56</v>
      </c>
      <c r="AI604" s="3"/>
      <c r="AJ604" s="3"/>
      <c r="AK604" s="3" t="str">
        <f>HYPERLINK("https://knigipp.ru/api/getInfo/item/bc69a585-bf67-11ee-a25a-00155d82e908")</f>
        <v>https://knigipp.ru/api/getInfo/item/bc69a585-bf67-11ee-a25a-00155d82e908</v>
      </c>
      <c r="AL604" s="3" t="s">
        <v>1385</v>
      </c>
    </row>
    <row r="605" spans="1:38" ht="21" customHeight="1" outlineLevel="4" x14ac:dyDescent="0.2">
      <c r="A605" s="2">
        <v>446</v>
      </c>
      <c r="B605" s="3" t="s">
        <v>2681</v>
      </c>
      <c r="C605" s="49" t="s">
        <v>2682</v>
      </c>
      <c r="D605" s="49"/>
      <c r="E605" s="49"/>
      <c r="F605" s="49"/>
      <c r="G605" s="4" t="s">
        <v>2683</v>
      </c>
      <c r="H605" s="8"/>
      <c r="I605" s="9"/>
      <c r="J605" s="10"/>
      <c r="K605" s="11">
        <v>10</v>
      </c>
      <c r="L605" s="10"/>
      <c r="M605" s="10" t="s">
        <v>47</v>
      </c>
      <c r="N605" s="10"/>
      <c r="O605" s="2">
        <v>7</v>
      </c>
      <c r="P605" s="17">
        <f>89*(1-S3/100)</f>
        <v>89</v>
      </c>
      <c r="Q605" s="18"/>
      <c r="R605" s="10">
        <f t="shared" si="26"/>
        <v>0</v>
      </c>
      <c r="S605" s="19">
        <f t="shared" si="27"/>
        <v>0</v>
      </c>
      <c r="T605" s="20">
        <f t="shared" si="28"/>
        <v>0</v>
      </c>
      <c r="U605" s="21"/>
      <c r="V605" s="22" t="s">
        <v>2684</v>
      </c>
      <c r="W605" s="22" t="s">
        <v>191</v>
      </c>
      <c r="X605" s="3"/>
      <c r="Y605" s="3"/>
      <c r="Z605" s="3" t="s">
        <v>52</v>
      </c>
      <c r="AA605" s="3"/>
      <c r="AB605" s="3"/>
      <c r="AC605" s="3" t="str">
        <f>HYPERLINK("https://knigipp.ru/api/getInfo/image/14cbcc5b-bf68-11ee-a25a-00155d82e908")</f>
        <v>https://knigipp.ru/api/getInfo/image/14cbcc5b-bf68-11ee-a25a-00155d82e908</v>
      </c>
      <c r="AD605" s="32">
        <v>80</v>
      </c>
      <c r="AE605" s="3" t="s">
        <v>481</v>
      </c>
      <c r="AF605" s="3" t="s">
        <v>136</v>
      </c>
      <c r="AG605" s="3"/>
      <c r="AH605" s="3" t="s">
        <v>56</v>
      </c>
      <c r="AI605" s="3"/>
      <c r="AJ605" s="3"/>
      <c r="AK605" s="3" t="str">
        <f>HYPERLINK("https://knigipp.ru/api/getInfo/item/14cbcc5b-bf68-11ee-a25a-00155d82e908")</f>
        <v>https://knigipp.ru/api/getInfo/item/14cbcc5b-bf68-11ee-a25a-00155d82e908</v>
      </c>
      <c r="AL605" s="3" t="s">
        <v>1385</v>
      </c>
    </row>
    <row r="606" spans="1:38" ht="21" customHeight="1" outlineLevel="4" x14ac:dyDescent="0.2">
      <c r="A606" s="2">
        <v>447</v>
      </c>
      <c r="B606" s="3" t="s">
        <v>2685</v>
      </c>
      <c r="C606" s="49" t="s">
        <v>2686</v>
      </c>
      <c r="D606" s="49"/>
      <c r="E606" s="49"/>
      <c r="F606" s="49"/>
      <c r="G606" s="4" t="s">
        <v>2687</v>
      </c>
      <c r="H606" s="8"/>
      <c r="I606" s="9"/>
      <c r="J606" s="10"/>
      <c r="K606" s="11">
        <v>10</v>
      </c>
      <c r="L606" s="10"/>
      <c r="M606" s="10" t="s">
        <v>47</v>
      </c>
      <c r="N606" s="10"/>
      <c r="O606" s="2">
        <v>7</v>
      </c>
      <c r="P606" s="17">
        <f>89*(1-S3/100)</f>
        <v>89</v>
      </c>
      <c r="Q606" s="18"/>
      <c r="R606" s="10">
        <f t="shared" si="26"/>
        <v>0</v>
      </c>
      <c r="S606" s="19">
        <f t="shared" si="27"/>
        <v>0</v>
      </c>
      <c r="T606" s="20">
        <f t="shared" si="28"/>
        <v>0</v>
      </c>
      <c r="U606" s="21"/>
      <c r="V606" s="22" t="s">
        <v>2688</v>
      </c>
      <c r="W606" s="22" t="s">
        <v>191</v>
      </c>
      <c r="X606" s="3"/>
      <c r="Y606" s="3"/>
      <c r="Z606" s="3" t="s">
        <v>52</v>
      </c>
      <c r="AA606" s="3"/>
      <c r="AB606" s="3"/>
      <c r="AC606" s="3" t="str">
        <f>HYPERLINK("https://knigipp.ru/api/getInfo/image/b83033e2-bf68-11ee-a25a-00155d82e908")</f>
        <v>https://knigipp.ru/api/getInfo/image/b83033e2-bf68-11ee-a25a-00155d82e908</v>
      </c>
      <c r="AD606" s="32">
        <v>80</v>
      </c>
      <c r="AE606" s="3" t="s">
        <v>481</v>
      </c>
      <c r="AF606" s="3" t="s">
        <v>136</v>
      </c>
      <c r="AG606" s="3"/>
      <c r="AH606" s="3" t="s">
        <v>56</v>
      </c>
      <c r="AI606" s="3"/>
      <c r="AJ606" s="3"/>
      <c r="AK606" s="3" t="str">
        <f>HYPERLINK("https://knigipp.ru/api/getInfo/item/b83033e2-bf68-11ee-a25a-00155d82e908")</f>
        <v>https://knigipp.ru/api/getInfo/item/b83033e2-bf68-11ee-a25a-00155d82e908</v>
      </c>
      <c r="AL606" s="3" t="s">
        <v>1385</v>
      </c>
    </row>
    <row r="607" spans="1:38" ht="21" customHeight="1" outlineLevel="4" x14ac:dyDescent="0.2">
      <c r="A607" s="2">
        <v>448</v>
      </c>
      <c r="B607" s="3" t="s">
        <v>2689</v>
      </c>
      <c r="C607" s="49" t="s">
        <v>2690</v>
      </c>
      <c r="D607" s="49"/>
      <c r="E607" s="49"/>
      <c r="F607" s="49"/>
      <c r="G607" s="4" t="s">
        <v>2691</v>
      </c>
      <c r="H607" s="8"/>
      <c r="I607" s="9"/>
      <c r="J607" s="10"/>
      <c r="K607" s="11">
        <v>10</v>
      </c>
      <c r="L607" s="10"/>
      <c r="M607" s="10" t="s">
        <v>47</v>
      </c>
      <c r="N607" s="10"/>
      <c r="O607" s="2">
        <v>7</v>
      </c>
      <c r="P607" s="17">
        <f>89*(1-S3/100)</f>
        <v>89</v>
      </c>
      <c r="Q607" s="18"/>
      <c r="R607" s="10">
        <f t="shared" si="26"/>
        <v>0</v>
      </c>
      <c r="S607" s="19">
        <f t="shared" si="27"/>
        <v>0</v>
      </c>
      <c r="T607" s="20">
        <f t="shared" si="28"/>
        <v>0</v>
      </c>
      <c r="U607" s="21"/>
      <c r="V607" s="22" t="s">
        <v>2692</v>
      </c>
      <c r="W607" s="22" t="s">
        <v>191</v>
      </c>
      <c r="X607" s="3"/>
      <c r="Y607" s="3"/>
      <c r="Z607" s="3" t="s">
        <v>52</v>
      </c>
      <c r="AA607" s="3"/>
      <c r="AB607" s="3"/>
      <c r="AC607" s="3" t="str">
        <f>HYPERLINK("https://knigipp.ru/api/getInfo/image/4e9233bb-bf67-11ee-a25a-00155d82e908")</f>
        <v>https://knigipp.ru/api/getInfo/image/4e9233bb-bf67-11ee-a25a-00155d82e908</v>
      </c>
      <c r="AD607" s="32">
        <v>80</v>
      </c>
      <c r="AE607" s="3" t="s">
        <v>481</v>
      </c>
      <c r="AF607" s="3" t="s">
        <v>136</v>
      </c>
      <c r="AG607" s="3"/>
      <c r="AH607" s="3" t="s">
        <v>56</v>
      </c>
      <c r="AI607" s="3"/>
      <c r="AJ607" s="3"/>
      <c r="AK607" s="3" t="str">
        <f>HYPERLINK("https://knigipp.ru/api/getInfo/item/4e9233bb-bf67-11ee-a25a-00155d82e908")</f>
        <v>https://knigipp.ru/api/getInfo/item/4e9233bb-bf67-11ee-a25a-00155d82e908</v>
      </c>
      <c r="AL607" s="3" t="s">
        <v>1385</v>
      </c>
    </row>
    <row r="608" spans="1:38" ht="21" customHeight="1" outlineLevel="4" x14ac:dyDescent="0.2">
      <c r="A608" s="2">
        <v>449</v>
      </c>
      <c r="B608" s="3" t="s">
        <v>2693</v>
      </c>
      <c r="C608" s="49" t="s">
        <v>2694</v>
      </c>
      <c r="D608" s="49"/>
      <c r="E608" s="49"/>
      <c r="F608" s="49"/>
      <c r="G608" s="4" t="s">
        <v>2695</v>
      </c>
      <c r="H608" s="8"/>
      <c r="I608" s="9"/>
      <c r="J608" s="10"/>
      <c r="K608" s="11">
        <v>10</v>
      </c>
      <c r="L608" s="10"/>
      <c r="M608" s="10" t="s">
        <v>47</v>
      </c>
      <c r="N608" s="10"/>
      <c r="O608" s="2">
        <v>7</v>
      </c>
      <c r="P608" s="17">
        <f>89*(1-S3/100)</f>
        <v>89</v>
      </c>
      <c r="Q608" s="18"/>
      <c r="R608" s="10">
        <f t="shared" si="26"/>
        <v>0</v>
      </c>
      <c r="S608" s="19">
        <f t="shared" si="27"/>
        <v>0</v>
      </c>
      <c r="T608" s="20">
        <f t="shared" si="28"/>
        <v>0</v>
      </c>
      <c r="U608" s="21"/>
      <c r="V608" s="22" t="s">
        <v>2696</v>
      </c>
      <c r="W608" s="22" t="s">
        <v>191</v>
      </c>
      <c r="X608" s="3"/>
      <c r="Y608" s="3"/>
      <c r="Z608" s="3" t="s">
        <v>52</v>
      </c>
      <c r="AA608" s="3"/>
      <c r="AB608" s="3"/>
      <c r="AC608" s="3" t="str">
        <f>HYPERLINK("https://knigipp.ru/api/getInfo/image/8ec346e0-bf68-11ee-a25a-00155d82e908")</f>
        <v>https://knigipp.ru/api/getInfo/image/8ec346e0-bf68-11ee-a25a-00155d82e908</v>
      </c>
      <c r="AD608" s="32">
        <v>80</v>
      </c>
      <c r="AE608" s="3" t="s">
        <v>481</v>
      </c>
      <c r="AF608" s="3" t="s">
        <v>136</v>
      </c>
      <c r="AG608" s="3"/>
      <c r="AH608" s="3" t="s">
        <v>56</v>
      </c>
      <c r="AI608" s="3"/>
      <c r="AJ608" s="3"/>
      <c r="AK608" s="3" t="str">
        <f>HYPERLINK("https://knigipp.ru/api/getInfo/item/8ec346e0-bf68-11ee-a25a-00155d82e908")</f>
        <v>https://knigipp.ru/api/getInfo/item/8ec346e0-bf68-11ee-a25a-00155d82e908</v>
      </c>
      <c r="AL608" s="3" t="s">
        <v>1385</v>
      </c>
    </row>
    <row r="609" spans="1:38" ht="21" customHeight="1" outlineLevel="4" x14ac:dyDescent="0.2">
      <c r="A609" s="2">
        <v>450</v>
      </c>
      <c r="B609" s="3" t="s">
        <v>2697</v>
      </c>
      <c r="C609" s="49" t="s">
        <v>2698</v>
      </c>
      <c r="D609" s="49"/>
      <c r="E609" s="49"/>
      <c r="F609" s="49"/>
      <c r="G609" s="4" t="s">
        <v>2699</v>
      </c>
      <c r="H609" s="8"/>
      <c r="I609" s="9"/>
      <c r="J609" s="10"/>
      <c r="K609" s="11">
        <v>10</v>
      </c>
      <c r="L609" s="10"/>
      <c r="M609" s="10" t="s">
        <v>47</v>
      </c>
      <c r="N609" s="10"/>
      <c r="O609" s="2">
        <v>7</v>
      </c>
      <c r="P609" s="17">
        <f>89*(1-S3/100)</f>
        <v>89</v>
      </c>
      <c r="Q609" s="18"/>
      <c r="R609" s="10">
        <f t="shared" si="26"/>
        <v>0</v>
      </c>
      <c r="S609" s="19">
        <f t="shared" si="27"/>
        <v>0</v>
      </c>
      <c r="T609" s="20">
        <f t="shared" si="28"/>
        <v>0</v>
      </c>
      <c r="U609" s="21"/>
      <c r="V609" s="22" t="s">
        <v>2700</v>
      </c>
      <c r="W609" s="22" t="s">
        <v>191</v>
      </c>
      <c r="X609" s="3"/>
      <c r="Y609" s="3"/>
      <c r="Z609" s="3" t="s">
        <v>52</v>
      </c>
      <c r="AA609" s="3"/>
      <c r="AB609" s="3"/>
      <c r="AC609" s="3" t="str">
        <f>HYPERLINK("https://knigipp.ru/api/getInfo/image/63ebf3d4-bf68-11ee-a25a-00155d82e908")</f>
        <v>https://knigipp.ru/api/getInfo/image/63ebf3d4-bf68-11ee-a25a-00155d82e908</v>
      </c>
      <c r="AD609" s="32">
        <v>80</v>
      </c>
      <c r="AE609" s="3" t="s">
        <v>481</v>
      </c>
      <c r="AF609" s="3" t="s">
        <v>136</v>
      </c>
      <c r="AG609" s="3"/>
      <c r="AH609" s="3" t="s">
        <v>56</v>
      </c>
      <c r="AI609" s="3"/>
      <c r="AJ609" s="3"/>
      <c r="AK609" s="3" t="str">
        <f>HYPERLINK("https://knigipp.ru/api/getInfo/item/63ebf3d4-bf68-11ee-a25a-00155d82e908")</f>
        <v>https://knigipp.ru/api/getInfo/item/63ebf3d4-bf68-11ee-a25a-00155d82e908</v>
      </c>
      <c r="AL609" s="3" t="s">
        <v>1385</v>
      </c>
    </row>
    <row r="610" spans="1:38" ht="23.1" customHeight="1" outlineLevel="3" x14ac:dyDescent="0.2">
      <c r="A610" s="48" t="s">
        <v>2701</v>
      </c>
      <c r="B610" s="48"/>
      <c r="C610" s="48"/>
      <c r="D610" s="48"/>
      <c r="E610" s="48"/>
      <c r="F610" s="48"/>
    </row>
    <row r="611" spans="1:38" ht="21" customHeight="1" outlineLevel="4" x14ac:dyDescent="0.2">
      <c r="A611" s="2">
        <v>451</v>
      </c>
      <c r="B611" s="3" t="s">
        <v>2702</v>
      </c>
      <c r="C611" s="49" t="s">
        <v>2703</v>
      </c>
      <c r="D611" s="49"/>
      <c r="E611" s="49"/>
      <c r="F611" s="49"/>
      <c r="G611" s="4" t="s">
        <v>2704</v>
      </c>
      <c r="H611" s="8"/>
      <c r="I611" s="9" t="s">
        <v>2705</v>
      </c>
      <c r="J611" s="10"/>
      <c r="K611" s="11">
        <v>20</v>
      </c>
      <c r="L611" s="10"/>
      <c r="M611" s="10" t="s">
        <v>47</v>
      </c>
      <c r="N611" s="10"/>
      <c r="O611" s="2">
        <v>5</v>
      </c>
      <c r="P611" s="17">
        <f>129*(1-S3/100)</f>
        <v>129</v>
      </c>
      <c r="Q611" s="18"/>
      <c r="R611" s="10">
        <f>P611*Q611</f>
        <v>0</v>
      </c>
      <c r="S611" s="28">
        <f>0.15*Q611</f>
        <v>0</v>
      </c>
      <c r="T611" s="20">
        <f>0.00033*Q611</f>
        <v>0</v>
      </c>
      <c r="U611" s="21"/>
      <c r="V611" s="22" t="s">
        <v>2706</v>
      </c>
      <c r="W611" s="22" t="s">
        <v>49</v>
      </c>
      <c r="X611" s="3"/>
      <c r="Y611" s="3"/>
      <c r="Z611" s="3"/>
      <c r="AA611" s="3"/>
      <c r="AB611" s="3"/>
      <c r="AC611" s="3" t="str">
        <f>HYPERLINK("https://knigipp.ru/api/getInfo/image/5b6820e9-ada7-11eb-a201-ac1f6b442185")</f>
        <v>https://knigipp.ru/api/getInfo/image/5b6820e9-ada7-11eb-a201-ac1f6b442185</v>
      </c>
      <c r="AD611" s="32">
        <v>36</v>
      </c>
      <c r="AE611" s="3"/>
      <c r="AF611" s="3" t="s">
        <v>55</v>
      </c>
      <c r="AG611" s="3"/>
      <c r="AH611" s="3" t="s">
        <v>56</v>
      </c>
      <c r="AI611" s="3"/>
      <c r="AJ611" s="3"/>
      <c r="AK611" s="3" t="str">
        <f>HYPERLINK("https://knigipp.ru/api/getInfo/item/5b6820e9-ada7-11eb-a201-ac1f6b442185")</f>
        <v>https://knigipp.ru/api/getInfo/item/5b6820e9-ada7-11eb-a201-ac1f6b442185</v>
      </c>
      <c r="AL611" s="3" t="s">
        <v>2707</v>
      </c>
    </row>
    <row r="612" spans="1:38" ht="23.1" customHeight="1" outlineLevel="2" x14ac:dyDescent="0.2">
      <c r="A612" s="47" t="s">
        <v>2708</v>
      </c>
      <c r="B612" s="47"/>
      <c r="C612" s="47"/>
      <c r="D612" s="47"/>
      <c r="E612" s="47"/>
      <c r="F612" s="47"/>
    </row>
    <row r="613" spans="1:38" ht="23.1" customHeight="1" outlineLevel="3" x14ac:dyDescent="0.2">
      <c r="A613" s="48" t="s">
        <v>2709</v>
      </c>
      <c r="B613" s="48"/>
      <c r="C613" s="48"/>
      <c r="D613" s="48"/>
      <c r="E613" s="48"/>
      <c r="F613" s="48"/>
    </row>
    <row r="614" spans="1:38" ht="21" customHeight="1" outlineLevel="4" x14ac:dyDescent="0.2">
      <c r="A614" s="2">
        <v>452</v>
      </c>
      <c r="B614" s="3" t="s">
        <v>2710</v>
      </c>
      <c r="C614" s="49" t="s">
        <v>2711</v>
      </c>
      <c r="D614" s="49"/>
      <c r="E614" s="49"/>
      <c r="F614" s="49"/>
      <c r="G614" s="4" t="s">
        <v>2712</v>
      </c>
      <c r="H614" s="8"/>
      <c r="I614" s="9" t="s">
        <v>2713</v>
      </c>
      <c r="J614" s="10"/>
      <c r="K614" s="11">
        <v>50</v>
      </c>
      <c r="L614" s="10"/>
      <c r="M614" s="10" t="s">
        <v>47</v>
      </c>
      <c r="N614" s="10"/>
      <c r="O614" s="2">
        <v>7</v>
      </c>
      <c r="P614" s="17">
        <f>97*(1-S3/100)</f>
        <v>97</v>
      </c>
      <c r="Q614" s="18"/>
      <c r="R614" s="10">
        <f>P614*Q614</f>
        <v>0</v>
      </c>
      <c r="S614" s="19">
        <f>0.071*Q614</f>
        <v>0</v>
      </c>
      <c r="T614" s="20">
        <f>0.00025*Q614</f>
        <v>0</v>
      </c>
      <c r="U614" s="21"/>
      <c r="V614" s="22" t="s">
        <v>2714</v>
      </c>
      <c r="W614" s="22" t="s">
        <v>191</v>
      </c>
      <c r="X614" s="3"/>
      <c r="Y614" s="3" t="s">
        <v>2715</v>
      </c>
      <c r="Z614" s="3" t="s">
        <v>52</v>
      </c>
      <c r="AA614" s="3"/>
      <c r="AB614" s="3"/>
      <c r="AC614" s="3" t="str">
        <f>HYPERLINK("https://knigipp.ru/api/getInfo/image/bca7a7b7-e4f0-11ed-a233-00155d82e902")</f>
        <v>https://knigipp.ru/api/getInfo/image/bca7a7b7-e4f0-11ed-a233-00155d82e902</v>
      </c>
      <c r="AD614" s="32">
        <v>32</v>
      </c>
      <c r="AE614" s="3" t="s">
        <v>54</v>
      </c>
      <c r="AF614" s="3" t="s">
        <v>136</v>
      </c>
      <c r="AG614" s="3"/>
      <c r="AH614" s="3" t="s">
        <v>56</v>
      </c>
      <c r="AI614" s="3"/>
      <c r="AJ614" s="3"/>
      <c r="AK614" s="3" t="str">
        <f>HYPERLINK("https://knigipp.ru/api/getInfo/item/bca7a7b7-e4f0-11ed-a233-00155d82e902")</f>
        <v>https://knigipp.ru/api/getInfo/item/bca7a7b7-e4f0-11ed-a233-00155d82e902</v>
      </c>
      <c r="AL614" s="3" t="s">
        <v>2716</v>
      </c>
    </row>
    <row r="615" spans="1:38" ht="21" customHeight="1" outlineLevel="4" x14ac:dyDescent="0.2">
      <c r="A615" s="2">
        <v>453</v>
      </c>
      <c r="B615" s="3" t="s">
        <v>2717</v>
      </c>
      <c r="C615" s="49" t="s">
        <v>2718</v>
      </c>
      <c r="D615" s="49"/>
      <c r="E615" s="49"/>
      <c r="F615" s="49"/>
      <c r="G615" s="4" t="s">
        <v>2719</v>
      </c>
      <c r="H615" s="8"/>
      <c r="I615" s="9" t="s">
        <v>2713</v>
      </c>
      <c r="J615" s="10"/>
      <c r="K615" s="11">
        <v>50</v>
      </c>
      <c r="L615" s="10"/>
      <c r="M615" s="10" t="s">
        <v>47</v>
      </c>
      <c r="N615" s="10"/>
      <c r="O615" s="2">
        <v>7</v>
      </c>
      <c r="P615" s="17">
        <f>97*(1-S3/100)</f>
        <v>97</v>
      </c>
      <c r="Q615" s="18"/>
      <c r="R615" s="10">
        <f>P615*Q615</f>
        <v>0</v>
      </c>
      <c r="S615" s="19">
        <f>0.065*Q615</f>
        <v>0</v>
      </c>
      <c r="T615" s="20">
        <f>0.00025*Q615</f>
        <v>0</v>
      </c>
      <c r="U615" s="21"/>
      <c r="V615" s="22" t="s">
        <v>2720</v>
      </c>
      <c r="W615" s="22" t="s">
        <v>191</v>
      </c>
      <c r="X615" s="3"/>
      <c r="Y615" s="3" t="s">
        <v>2721</v>
      </c>
      <c r="Z615" s="3"/>
      <c r="AA615" s="3"/>
      <c r="AB615" s="3"/>
      <c r="AC615" s="3" t="str">
        <f>HYPERLINK("https://knigipp.ru/api/getInfo/image/e927d022-1f4d-11ef-a25f-00155d82e908")</f>
        <v>https://knigipp.ru/api/getInfo/image/e927d022-1f4d-11ef-a25f-00155d82e908</v>
      </c>
      <c r="AD615" s="32">
        <v>32</v>
      </c>
      <c r="AE615" s="3" t="s">
        <v>54</v>
      </c>
      <c r="AF615" s="3" t="s">
        <v>136</v>
      </c>
      <c r="AG615" s="3"/>
      <c r="AH615" s="3" t="s">
        <v>56</v>
      </c>
      <c r="AI615" s="3"/>
      <c r="AJ615" s="3"/>
      <c r="AK615" s="3" t="str">
        <f>HYPERLINK("https://knigipp.ru/api/getInfo/item/e927d022-1f4d-11ef-a25f-00155d82e908")</f>
        <v>https://knigipp.ru/api/getInfo/item/e927d022-1f4d-11ef-a25f-00155d82e908</v>
      </c>
      <c r="AL615" s="3" t="s">
        <v>2716</v>
      </c>
    </row>
    <row r="616" spans="1:38" ht="21" customHeight="1" outlineLevel="4" x14ac:dyDescent="0.2">
      <c r="A616" s="2">
        <v>454</v>
      </c>
      <c r="B616" s="3" t="s">
        <v>2722</v>
      </c>
      <c r="C616" s="49" t="s">
        <v>2723</v>
      </c>
      <c r="D616" s="49"/>
      <c r="E616" s="49"/>
      <c r="F616" s="49"/>
      <c r="G616" s="4" t="s">
        <v>2724</v>
      </c>
      <c r="H616" s="8"/>
      <c r="I616" s="9" t="s">
        <v>2713</v>
      </c>
      <c r="J616" s="10"/>
      <c r="K616" s="11">
        <v>50</v>
      </c>
      <c r="L616" s="10"/>
      <c r="M616" s="10" t="s">
        <v>47</v>
      </c>
      <c r="N616" s="10"/>
      <c r="O616" s="2">
        <v>7</v>
      </c>
      <c r="P616" s="17">
        <f>97*(1-S3/100)</f>
        <v>97</v>
      </c>
      <c r="Q616" s="18"/>
      <c r="R616" s="10">
        <f>P616*Q616</f>
        <v>0</v>
      </c>
      <c r="S616" s="19">
        <f>0.065*Q616</f>
        <v>0</v>
      </c>
      <c r="T616" s="20">
        <f>0.00021*Q616</f>
        <v>0</v>
      </c>
      <c r="U616" s="21"/>
      <c r="V616" s="22" t="s">
        <v>2725</v>
      </c>
      <c r="W616" s="22" t="s">
        <v>191</v>
      </c>
      <c r="X616" s="3"/>
      <c r="Y616" s="3" t="s">
        <v>2726</v>
      </c>
      <c r="Z616" s="3"/>
      <c r="AA616" s="3" t="s">
        <v>2727</v>
      </c>
      <c r="AB616" s="3"/>
      <c r="AC616" s="3" t="str">
        <f>HYPERLINK("https://knigipp.ru/api/getInfo/image/bd2db2df-9b41-11ee-a256-00155d82e908")</f>
        <v>https://knigipp.ru/api/getInfo/image/bd2db2df-9b41-11ee-a256-00155d82e908</v>
      </c>
      <c r="AD616" s="32">
        <v>32</v>
      </c>
      <c r="AE616" s="3"/>
      <c r="AF616" s="3" t="s">
        <v>136</v>
      </c>
      <c r="AG616" s="3"/>
      <c r="AH616" s="3" t="s">
        <v>56</v>
      </c>
      <c r="AI616" s="3"/>
      <c r="AJ616" s="3"/>
      <c r="AK616" s="3" t="str">
        <f>HYPERLINK("https://knigipp.ru/api/getInfo/item/bd2db2df-9b41-11ee-a256-00155d82e908")</f>
        <v>https://knigipp.ru/api/getInfo/item/bd2db2df-9b41-11ee-a256-00155d82e908</v>
      </c>
      <c r="AL616" s="3" t="s">
        <v>2716</v>
      </c>
    </row>
    <row r="617" spans="1:38" ht="21" customHeight="1" outlineLevel="4" x14ac:dyDescent="0.2">
      <c r="A617" s="2">
        <v>455</v>
      </c>
      <c r="B617" s="3" t="s">
        <v>2728</v>
      </c>
      <c r="C617" s="49" t="s">
        <v>2729</v>
      </c>
      <c r="D617" s="49"/>
      <c r="E617" s="49"/>
      <c r="F617" s="49"/>
      <c r="G617" s="4" t="s">
        <v>2730</v>
      </c>
      <c r="H617" s="8"/>
      <c r="I617" s="9" t="s">
        <v>2713</v>
      </c>
      <c r="J617" s="10"/>
      <c r="K617" s="11">
        <v>50</v>
      </c>
      <c r="L617" s="10"/>
      <c r="M617" s="10" t="s">
        <v>47</v>
      </c>
      <c r="N617" s="10"/>
      <c r="O617" s="2">
        <v>7</v>
      </c>
      <c r="P617" s="17">
        <f>97*(1-S3/100)</f>
        <v>97</v>
      </c>
      <c r="Q617" s="18"/>
      <c r="R617" s="10">
        <f>P617*Q617</f>
        <v>0</v>
      </c>
      <c r="S617" s="19">
        <f>0.067*Q617</f>
        <v>0</v>
      </c>
      <c r="T617" s="20">
        <f>0.00018*Q617</f>
        <v>0</v>
      </c>
      <c r="U617" s="21"/>
      <c r="V617" s="22" t="s">
        <v>2731</v>
      </c>
      <c r="W617" s="22" t="s">
        <v>191</v>
      </c>
      <c r="X617" s="3"/>
      <c r="Y617" s="3" t="s">
        <v>2732</v>
      </c>
      <c r="Z617" s="3" t="s">
        <v>52</v>
      </c>
      <c r="AA617" s="3"/>
      <c r="AB617" s="3"/>
      <c r="AC617" s="3" t="str">
        <f>HYPERLINK("https://knigipp.ru/api/getInfo/image/d44a9f99-648a-11eb-a26d-ac1f6b442184")</f>
        <v>https://knigipp.ru/api/getInfo/image/d44a9f99-648a-11eb-a26d-ac1f6b442184</v>
      </c>
      <c r="AD617" s="32">
        <v>32</v>
      </c>
      <c r="AE617" s="3"/>
      <c r="AF617" s="3" t="s">
        <v>136</v>
      </c>
      <c r="AG617" s="3"/>
      <c r="AH617" s="3" t="s">
        <v>56</v>
      </c>
      <c r="AI617" s="3"/>
      <c r="AJ617" s="3"/>
      <c r="AK617" s="3" t="str">
        <f>HYPERLINK("https://knigipp.ru/api/getInfo/item/d44a9f99-648a-11eb-a26d-ac1f6b442184")</f>
        <v>https://knigipp.ru/api/getInfo/item/d44a9f99-648a-11eb-a26d-ac1f6b442184</v>
      </c>
      <c r="AL617" s="3" t="s">
        <v>2716</v>
      </c>
    </row>
    <row r="618" spans="1:38" ht="21" customHeight="1" outlineLevel="4" x14ac:dyDescent="0.2">
      <c r="A618" s="2">
        <v>456</v>
      </c>
      <c r="B618" s="3" t="s">
        <v>2733</v>
      </c>
      <c r="C618" s="49" t="s">
        <v>2734</v>
      </c>
      <c r="D618" s="49"/>
      <c r="E618" s="49"/>
      <c r="F618" s="49"/>
      <c r="G618" s="4" t="s">
        <v>2735</v>
      </c>
      <c r="H618" s="8"/>
      <c r="I618" s="9" t="s">
        <v>2713</v>
      </c>
      <c r="J618" s="10"/>
      <c r="K618" s="11">
        <v>50</v>
      </c>
      <c r="L618" s="10"/>
      <c r="M618" s="10" t="s">
        <v>47</v>
      </c>
      <c r="N618" s="10"/>
      <c r="O618" s="2">
        <v>7</v>
      </c>
      <c r="P618" s="17">
        <f>97*(1-S3/100)</f>
        <v>97</v>
      </c>
      <c r="Q618" s="18"/>
      <c r="R618" s="10">
        <f>P618*Q618</f>
        <v>0</v>
      </c>
      <c r="S618" s="19">
        <f>0.068*Q618</f>
        <v>0</v>
      </c>
      <c r="T618" s="20">
        <f>0.00019*Q618</f>
        <v>0</v>
      </c>
      <c r="U618" s="21"/>
      <c r="V618" s="22" t="s">
        <v>2736</v>
      </c>
      <c r="W618" s="22" t="s">
        <v>191</v>
      </c>
      <c r="X618" s="3"/>
      <c r="Y618" s="3" t="s">
        <v>2737</v>
      </c>
      <c r="Z618" s="3" t="s">
        <v>52</v>
      </c>
      <c r="AA618" s="3"/>
      <c r="AB618" s="3"/>
      <c r="AC618" s="3" t="str">
        <f>HYPERLINK("https://knigipp.ru/api/getInfo/image/497f9706-648c-11eb-a26d-ac1f6b442184")</f>
        <v>https://knigipp.ru/api/getInfo/image/497f9706-648c-11eb-a26d-ac1f6b442184</v>
      </c>
      <c r="AD618" s="32">
        <v>32</v>
      </c>
      <c r="AE618" s="3"/>
      <c r="AF618" s="3" t="s">
        <v>136</v>
      </c>
      <c r="AG618" s="3"/>
      <c r="AH618" s="3" t="s">
        <v>56</v>
      </c>
      <c r="AI618" s="3"/>
      <c r="AJ618" s="3"/>
      <c r="AK618" s="3" t="str">
        <f>HYPERLINK("https://knigipp.ru/api/getInfo/item/497f9706-648c-11eb-a26d-ac1f6b442184")</f>
        <v>https://knigipp.ru/api/getInfo/item/497f9706-648c-11eb-a26d-ac1f6b442184</v>
      </c>
      <c r="AL618" s="3" t="s">
        <v>2716</v>
      </c>
    </row>
    <row r="619" spans="1:38" ht="23.1" customHeight="1" outlineLevel="3" x14ac:dyDescent="0.2">
      <c r="A619" s="48" t="s">
        <v>2738</v>
      </c>
      <c r="B619" s="48"/>
      <c r="C619" s="48"/>
      <c r="D619" s="48"/>
      <c r="E619" s="48"/>
      <c r="F619" s="48"/>
    </row>
    <row r="620" spans="1:38" ht="21" customHeight="1" outlineLevel="4" x14ac:dyDescent="0.2">
      <c r="A620" s="2">
        <v>457</v>
      </c>
      <c r="B620" s="3" t="s">
        <v>2739</v>
      </c>
      <c r="C620" s="49" t="s">
        <v>2740</v>
      </c>
      <c r="D620" s="49"/>
      <c r="E620" s="49"/>
      <c r="F620" s="49"/>
      <c r="G620" s="4" t="s">
        <v>2741</v>
      </c>
      <c r="H620" s="8"/>
      <c r="I620" s="9" t="s">
        <v>2742</v>
      </c>
      <c r="J620" s="10"/>
      <c r="K620" s="11">
        <v>50</v>
      </c>
      <c r="L620" s="10"/>
      <c r="M620" s="10" t="s">
        <v>47</v>
      </c>
      <c r="N620" s="10"/>
      <c r="O620" s="2">
        <v>5</v>
      </c>
      <c r="P620" s="17">
        <f>137*(1-S3/100)</f>
        <v>137</v>
      </c>
      <c r="Q620" s="18"/>
      <c r="R620" s="10">
        <f>P620*Q620</f>
        <v>0</v>
      </c>
      <c r="S620" s="19">
        <f>0.072*Q620</f>
        <v>0</v>
      </c>
      <c r="T620" s="20">
        <f>0.00016*Q620</f>
        <v>0</v>
      </c>
      <c r="U620" s="21"/>
      <c r="V620" s="22" t="s">
        <v>2743</v>
      </c>
      <c r="W620" s="22" t="s">
        <v>191</v>
      </c>
      <c r="X620" s="3"/>
      <c r="Y620" s="3"/>
      <c r="Z620" s="3" t="s">
        <v>52</v>
      </c>
      <c r="AA620" s="3"/>
      <c r="AB620" s="3"/>
      <c r="AC620" s="3" t="str">
        <f>HYPERLINK("https://knigipp.ru/api/getInfo/image/db9acc1e-02ad-11ed-a213-ac1f6b442185")</f>
        <v>https://knigipp.ru/api/getInfo/image/db9acc1e-02ad-11ed-a213-ac1f6b442185</v>
      </c>
      <c r="AD620" s="32">
        <v>32</v>
      </c>
      <c r="AE620" s="3"/>
      <c r="AF620" s="3" t="s">
        <v>136</v>
      </c>
      <c r="AG620" s="3"/>
      <c r="AH620" s="3" t="s">
        <v>56</v>
      </c>
      <c r="AI620" s="3"/>
      <c r="AJ620" s="3"/>
      <c r="AK620" s="3" t="str">
        <f>HYPERLINK("https://knigipp.ru/api/getInfo/item/db9acc1e-02ad-11ed-a213-ac1f6b442185")</f>
        <v>https://knigipp.ru/api/getInfo/item/db9acc1e-02ad-11ed-a213-ac1f6b442185</v>
      </c>
      <c r="AL620" s="3" t="s">
        <v>2744</v>
      </c>
    </row>
    <row r="621" spans="1:38" ht="23.1" customHeight="1" outlineLevel="3" x14ac:dyDescent="0.2">
      <c r="A621" s="48" t="s">
        <v>2745</v>
      </c>
      <c r="B621" s="48"/>
      <c r="C621" s="48"/>
      <c r="D621" s="48"/>
      <c r="E621" s="48"/>
      <c r="F621" s="48"/>
    </row>
    <row r="622" spans="1:38" ht="21" customHeight="1" outlineLevel="4" x14ac:dyDescent="0.2">
      <c r="A622" s="2">
        <v>458</v>
      </c>
      <c r="B622" s="3" t="s">
        <v>2746</v>
      </c>
      <c r="C622" s="49" t="s">
        <v>2747</v>
      </c>
      <c r="D622" s="49"/>
      <c r="E622" s="49"/>
      <c r="F622" s="49"/>
      <c r="G622" s="4" t="s">
        <v>2748</v>
      </c>
      <c r="H622" s="8"/>
      <c r="I622" s="9" t="s">
        <v>2749</v>
      </c>
      <c r="J622" s="10"/>
      <c r="K622" s="11">
        <v>10</v>
      </c>
      <c r="L622" s="10"/>
      <c r="M622" s="10" t="s">
        <v>78</v>
      </c>
      <c r="N622" s="10"/>
      <c r="O622" s="2">
        <v>3</v>
      </c>
      <c r="P622" s="17">
        <f>229*(1-S3/100)</f>
        <v>229</v>
      </c>
      <c r="Q622" s="18"/>
      <c r="R622" s="10">
        <f>P622*Q622</f>
        <v>0</v>
      </c>
      <c r="S622" s="19">
        <f>0.251*Q622</f>
        <v>0</v>
      </c>
      <c r="T622" s="20">
        <f>0.00032*Q622</f>
        <v>0</v>
      </c>
      <c r="U622" s="21"/>
      <c r="V622" s="22" t="s">
        <v>2750</v>
      </c>
      <c r="W622" s="22" t="s">
        <v>191</v>
      </c>
      <c r="X622" s="3"/>
      <c r="Y622" s="3" t="s">
        <v>2751</v>
      </c>
      <c r="Z622" s="3" t="s">
        <v>52</v>
      </c>
      <c r="AA622" s="3" t="s">
        <v>2752</v>
      </c>
      <c r="AB622" s="3"/>
      <c r="AC622" s="3" t="str">
        <f>HYPERLINK("https://knigipp.ru/api/getInfo/image/48f39991-3b5d-11ee-a241-00155d82e902")</f>
        <v>https://knigipp.ru/api/getInfo/image/48f39991-3b5d-11ee-a241-00155d82e902</v>
      </c>
      <c r="AD622" s="32">
        <v>128</v>
      </c>
      <c r="AE622" s="3" t="s">
        <v>481</v>
      </c>
      <c r="AF622" s="3" t="s">
        <v>127</v>
      </c>
      <c r="AG622" s="3"/>
      <c r="AH622" s="3" t="s">
        <v>56</v>
      </c>
      <c r="AI622" s="3"/>
      <c r="AJ622" s="3"/>
      <c r="AK622" s="3" t="str">
        <f>HYPERLINK("https://knigipp.ru/api/getInfo/item/48f39991-3b5d-11ee-a241-00155d82e902")</f>
        <v>https://knigipp.ru/api/getInfo/item/48f39991-3b5d-11ee-a241-00155d82e902</v>
      </c>
      <c r="AL622" s="3" t="s">
        <v>2753</v>
      </c>
    </row>
    <row r="623" spans="1:38" ht="21" customHeight="1" outlineLevel="4" x14ac:dyDescent="0.2">
      <c r="A623" s="2">
        <v>459</v>
      </c>
      <c r="B623" s="3" t="s">
        <v>2754</v>
      </c>
      <c r="C623" s="49" t="s">
        <v>2755</v>
      </c>
      <c r="D623" s="49"/>
      <c r="E623" s="49"/>
      <c r="F623" s="49"/>
      <c r="G623" s="4" t="s">
        <v>2756</v>
      </c>
      <c r="H623" s="8"/>
      <c r="I623" s="9" t="s">
        <v>2757</v>
      </c>
      <c r="J623" s="10"/>
      <c r="K623" s="11">
        <v>10</v>
      </c>
      <c r="L623" s="10"/>
      <c r="M623" s="10" t="s">
        <v>78</v>
      </c>
      <c r="N623" s="10"/>
      <c r="O623" s="2">
        <v>3</v>
      </c>
      <c r="P623" s="17">
        <f>229*(1-S3/100)</f>
        <v>229</v>
      </c>
      <c r="Q623" s="18"/>
      <c r="R623" s="10">
        <f>P623*Q623</f>
        <v>0</v>
      </c>
      <c r="S623" s="19">
        <f>0.251*Q623</f>
        <v>0</v>
      </c>
      <c r="T623" s="20">
        <f>0.00032*Q623</f>
        <v>0</v>
      </c>
      <c r="U623" s="21"/>
      <c r="V623" s="22" t="s">
        <v>2758</v>
      </c>
      <c r="W623" s="22" t="s">
        <v>191</v>
      </c>
      <c r="X623" s="3"/>
      <c r="Y623" s="3" t="s">
        <v>2759</v>
      </c>
      <c r="Z623" s="3" t="s">
        <v>52</v>
      </c>
      <c r="AA623" s="3" t="s">
        <v>2752</v>
      </c>
      <c r="AB623" s="3"/>
      <c r="AC623" s="3" t="str">
        <f>HYPERLINK("https://knigipp.ru/api/getInfo/image/d5ed572e-3b5b-11ee-a241-00155d82e902")</f>
        <v>https://knigipp.ru/api/getInfo/image/d5ed572e-3b5b-11ee-a241-00155d82e902</v>
      </c>
      <c r="AD623" s="32">
        <v>128</v>
      </c>
      <c r="AE623" s="3" t="s">
        <v>481</v>
      </c>
      <c r="AF623" s="3" t="s">
        <v>127</v>
      </c>
      <c r="AG623" s="3"/>
      <c r="AH623" s="3" t="s">
        <v>56</v>
      </c>
      <c r="AI623" s="3"/>
      <c r="AJ623" s="3"/>
      <c r="AK623" s="3" t="str">
        <f>HYPERLINK("https://knigipp.ru/api/getInfo/item/d5ed572e-3b5b-11ee-a241-00155d82e902")</f>
        <v>https://knigipp.ru/api/getInfo/item/d5ed572e-3b5b-11ee-a241-00155d82e902</v>
      </c>
      <c r="AL623" s="3" t="s">
        <v>2753</v>
      </c>
    </row>
    <row r="624" spans="1:38" ht="21" customHeight="1" outlineLevel="4" x14ac:dyDescent="0.2">
      <c r="A624" s="2">
        <v>460</v>
      </c>
      <c r="B624" s="3" t="s">
        <v>2760</v>
      </c>
      <c r="C624" s="49" t="s">
        <v>2761</v>
      </c>
      <c r="D624" s="49"/>
      <c r="E624" s="49"/>
      <c r="F624" s="49"/>
      <c r="G624" s="4" t="s">
        <v>2762</v>
      </c>
      <c r="H624" s="8"/>
      <c r="I624" s="9" t="s">
        <v>2763</v>
      </c>
      <c r="J624" s="10"/>
      <c r="K624" s="11">
        <v>10</v>
      </c>
      <c r="L624" s="10"/>
      <c r="M624" s="10" t="s">
        <v>47</v>
      </c>
      <c r="N624" s="10"/>
      <c r="O624" s="2">
        <v>3</v>
      </c>
      <c r="P624" s="17">
        <f>229*(1-S3/100)</f>
        <v>229</v>
      </c>
      <c r="Q624" s="18"/>
      <c r="R624" s="10">
        <f>P624*Q624</f>
        <v>0</v>
      </c>
      <c r="S624" s="19">
        <f>0.251*Q624</f>
        <v>0</v>
      </c>
      <c r="T624" s="20">
        <f>0.00032*Q624</f>
        <v>0</v>
      </c>
      <c r="U624" s="21"/>
      <c r="V624" s="22" t="s">
        <v>2764</v>
      </c>
      <c r="W624" s="22" t="s">
        <v>191</v>
      </c>
      <c r="X624" s="3"/>
      <c r="Y624" s="3" t="s">
        <v>2765</v>
      </c>
      <c r="Z624" s="3" t="s">
        <v>52</v>
      </c>
      <c r="AA624" s="3" t="s">
        <v>2752</v>
      </c>
      <c r="AB624" s="3"/>
      <c r="AC624" s="3" t="str">
        <f>HYPERLINK("https://knigipp.ru/api/getInfo/image/229e28d3-3b5d-11ee-a241-00155d82e902")</f>
        <v>https://knigipp.ru/api/getInfo/image/229e28d3-3b5d-11ee-a241-00155d82e902</v>
      </c>
      <c r="AD624" s="32">
        <v>128</v>
      </c>
      <c r="AE624" s="3" t="s">
        <v>481</v>
      </c>
      <c r="AF624" s="3" t="s">
        <v>127</v>
      </c>
      <c r="AG624" s="3"/>
      <c r="AH624" s="3" t="s">
        <v>56</v>
      </c>
      <c r="AI624" s="3"/>
      <c r="AJ624" s="3"/>
      <c r="AK624" s="3" t="str">
        <f>HYPERLINK("https://knigipp.ru/api/getInfo/item/229e28d3-3b5d-11ee-a241-00155d82e902")</f>
        <v>https://knigipp.ru/api/getInfo/item/229e28d3-3b5d-11ee-a241-00155d82e902</v>
      </c>
      <c r="AL624" s="3" t="s">
        <v>2753</v>
      </c>
    </row>
    <row r="625" spans="1:38" ht="23.1" customHeight="1" outlineLevel="3" x14ac:dyDescent="0.2">
      <c r="A625" s="48" t="s">
        <v>2766</v>
      </c>
      <c r="B625" s="48"/>
      <c r="C625" s="48"/>
      <c r="D625" s="48"/>
      <c r="E625" s="48"/>
      <c r="F625" s="48"/>
    </row>
    <row r="626" spans="1:38" ht="21" customHeight="1" outlineLevel="4" x14ac:dyDescent="0.2">
      <c r="A626" s="2">
        <v>461</v>
      </c>
      <c r="B626" s="3" t="s">
        <v>2767</v>
      </c>
      <c r="C626" s="49" t="s">
        <v>2768</v>
      </c>
      <c r="D626" s="49"/>
      <c r="E626" s="49"/>
      <c r="F626" s="49"/>
      <c r="G626" s="4" t="s">
        <v>2769</v>
      </c>
      <c r="H626" s="8"/>
      <c r="I626" s="9" t="s">
        <v>2770</v>
      </c>
      <c r="J626" s="10"/>
      <c r="K626" s="11">
        <v>10</v>
      </c>
      <c r="L626" s="10"/>
      <c r="M626" s="10" t="s">
        <v>47</v>
      </c>
      <c r="N626" s="10"/>
      <c r="O626" s="2">
        <v>3</v>
      </c>
      <c r="P626" s="17">
        <f>249*(1-S3/100)</f>
        <v>249</v>
      </c>
      <c r="Q626" s="18"/>
      <c r="R626" s="10">
        <f t="shared" ref="R626:R639" si="29">P626*Q626</f>
        <v>0</v>
      </c>
      <c r="S626" s="19">
        <f>4.527*Q626</f>
        <v>0</v>
      </c>
      <c r="T626" s="20">
        <f>0.04438*Q626</f>
        <v>0</v>
      </c>
      <c r="U626" s="21"/>
      <c r="V626" s="22" t="s">
        <v>2771</v>
      </c>
      <c r="W626" s="22" t="s">
        <v>191</v>
      </c>
      <c r="X626" s="3"/>
      <c r="Y626" s="3"/>
      <c r="Z626" s="3" t="s">
        <v>52</v>
      </c>
      <c r="AA626" s="3"/>
      <c r="AB626" s="3"/>
      <c r="AC626" s="3" t="str">
        <f>HYPERLINK("https://knigipp.ru/api/getInfo/image/6540afb9-7973-11ea-a244-ac1f6b442184")</f>
        <v>https://knigipp.ru/api/getInfo/image/6540afb9-7973-11ea-a244-ac1f6b442184</v>
      </c>
      <c r="AD626" s="32">
        <v>144</v>
      </c>
      <c r="AE626" s="3"/>
      <c r="AF626" s="3" t="s">
        <v>127</v>
      </c>
      <c r="AG626" s="32">
        <v>100</v>
      </c>
      <c r="AH626" s="3" t="s">
        <v>56</v>
      </c>
      <c r="AI626" s="3"/>
      <c r="AJ626" s="3"/>
      <c r="AK626" s="3" t="str">
        <f>HYPERLINK("https://knigipp.ru/api/getInfo/item/6540afb9-7973-11ea-a244-ac1f6b442184")</f>
        <v>https://knigipp.ru/api/getInfo/item/6540afb9-7973-11ea-a244-ac1f6b442184</v>
      </c>
      <c r="AL626" s="3" t="s">
        <v>356</v>
      </c>
    </row>
    <row r="627" spans="1:38" ht="21" customHeight="1" outlineLevel="4" x14ac:dyDescent="0.2">
      <c r="A627" s="2">
        <v>462</v>
      </c>
      <c r="B627" s="3" t="s">
        <v>2772</v>
      </c>
      <c r="C627" s="49" t="s">
        <v>2773</v>
      </c>
      <c r="D627" s="49"/>
      <c r="E627" s="49"/>
      <c r="F627" s="49"/>
      <c r="G627" s="4" t="s">
        <v>2774</v>
      </c>
      <c r="H627" s="8"/>
      <c r="I627" s="9" t="s">
        <v>2770</v>
      </c>
      <c r="J627" s="10"/>
      <c r="K627" s="11">
        <v>10</v>
      </c>
      <c r="L627" s="10"/>
      <c r="M627" s="10" t="s">
        <v>47</v>
      </c>
      <c r="N627" s="10"/>
      <c r="O627" s="2">
        <v>3</v>
      </c>
      <c r="P627" s="17">
        <f>249*(1-S3/100)</f>
        <v>249</v>
      </c>
      <c r="Q627" s="18"/>
      <c r="R627" s="10">
        <f t="shared" si="29"/>
        <v>0</v>
      </c>
      <c r="S627" s="19">
        <f>0.275*Q627</f>
        <v>0</v>
      </c>
      <c r="T627" s="20">
        <f>0.00054*Q627</f>
        <v>0</v>
      </c>
      <c r="U627" s="21"/>
      <c r="V627" s="22" t="s">
        <v>2775</v>
      </c>
      <c r="W627" s="22" t="s">
        <v>191</v>
      </c>
      <c r="X627" s="3"/>
      <c r="Y627" s="3"/>
      <c r="Z627" s="3" t="s">
        <v>52</v>
      </c>
      <c r="AA627" s="3"/>
      <c r="AB627" s="3"/>
      <c r="AC627" s="3" t="str">
        <f>HYPERLINK("https://knigipp.ru/api/getInfo/image/d49fa9b2-6953-11ec-a20f-ac1f6b442185")</f>
        <v>https://knigipp.ru/api/getInfo/image/d49fa9b2-6953-11ec-a20f-ac1f6b442185</v>
      </c>
      <c r="AD627" s="32">
        <v>144</v>
      </c>
      <c r="AE627" s="3"/>
      <c r="AF627" s="3" t="s">
        <v>127</v>
      </c>
      <c r="AG627" s="32">
        <v>100</v>
      </c>
      <c r="AH627" s="3" t="s">
        <v>56</v>
      </c>
      <c r="AI627" s="3"/>
      <c r="AJ627" s="3"/>
      <c r="AK627" s="3" t="str">
        <f>HYPERLINK("https://knigipp.ru/api/getInfo/item/d49fa9b2-6953-11ec-a20f-ac1f6b442185")</f>
        <v>https://knigipp.ru/api/getInfo/item/d49fa9b2-6953-11ec-a20f-ac1f6b442185</v>
      </c>
      <c r="AL627" s="3" t="s">
        <v>356</v>
      </c>
    </row>
    <row r="628" spans="1:38" ht="21" customHeight="1" outlineLevel="4" x14ac:dyDescent="0.2">
      <c r="A628" s="2">
        <v>463</v>
      </c>
      <c r="B628" s="3" t="s">
        <v>2776</v>
      </c>
      <c r="C628" s="49" t="s">
        <v>2777</v>
      </c>
      <c r="D628" s="49"/>
      <c r="E628" s="49"/>
      <c r="F628" s="49"/>
      <c r="G628" s="4" t="s">
        <v>2778</v>
      </c>
      <c r="H628" s="8"/>
      <c r="I628" s="9" t="s">
        <v>2770</v>
      </c>
      <c r="J628" s="10"/>
      <c r="K628" s="11">
        <v>10</v>
      </c>
      <c r="L628" s="10"/>
      <c r="M628" s="10" t="s">
        <v>47</v>
      </c>
      <c r="N628" s="10"/>
      <c r="O628" s="2">
        <v>3</v>
      </c>
      <c r="P628" s="17">
        <f>249*(1-S3/100)</f>
        <v>249</v>
      </c>
      <c r="Q628" s="18"/>
      <c r="R628" s="10">
        <f t="shared" si="29"/>
        <v>0</v>
      </c>
      <c r="S628" s="19">
        <f>0.275*Q628</f>
        <v>0</v>
      </c>
      <c r="T628" s="20">
        <f>0.00054*Q628</f>
        <v>0</v>
      </c>
      <c r="U628" s="21"/>
      <c r="V628" s="22" t="s">
        <v>2779</v>
      </c>
      <c r="W628" s="22" t="s">
        <v>191</v>
      </c>
      <c r="X628" s="3"/>
      <c r="Y628" s="3"/>
      <c r="Z628" s="3" t="s">
        <v>52</v>
      </c>
      <c r="AA628" s="3"/>
      <c r="AB628" s="3"/>
      <c r="AC628" s="3" t="str">
        <f>HYPERLINK("https://knigipp.ru/api/getInfo/image/05920b56-6954-11ec-a20f-ac1f6b442185")</f>
        <v>https://knigipp.ru/api/getInfo/image/05920b56-6954-11ec-a20f-ac1f6b442185</v>
      </c>
      <c r="AD628" s="32">
        <v>144</v>
      </c>
      <c r="AE628" s="3"/>
      <c r="AF628" s="3" t="s">
        <v>127</v>
      </c>
      <c r="AG628" s="32">
        <v>100</v>
      </c>
      <c r="AH628" s="3" t="s">
        <v>56</v>
      </c>
      <c r="AI628" s="3"/>
      <c r="AJ628" s="3"/>
      <c r="AK628" s="3" t="str">
        <f>HYPERLINK("https://knigipp.ru/api/getInfo/item/05920b56-6954-11ec-a20f-ac1f6b442185")</f>
        <v>https://knigipp.ru/api/getInfo/item/05920b56-6954-11ec-a20f-ac1f6b442185</v>
      </c>
      <c r="AL628" s="3" t="s">
        <v>356</v>
      </c>
    </row>
    <row r="629" spans="1:38" ht="21" customHeight="1" outlineLevel="4" x14ac:dyDescent="0.2">
      <c r="A629" s="2">
        <v>464</v>
      </c>
      <c r="B629" s="3" t="s">
        <v>2780</v>
      </c>
      <c r="C629" s="49" t="s">
        <v>2781</v>
      </c>
      <c r="D629" s="49"/>
      <c r="E629" s="49"/>
      <c r="F629" s="49"/>
      <c r="G629" s="4" t="s">
        <v>2782</v>
      </c>
      <c r="H629" s="8"/>
      <c r="I629" s="9"/>
      <c r="J629" s="10"/>
      <c r="K629" s="11">
        <v>10</v>
      </c>
      <c r="L629" s="10"/>
      <c r="M629" s="10" t="s">
        <v>47</v>
      </c>
      <c r="N629" s="10"/>
      <c r="O629" s="2">
        <v>3</v>
      </c>
      <c r="P629" s="17">
        <f>249*(1-S3/100)</f>
        <v>249</v>
      </c>
      <c r="Q629" s="18"/>
      <c r="R629" s="10">
        <f t="shared" si="29"/>
        <v>0</v>
      </c>
      <c r="S629" s="19">
        <f>0.278*Q629</f>
        <v>0</v>
      </c>
      <c r="T629" s="20">
        <f>0.00037*Q629</f>
        <v>0</v>
      </c>
      <c r="U629" s="21"/>
      <c r="V629" s="22" t="s">
        <v>2783</v>
      </c>
      <c r="W629" s="22" t="s">
        <v>191</v>
      </c>
      <c r="X629" s="3"/>
      <c r="Y629" s="3"/>
      <c r="Z629" s="3" t="s">
        <v>52</v>
      </c>
      <c r="AA629" s="3" t="s">
        <v>2784</v>
      </c>
      <c r="AB629" s="3"/>
      <c r="AC629" s="3" t="str">
        <f>HYPERLINK("https://knigipp.ru/api/getInfo/image/9a5748f5-669c-11ee-a245-00155d82e902")</f>
        <v>https://knigipp.ru/api/getInfo/image/9a5748f5-669c-11ee-a245-00155d82e902</v>
      </c>
      <c r="AD629" s="32">
        <v>144</v>
      </c>
      <c r="AE629" s="3" t="s">
        <v>481</v>
      </c>
      <c r="AF629" s="3" t="s">
        <v>127</v>
      </c>
      <c r="AG629" s="32">
        <v>100</v>
      </c>
      <c r="AH629" s="3" t="s">
        <v>56</v>
      </c>
      <c r="AI629" s="3"/>
      <c r="AJ629" s="3"/>
      <c r="AK629" s="3" t="str">
        <f>HYPERLINK("https://knigipp.ru/api/getInfo/item/9a5748f5-669c-11ee-a245-00155d82e902")</f>
        <v>https://knigipp.ru/api/getInfo/item/9a5748f5-669c-11ee-a245-00155d82e902</v>
      </c>
      <c r="AL629" s="3" t="s">
        <v>356</v>
      </c>
    </row>
    <row r="630" spans="1:38" ht="21" customHeight="1" outlineLevel="4" x14ac:dyDescent="0.2">
      <c r="A630" s="2">
        <v>465</v>
      </c>
      <c r="B630" s="3" t="s">
        <v>2785</v>
      </c>
      <c r="C630" s="49" t="s">
        <v>2786</v>
      </c>
      <c r="D630" s="49"/>
      <c r="E630" s="49"/>
      <c r="F630" s="49"/>
      <c r="G630" s="4" t="s">
        <v>2787</v>
      </c>
      <c r="H630" s="8"/>
      <c r="I630" s="9" t="s">
        <v>2770</v>
      </c>
      <c r="J630" s="10"/>
      <c r="K630" s="11">
        <v>10</v>
      </c>
      <c r="L630" s="10"/>
      <c r="M630" s="10" t="s">
        <v>78</v>
      </c>
      <c r="N630" s="10"/>
      <c r="O630" s="2">
        <v>3</v>
      </c>
      <c r="P630" s="17">
        <f>249*(1-S3/100)</f>
        <v>249</v>
      </c>
      <c r="Q630" s="18"/>
      <c r="R630" s="10">
        <f t="shared" si="29"/>
        <v>0</v>
      </c>
      <c r="S630" s="28">
        <f>0.28*Q630</f>
        <v>0</v>
      </c>
      <c r="T630" s="20">
        <f>0.00044*Q630</f>
        <v>0</v>
      </c>
      <c r="U630" s="21"/>
      <c r="V630" s="22" t="s">
        <v>2788</v>
      </c>
      <c r="W630" s="22" t="s">
        <v>191</v>
      </c>
      <c r="X630" s="3"/>
      <c r="Y630" s="3"/>
      <c r="Z630" s="3" t="s">
        <v>52</v>
      </c>
      <c r="AA630" s="3"/>
      <c r="AB630" s="3"/>
      <c r="AC630" s="3" t="str">
        <f>HYPERLINK("https://knigipp.ru/api/getInfo/image/007a2298-9dc2-11eb-a201-ac1f6b442185")</f>
        <v>https://knigipp.ru/api/getInfo/image/007a2298-9dc2-11eb-a201-ac1f6b442185</v>
      </c>
      <c r="AD630" s="32">
        <v>144</v>
      </c>
      <c r="AE630" s="3"/>
      <c r="AF630" s="3" t="s">
        <v>127</v>
      </c>
      <c r="AG630" s="32">
        <v>100</v>
      </c>
      <c r="AH630" s="3" t="s">
        <v>56</v>
      </c>
      <c r="AI630" s="3"/>
      <c r="AJ630" s="3"/>
      <c r="AK630" s="3" t="str">
        <f>HYPERLINK("https://knigipp.ru/api/getInfo/item/007a2298-9dc2-11eb-a201-ac1f6b442185")</f>
        <v>https://knigipp.ru/api/getInfo/item/007a2298-9dc2-11eb-a201-ac1f6b442185</v>
      </c>
      <c r="AL630" s="3" t="s">
        <v>356</v>
      </c>
    </row>
    <row r="631" spans="1:38" ht="21" customHeight="1" outlineLevel="4" x14ac:dyDescent="0.2">
      <c r="A631" s="2">
        <v>466</v>
      </c>
      <c r="B631" s="3" t="s">
        <v>2789</v>
      </c>
      <c r="C631" s="49" t="s">
        <v>2790</v>
      </c>
      <c r="D631" s="49"/>
      <c r="E631" s="49"/>
      <c r="F631" s="49"/>
      <c r="G631" s="4" t="s">
        <v>2791</v>
      </c>
      <c r="H631" s="8"/>
      <c r="I631" s="9" t="s">
        <v>2770</v>
      </c>
      <c r="J631" s="10"/>
      <c r="K631" s="11">
        <v>10</v>
      </c>
      <c r="L631" s="10"/>
      <c r="M631" s="10" t="s">
        <v>78</v>
      </c>
      <c r="N631" s="10"/>
      <c r="O631" s="2">
        <v>3</v>
      </c>
      <c r="P631" s="17">
        <f>249*(1-S3/100)</f>
        <v>249</v>
      </c>
      <c r="Q631" s="18"/>
      <c r="R631" s="10">
        <f t="shared" si="29"/>
        <v>0</v>
      </c>
      <c r="S631" s="28">
        <f>0.28*Q631</f>
        <v>0</v>
      </c>
      <c r="T631" s="20">
        <f>0.00044*Q631</f>
        <v>0</v>
      </c>
      <c r="U631" s="21"/>
      <c r="V631" s="22" t="s">
        <v>2792</v>
      </c>
      <c r="W631" s="22" t="s">
        <v>191</v>
      </c>
      <c r="X631" s="3"/>
      <c r="Y631" s="3"/>
      <c r="Z631" s="3" t="s">
        <v>52</v>
      </c>
      <c r="AA631" s="3"/>
      <c r="AB631" s="3"/>
      <c r="AC631" s="3" t="str">
        <f>HYPERLINK("https://knigipp.ru/api/getInfo/image/2ef917ca-6a7a-11ea-a243-ac1f6b442184")</f>
        <v>https://knigipp.ru/api/getInfo/image/2ef917ca-6a7a-11ea-a243-ac1f6b442184</v>
      </c>
      <c r="AD631" s="32">
        <v>144</v>
      </c>
      <c r="AE631" s="3"/>
      <c r="AF631" s="3" t="s">
        <v>127</v>
      </c>
      <c r="AG631" s="32">
        <v>100</v>
      </c>
      <c r="AH631" s="3" t="s">
        <v>56</v>
      </c>
      <c r="AI631" s="3"/>
      <c r="AJ631" s="3"/>
      <c r="AK631" s="3" t="str">
        <f>HYPERLINK("https://knigipp.ru/api/getInfo/item/2ef917ca-6a7a-11ea-a243-ac1f6b442184")</f>
        <v>https://knigipp.ru/api/getInfo/item/2ef917ca-6a7a-11ea-a243-ac1f6b442184</v>
      </c>
      <c r="AL631" s="3" t="s">
        <v>356</v>
      </c>
    </row>
    <row r="632" spans="1:38" ht="21" customHeight="1" outlineLevel="4" x14ac:dyDescent="0.2">
      <c r="A632" s="2">
        <v>467</v>
      </c>
      <c r="B632" s="3" t="s">
        <v>2793</v>
      </c>
      <c r="C632" s="49" t="s">
        <v>2794</v>
      </c>
      <c r="D632" s="49"/>
      <c r="E632" s="49"/>
      <c r="F632" s="49"/>
      <c r="G632" s="4" t="s">
        <v>2795</v>
      </c>
      <c r="H632" s="8"/>
      <c r="I632" s="9" t="s">
        <v>2770</v>
      </c>
      <c r="J632" s="10"/>
      <c r="K632" s="11">
        <v>10</v>
      </c>
      <c r="L632" s="10"/>
      <c r="M632" s="10" t="s">
        <v>47</v>
      </c>
      <c r="N632" s="10"/>
      <c r="O632" s="2">
        <v>3</v>
      </c>
      <c r="P632" s="17">
        <f>249*(1-S3/100)</f>
        <v>249</v>
      </c>
      <c r="Q632" s="18"/>
      <c r="R632" s="10">
        <f t="shared" si="29"/>
        <v>0</v>
      </c>
      <c r="S632" s="19">
        <f>0.275*Q632</f>
        <v>0</v>
      </c>
      <c r="T632" s="20">
        <f>0.00054*Q632</f>
        <v>0</v>
      </c>
      <c r="U632" s="21"/>
      <c r="V632" s="22" t="s">
        <v>2796</v>
      </c>
      <c r="W632" s="22" t="s">
        <v>191</v>
      </c>
      <c r="X632" s="3"/>
      <c r="Y632" s="3"/>
      <c r="Z632" s="3" t="s">
        <v>52</v>
      </c>
      <c r="AA632" s="3"/>
      <c r="AB632" s="3"/>
      <c r="AC632" s="3" t="str">
        <f>HYPERLINK("https://knigipp.ru/api/getInfo/image/d2fd8f52-841a-11ec-a211-ac1f6b442185")</f>
        <v>https://knigipp.ru/api/getInfo/image/d2fd8f52-841a-11ec-a211-ac1f6b442185</v>
      </c>
      <c r="AD632" s="32">
        <v>144</v>
      </c>
      <c r="AE632" s="3"/>
      <c r="AF632" s="3" t="s">
        <v>127</v>
      </c>
      <c r="AG632" s="32">
        <v>100</v>
      </c>
      <c r="AH632" s="3" t="s">
        <v>56</v>
      </c>
      <c r="AI632" s="3"/>
      <c r="AJ632" s="3"/>
      <c r="AK632" s="3" t="str">
        <f>HYPERLINK("https://knigipp.ru/api/getInfo/item/d2fd8f52-841a-11ec-a211-ac1f6b442185")</f>
        <v>https://knigipp.ru/api/getInfo/item/d2fd8f52-841a-11ec-a211-ac1f6b442185</v>
      </c>
      <c r="AL632" s="3" t="s">
        <v>356</v>
      </c>
    </row>
    <row r="633" spans="1:38" ht="21" customHeight="1" outlineLevel="4" x14ac:dyDescent="0.2">
      <c r="A633" s="2">
        <v>468</v>
      </c>
      <c r="B633" s="3" t="s">
        <v>2797</v>
      </c>
      <c r="C633" s="49" t="s">
        <v>2798</v>
      </c>
      <c r="D633" s="49"/>
      <c r="E633" s="49"/>
      <c r="F633" s="49"/>
      <c r="G633" s="4" t="s">
        <v>2799</v>
      </c>
      <c r="H633" s="8"/>
      <c r="I633" s="9" t="s">
        <v>2770</v>
      </c>
      <c r="J633" s="10"/>
      <c r="K633" s="11">
        <v>10</v>
      </c>
      <c r="L633" s="10"/>
      <c r="M633" s="10" t="s">
        <v>47</v>
      </c>
      <c r="N633" s="10"/>
      <c r="O633" s="2">
        <v>3</v>
      </c>
      <c r="P633" s="17">
        <f>249*(1-S3/100)</f>
        <v>249</v>
      </c>
      <c r="Q633" s="18"/>
      <c r="R633" s="10">
        <f t="shared" si="29"/>
        <v>0</v>
      </c>
      <c r="S633" s="19">
        <f>0.275*Q633</f>
        <v>0</v>
      </c>
      <c r="T633" s="20">
        <f>0.00054*Q633</f>
        <v>0</v>
      </c>
      <c r="U633" s="21"/>
      <c r="V633" s="22" t="s">
        <v>2800</v>
      </c>
      <c r="W633" s="22" t="s">
        <v>191</v>
      </c>
      <c r="X633" s="3"/>
      <c r="Y633" s="3"/>
      <c r="Z633" s="3" t="s">
        <v>52</v>
      </c>
      <c r="AA633" s="3"/>
      <c r="AB633" s="3"/>
      <c r="AC633" s="3" t="str">
        <f>HYPERLINK("https://knigipp.ru/api/getInfo/image/1b5c6582-5364-11ec-a20f-ac1f6b442185")</f>
        <v>https://knigipp.ru/api/getInfo/image/1b5c6582-5364-11ec-a20f-ac1f6b442185</v>
      </c>
      <c r="AD633" s="32">
        <v>144</v>
      </c>
      <c r="AE633" s="3"/>
      <c r="AF633" s="3" t="s">
        <v>127</v>
      </c>
      <c r="AG633" s="32">
        <v>100</v>
      </c>
      <c r="AH633" s="3" t="s">
        <v>56</v>
      </c>
      <c r="AI633" s="3"/>
      <c r="AJ633" s="3"/>
      <c r="AK633" s="3" t="str">
        <f>HYPERLINK("https://knigipp.ru/api/getInfo/item/1b5c6582-5364-11ec-a20f-ac1f6b442185")</f>
        <v>https://knigipp.ru/api/getInfo/item/1b5c6582-5364-11ec-a20f-ac1f6b442185</v>
      </c>
      <c r="AL633" s="3" t="s">
        <v>356</v>
      </c>
    </row>
    <row r="634" spans="1:38" ht="21" customHeight="1" outlineLevel="4" x14ac:dyDescent="0.2">
      <c r="A634" s="2">
        <v>469</v>
      </c>
      <c r="B634" s="3" t="s">
        <v>2801</v>
      </c>
      <c r="C634" s="49" t="s">
        <v>2802</v>
      </c>
      <c r="D634" s="49"/>
      <c r="E634" s="49"/>
      <c r="F634" s="49"/>
      <c r="G634" s="4" t="s">
        <v>2803</v>
      </c>
      <c r="H634" s="8"/>
      <c r="I634" s="9"/>
      <c r="J634" s="10"/>
      <c r="K634" s="11">
        <v>10</v>
      </c>
      <c r="L634" s="10"/>
      <c r="M634" s="10" t="s">
        <v>47</v>
      </c>
      <c r="N634" s="10"/>
      <c r="O634" s="2">
        <v>3</v>
      </c>
      <c r="P634" s="17">
        <f>249*(1-S3/100)</f>
        <v>249</v>
      </c>
      <c r="Q634" s="18"/>
      <c r="R634" s="10">
        <f t="shared" si="29"/>
        <v>0</v>
      </c>
      <c r="S634" s="19">
        <f>0.278*Q634</f>
        <v>0</v>
      </c>
      <c r="T634" s="20">
        <f>0.00037*Q634</f>
        <v>0</v>
      </c>
      <c r="U634" s="21"/>
      <c r="V634" s="22" t="s">
        <v>2804</v>
      </c>
      <c r="W634" s="22" t="s">
        <v>191</v>
      </c>
      <c r="X634" s="3"/>
      <c r="Y634" s="3"/>
      <c r="Z634" s="3" t="s">
        <v>52</v>
      </c>
      <c r="AA634" s="3" t="s">
        <v>2784</v>
      </c>
      <c r="AB634" s="3"/>
      <c r="AC634" s="3" t="str">
        <f>HYPERLINK("https://knigipp.ru/api/getInfo/image/cc619931-669c-11ee-a245-00155d82e902")</f>
        <v>https://knigipp.ru/api/getInfo/image/cc619931-669c-11ee-a245-00155d82e902</v>
      </c>
      <c r="AD634" s="32">
        <v>144</v>
      </c>
      <c r="AE634" s="3" t="s">
        <v>481</v>
      </c>
      <c r="AF634" s="3" t="s">
        <v>127</v>
      </c>
      <c r="AG634" s="32">
        <v>100</v>
      </c>
      <c r="AH634" s="3" t="s">
        <v>56</v>
      </c>
      <c r="AI634" s="3"/>
      <c r="AJ634" s="3"/>
      <c r="AK634" s="3" t="str">
        <f>HYPERLINK("https://knigipp.ru/api/getInfo/item/cc619931-669c-11ee-a245-00155d82e902")</f>
        <v>https://knigipp.ru/api/getInfo/item/cc619931-669c-11ee-a245-00155d82e902</v>
      </c>
      <c r="AL634" s="3" t="s">
        <v>356</v>
      </c>
    </row>
    <row r="635" spans="1:38" ht="21" customHeight="1" outlineLevel="4" x14ac:dyDescent="0.2">
      <c r="A635" s="2">
        <v>470</v>
      </c>
      <c r="B635" s="3" t="s">
        <v>2805</v>
      </c>
      <c r="C635" s="49" t="s">
        <v>2806</v>
      </c>
      <c r="D635" s="49"/>
      <c r="E635" s="49"/>
      <c r="F635" s="49"/>
      <c r="G635" s="4" t="s">
        <v>2807</v>
      </c>
      <c r="H635" s="8"/>
      <c r="I635" s="9" t="s">
        <v>2770</v>
      </c>
      <c r="J635" s="10"/>
      <c r="K635" s="11">
        <v>10</v>
      </c>
      <c r="L635" s="10"/>
      <c r="M635" s="10" t="s">
        <v>47</v>
      </c>
      <c r="N635" s="10"/>
      <c r="O635" s="2">
        <v>3</v>
      </c>
      <c r="P635" s="17">
        <f>249*(1-S3/100)</f>
        <v>249</v>
      </c>
      <c r="Q635" s="18"/>
      <c r="R635" s="10">
        <f t="shared" si="29"/>
        <v>0</v>
      </c>
      <c r="S635" s="28">
        <f>0.28*Q635</f>
        <v>0</v>
      </c>
      <c r="T635" s="20">
        <f>0.00044*Q635</f>
        <v>0</v>
      </c>
      <c r="U635" s="21"/>
      <c r="V635" s="22" t="s">
        <v>2808</v>
      </c>
      <c r="W635" s="22" t="s">
        <v>191</v>
      </c>
      <c r="X635" s="3"/>
      <c r="Y635" s="3"/>
      <c r="Z635" s="3" t="s">
        <v>52</v>
      </c>
      <c r="AA635" s="3"/>
      <c r="AB635" s="3"/>
      <c r="AC635" s="3" t="str">
        <f>HYPERLINK("https://knigipp.ru/api/getInfo/image/8050db11-7b5e-11eb-a275-ac1f6b442184")</f>
        <v>https://knigipp.ru/api/getInfo/image/8050db11-7b5e-11eb-a275-ac1f6b442184</v>
      </c>
      <c r="AD635" s="32">
        <v>144</v>
      </c>
      <c r="AE635" s="3"/>
      <c r="AF635" s="3" t="s">
        <v>127</v>
      </c>
      <c r="AG635" s="32">
        <v>100</v>
      </c>
      <c r="AH635" s="3" t="s">
        <v>56</v>
      </c>
      <c r="AI635" s="3"/>
      <c r="AJ635" s="3"/>
      <c r="AK635" s="3" t="str">
        <f>HYPERLINK("https://knigipp.ru/api/getInfo/item/8050db11-7b5e-11eb-a275-ac1f6b442184")</f>
        <v>https://knigipp.ru/api/getInfo/item/8050db11-7b5e-11eb-a275-ac1f6b442184</v>
      </c>
      <c r="AL635" s="3" t="s">
        <v>356</v>
      </c>
    </row>
    <row r="636" spans="1:38" ht="21" customHeight="1" outlineLevel="4" x14ac:dyDescent="0.2">
      <c r="A636" s="2">
        <v>471</v>
      </c>
      <c r="B636" s="3" t="s">
        <v>2809</v>
      </c>
      <c r="C636" s="49" t="s">
        <v>2810</v>
      </c>
      <c r="D636" s="49"/>
      <c r="E636" s="49"/>
      <c r="F636" s="49"/>
      <c r="G636" s="4" t="s">
        <v>2811</v>
      </c>
      <c r="H636" s="8"/>
      <c r="I636" s="9" t="s">
        <v>2770</v>
      </c>
      <c r="J636" s="10"/>
      <c r="K636" s="11">
        <v>10</v>
      </c>
      <c r="L636" s="10"/>
      <c r="M636" s="10" t="s">
        <v>47</v>
      </c>
      <c r="N636" s="10"/>
      <c r="O636" s="2">
        <v>3</v>
      </c>
      <c r="P636" s="17">
        <f>249*(1-S3/100)</f>
        <v>249</v>
      </c>
      <c r="Q636" s="18"/>
      <c r="R636" s="10">
        <f t="shared" si="29"/>
        <v>0</v>
      </c>
      <c r="S636" s="19">
        <f>0.278*Q636</f>
        <v>0</v>
      </c>
      <c r="T636" s="20">
        <f>0.00037*Q636</f>
        <v>0</v>
      </c>
      <c r="U636" s="21"/>
      <c r="V636" s="22" t="s">
        <v>2812</v>
      </c>
      <c r="W636" s="22" t="s">
        <v>191</v>
      </c>
      <c r="X636" s="3"/>
      <c r="Y636" s="3"/>
      <c r="Z636" s="3" t="s">
        <v>52</v>
      </c>
      <c r="AA636" s="3"/>
      <c r="AB636" s="3"/>
      <c r="AC636" s="3" t="str">
        <f>HYPERLINK("https://knigipp.ru/api/getInfo/image/29ea7db2-e48a-11ef-a274-00155d82e908")</f>
        <v>https://knigipp.ru/api/getInfo/image/29ea7db2-e48a-11ef-a274-00155d82e908</v>
      </c>
      <c r="AD636" s="32">
        <v>144</v>
      </c>
      <c r="AE636" s="3"/>
      <c r="AF636" s="3" t="s">
        <v>127</v>
      </c>
      <c r="AG636" s="32">
        <v>100</v>
      </c>
      <c r="AH636" s="3" t="s">
        <v>56</v>
      </c>
      <c r="AI636" s="3"/>
      <c r="AJ636" s="3"/>
      <c r="AK636" s="3" t="str">
        <f>HYPERLINK("https://knigipp.ru/api/getInfo/item/29ea7db2-e48a-11ef-a274-00155d82e908")</f>
        <v>https://knigipp.ru/api/getInfo/item/29ea7db2-e48a-11ef-a274-00155d82e908</v>
      </c>
      <c r="AL636" s="3" t="s">
        <v>356</v>
      </c>
    </row>
    <row r="637" spans="1:38" ht="21" customHeight="1" outlineLevel="4" x14ac:dyDescent="0.2">
      <c r="A637" s="2">
        <v>472</v>
      </c>
      <c r="B637" s="3" t="s">
        <v>2813</v>
      </c>
      <c r="C637" s="49" t="s">
        <v>2814</v>
      </c>
      <c r="D637" s="49"/>
      <c r="E637" s="49"/>
      <c r="F637" s="49"/>
      <c r="G637" s="4" t="s">
        <v>2815</v>
      </c>
      <c r="H637" s="8"/>
      <c r="I637" s="9" t="s">
        <v>2770</v>
      </c>
      <c r="J637" s="10"/>
      <c r="K637" s="11">
        <v>10</v>
      </c>
      <c r="L637" s="10"/>
      <c r="M637" s="10" t="s">
        <v>47</v>
      </c>
      <c r="N637" s="10"/>
      <c r="O637" s="2">
        <v>3</v>
      </c>
      <c r="P637" s="17">
        <f>249*(1-S3/100)</f>
        <v>249</v>
      </c>
      <c r="Q637" s="18"/>
      <c r="R637" s="10">
        <f t="shared" si="29"/>
        <v>0</v>
      </c>
      <c r="S637" s="28">
        <f>0.28*Q637</f>
        <v>0</v>
      </c>
      <c r="T637" s="20">
        <f>0.00044*Q637</f>
        <v>0</v>
      </c>
      <c r="U637" s="21"/>
      <c r="V637" s="22" t="s">
        <v>2816</v>
      </c>
      <c r="W637" s="22" t="s">
        <v>191</v>
      </c>
      <c r="X637" s="3"/>
      <c r="Y637" s="3"/>
      <c r="Z637" s="3" t="s">
        <v>52</v>
      </c>
      <c r="AA637" s="3"/>
      <c r="AB637" s="3"/>
      <c r="AC637" s="3" t="str">
        <f>HYPERLINK("https://knigipp.ru/api/getInfo/image/6bd0cf9d-1511-11ea-a237-ac1f6b442184")</f>
        <v>https://knigipp.ru/api/getInfo/image/6bd0cf9d-1511-11ea-a237-ac1f6b442184</v>
      </c>
      <c r="AD637" s="32">
        <v>144</v>
      </c>
      <c r="AE637" s="3"/>
      <c r="AF637" s="3" t="s">
        <v>127</v>
      </c>
      <c r="AG637" s="3"/>
      <c r="AH637" s="3" t="s">
        <v>56</v>
      </c>
      <c r="AI637" s="3"/>
      <c r="AJ637" s="3"/>
      <c r="AK637" s="3" t="str">
        <f>HYPERLINK("https://knigipp.ru/api/getInfo/item/6bd0cf9d-1511-11ea-a237-ac1f6b442184")</f>
        <v>https://knigipp.ru/api/getInfo/item/6bd0cf9d-1511-11ea-a237-ac1f6b442184</v>
      </c>
      <c r="AL637" s="3" t="s">
        <v>356</v>
      </c>
    </row>
    <row r="638" spans="1:38" ht="21" customHeight="1" outlineLevel="4" x14ac:dyDescent="0.2">
      <c r="A638" s="2">
        <v>473</v>
      </c>
      <c r="B638" s="3" t="s">
        <v>2817</v>
      </c>
      <c r="C638" s="49" t="s">
        <v>2818</v>
      </c>
      <c r="D638" s="49"/>
      <c r="E638" s="49"/>
      <c r="F638" s="49"/>
      <c r="G638" s="4" t="s">
        <v>2819</v>
      </c>
      <c r="H638" s="8"/>
      <c r="I638" s="9" t="s">
        <v>2770</v>
      </c>
      <c r="J638" s="10"/>
      <c r="K638" s="11">
        <v>10</v>
      </c>
      <c r="L638" s="10"/>
      <c r="M638" s="10" t="s">
        <v>47</v>
      </c>
      <c r="N638" s="10"/>
      <c r="O638" s="2">
        <v>3</v>
      </c>
      <c r="P638" s="17">
        <f>249*(1-S3/100)</f>
        <v>249</v>
      </c>
      <c r="Q638" s="18"/>
      <c r="R638" s="10">
        <f t="shared" si="29"/>
        <v>0</v>
      </c>
      <c r="S638" s="19">
        <f>0.278*Q638</f>
        <v>0</v>
      </c>
      <c r="T638" s="20">
        <f>0.00037*Q638</f>
        <v>0</v>
      </c>
      <c r="U638" s="21"/>
      <c r="V638" s="22" t="s">
        <v>2820</v>
      </c>
      <c r="W638" s="22" t="s">
        <v>191</v>
      </c>
      <c r="X638" s="3"/>
      <c r="Y638" s="3"/>
      <c r="Z638" s="3" t="s">
        <v>52</v>
      </c>
      <c r="AA638" s="3"/>
      <c r="AB638" s="3"/>
      <c r="AC638" s="3" t="str">
        <f>HYPERLINK("https://knigipp.ru/api/getInfo/image/a58268dd-841a-11ec-a211-ac1f6b442185")</f>
        <v>https://knigipp.ru/api/getInfo/image/a58268dd-841a-11ec-a211-ac1f6b442185</v>
      </c>
      <c r="AD638" s="32">
        <v>144</v>
      </c>
      <c r="AE638" s="3"/>
      <c r="AF638" s="3" t="s">
        <v>127</v>
      </c>
      <c r="AG638" s="32">
        <v>100</v>
      </c>
      <c r="AH638" s="3" t="s">
        <v>56</v>
      </c>
      <c r="AI638" s="3"/>
      <c r="AJ638" s="3"/>
      <c r="AK638" s="3" t="str">
        <f>HYPERLINK("https://knigipp.ru/api/getInfo/item/a58268dd-841a-11ec-a211-ac1f6b442185")</f>
        <v>https://knigipp.ru/api/getInfo/item/a58268dd-841a-11ec-a211-ac1f6b442185</v>
      </c>
      <c r="AL638" s="3" t="s">
        <v>356</v>
      </c>
    </row>
    <row r="639" spans="1:38" ht="21" customHeight="1" outlineLevel="4" x14ac:dyDescent="0.2">
      <c r="A639" s="2">
        <v>474</v>
      </c>
      <c r="B639" s="3" t="s">
        <v>2821</v>
      </c>
      <c r="C639" s="49" t="s">
        <v>2822</v>
      </c>
      <c r="D639" s="49"/>
      <c r="E639" s="49"/>
      <c r="F639" s="49"/>
      <c r="G639" s="4" t="s">
        <v>2823</v>
      </c>
      <c r="H639" s="8"/>
      <c r="I639" s="9" t="s">
        <v>2770</v>
      </c>
      <c r="J639" s="10"/>
      <c r="K639" s="11">
        <v>10</v>
      </c>
      <c r="L639" s="10"/>
      <c r="M639" s="10" t="s">
        <v>47</v>
      </c>
      <c r="N639" s="10"/>
      <c r="O639" s="2">
        <v>3</v>
      </c>
      <c r="P639" s="17">
        <f>249*(1-S3/100)</f>
        <v>249</v>
      </c>
      <c r="Q639" s="18"/>
      <c r="R639" s="10">
        <f t="shared" si="29"/>
        <v>0</v>
      </c>
      <c r="S639" s="28">
        <f>0.28*Q639</f>
        <v>0</v>
      </c>
      <c r="T639" s="20">
        <f>0.00044*Q639</f>
        <v>0</v>
      </c>
      <c r="U639" s="21"/>
      <c r="V639" s="22" t="s">
        <v>2824</v>
      </c>
      <c r="W639" s="22" t="s">
        <v>191</v>
      </c>
      <c r="X639" s="3"/>
      <c r="Y639" s="3"/>
      <c r="Z639" s="3" t="s">
        <v>52</v>
      </c>
      <c r="AA639" s="3"/>
      <c r="AB639" s="3"/>
      <c r="AC639" s="3" t="str">
        <f>HYPERLINK("https://knigipp.ru/api/getInfo/image/5e7b6d77-a966-11ea-a248-ac1f6b442184")</f>
        <v>https://knigipp.ru/api/getInfo/image/5e7b6d77-a966-11ea-a248-ac1f6b442184</v>
      </c>
      <c r="AD639" s="32">
        <v>144</v>
      </c>
      <c r="AE639" s="3"/>
      <c r="AF639" s="3" t="s">
        <v>127</v>
      </c>
      <c r="AG639" s="32">
        <v>100</v>
      </c>
      <c r="AH639" s="3" t="s">
        <v>56</v>
      </c>
      <c r="AI639" s="3"/>
      <c r="AJ639" s="3"/>
      <c r="AK639" s="3" t="str">
        <f>HYPERLINK("https://knigipp.ru/api/getInfo/item/5e7b6d77-a966-11ea-a248-ac1f6b442184")</f>
        <v>https://knigipp.ru/api/getInfo/item/5e7b6d77-a966-11ea-a248-ac1f6b442184</v>
      </c>
      <c r="AL639" s="3" t="s">
        <v>356</v>
      </c>
    </row>
    <row r="640" spans="1:38" ht="23.1" customHeight="1" outlineLevel="3" x14ac:dyDescent="0.2">
      <c r="A640" s="48" t="s">
        <v>2825</v>
      </c>
      <c r="B640" s="48"/>
      <c r="C640" s="48"/>
      <c r="D640" s="48"/>
      <c r="E640" s="48"/>
      <c r="F640" s="48"/>
    </row>
    <row r="641" spans="1:38" ht="21" customHeight="1" outlineLevel="4" x14ac:dyDescent="0.2">
      <c r="A641" s="2">
        <v>475</v>
      </c>
      <c r="B641" s="3" t="s">
        <v>2826</v>
      </c>
      <c r="C641" s="49" t="s">
        <v>2827</v>
      </c>
      <c r="D641" s="49"/>
      <c r="E641" s="49"/>
      <c r="F641" s="49"/>
      <c r="G641" s="4" t="s">
        <v>2828</v>
      </c>
      <c r="H641" s="8"/>
      <c r="I641" s="9" t="s">
        <v>2829</v>
      </c>
      <c r="J641" s="10"/>
      <c r="K641" s="11">
        <v>10</v>
      </c>
      <c r="L641" s="10"/>
      <c r="M641" s="10" t="s">
        <v>78</v>
      </c>
      <c r="N641" s="10"/>
      <c r="O641" s="2">
        <v>3</v>
      </c>
      <c r="P641" s="17">
        <f>209*(1-S3/100)</f>
        <v>209</v>
      </c>
      <c r="Q641" s="18"/>
      <c r="R641" s="10">
        <f>P641*Q641</f>
        <v>0</v>
      </c>
      <c r="S641" s="19">
        <f>0.201*Q641</f>
        <v>0</v>
      </c>
      <c r="T641" s="20">
        <f>0.00036*Q641</f>
        <v>0</v>
      </c>
      <c r="U641" s="21"/>
      <c r="V641" s="22" t="s">
        <v>2830</v>
      </c>
      <c r="W641" s="22" t="s">
        <v>191</v>
      </c>
      <c r="X641" s="3"/>
      <c r="Y641" s="3"/>
      <c r="Z641" s="3" t="s">
        <v>52</v>
      </c>
      <c r="AA641" s="3"/>
      <c r="AB641" s="3"/>
      <c r="AC641" s="3" t="str">
        <f>HYPERLINK("https://knigipp.ru/api/getInfo/image/dc97e5ec-c715-11ed-a230-00155d82e902")</f>
        <v>https://knigipp.ru/api/getInfo/image/dc97e5ec-c715-11ed-a230-00155d82e902</v>
      </c>
      <c r="AD641" s="32">
        <v>128</v>
      </c>
      <c r="AE641" s="3" t="s">
        <v>740</v>
      </c>
      <c r="AF641" s="3" t="s">
        <v>127</v>
      </c>
      <c r="AG641" s="3"/>
      <c r="AH641" s="3" t="s">
        <v>56</v>
      </c>
      <c r="AI641" s="3"/>
      <c r="AJ641" s="3"/>
      <c r="AK641" s="3" t="str">
        <f>HYPERLINK("https://knigipp.ru/api/getInfo/item/dc97e5ec-c715-11ed-a230-00155d82e902")</f>
        <v>https://knigipp.ru/api/getInfo/item/dc97e5ec-c715-11ed-a230-00155d82e902</v>
      </c>
      <c r="AL641" s="3" t="s">
        <v>2831</v>
      </c>
    </row>
    <row r="642" spans="1:38" ht="21" customHeight="1" outlineLevel="4" x14ac:dyDescent="0.2">
      <c r="A642" s="2">
        <v>476</v>
      </c>
      <c r="B642" s="3" t="s">
        <v>2832</v>
      </c>
      <c r="C642" s="49" t="s">
        <v>2833</v>
      </c>
      <c r="D642" s="49"/>
      <c r="E642" s="49"/>
      <c r="F642" s="49"/>
      <c r="G642" s="4" t="s">
        <v>2834</v>
      </c>
      <c r="H642" s="8"/>
      <c r="I642" s="9" t="s">
        <v>2829</v>
      </c>
      <c r="J642" s="10"/>
      <c r="K642" s="11">
        <v>10</v>
      </c>
      <c r="L642" s="10"/>
      <c r="M642" s="10" t="s">
        <v>47</v>
      </c>
      <c r="N642" s="10"/>
      <c r="O642" s="2">
        <v>3</v>
      </c>
      <c r="P642" s="17">
        <f>209*(1-S3/100)</f>
        <v>209</v>
      </c>
      <c r="Q642" s="18"/>
      <c r="R642" s="10">
        <f>P642*Q642</f>
        <v>0</v>
      </c>
      <c r="S642" s="19">
        <f>0.204*Q642</f>
        <v>0</v>
      </c>
      <c r="T642" s="20">
        <f>0.00029*Q642</f>
        <v>0</v>
      </c>
      <c r="U642" s="21"/>
      <c r="V642" s="22" t="s">
        <v>2835</v>
      </c>
      <c r="W642" s="22" t="s">
        <v>191</v>
      </c>
      <c r="X642" s="3"/>
      <c r="Y642" s="3" t="s">
        <v>2836</v>
      </c>
      <c r="Z642" s="3" t="s">
        <v>52</v>
      </c>
      <c r="AA642" s="3"/>
      <c r="AB642" s="3"/>
      <c r="AC642" s="3" t="str">
        <f>HYPERLINK("https://knigipp.ru/api/getInfo/image/ac3f6da8-c715-11ed-a230-00155d82e902")</f>
        <v>https://knigipp.ru/api/getInfo/image/ac3f6da8-c715-11ed-a230-00155d82e902</v>
      </c>
      <c r="AD642" s="32">
        <v>128</v>
      </c>
      <c r="AE642" s="3" t="s">
        <v>740</v>
      </c>
      <c r="AF642" s="3" t="s">
        <v>127</v>
      </c>
      <c r="AG642" s="3"/>
      <c r="AH642" s="3" t="s">
        <v>56</v>
      </c>
      <c r="AI642" s="3"/>
      <c r="AJ642" s="3"/>
      <c r="AK642" s="3" t="str">
        <f>HYPERLINK("https://knigipp.ru/api/getInfo/item/ac3f6da8-c715-11ed-a230-00155d82e902")</f>
        <v>https://knigipp.ru/api/getInfo/item/ac3f6da8-c715-11ed-a230-00155d82e902</v>
      </c>
      <c r="AL642" s="3" t="s">
        <v>2831</v>
      </c>
    </row>
    <row r="643" spans="1:38" ht="21" customHeight="1" outlineLevel="4" x14ac:dyDescent="0.2">
      <c r="A643" s="2">
        <v>477</v>
      </c>
      <c r="B643" s="3" t="s">
        <v>2837</v>
      </c>
      <c r="C643" s="49" t="s">
        <v>2838</v>
      </c>
      <c r="D643" s="49"/>
      <c r="E643" s="49"/>
      <c r="F643" s="49"/>
      <c r="G643" s="4" t="s">
        <v>2839</v>
      </c>
      <c r="H643" s="8"/>
      <c r="I643" s="9" t="s">
        <v>2829</v>
      </c>
      <c r="J643" s="10"/>
      <c r="K643" s="11">
        <v>10</v>
      </c>
      <c r="L643" s="10"/>
      <c r="M643" s="10" t="s">
        <v>78</v>
      </c>
      <c r="N643" s="10"/>
      <c r="O643" s="2">
        <v>3</v>
      </c>
      <c r="P643" s="17">
        <f>209*(1-S3/100)</f>
        <v>209</v>
      </c>
      <c r="Q643" s="18"/>
      <c r="R643" s="10">
        <f>P643*Q643</f>
        <v>0</v>
      </c>
      <c r="S643" s="19">
        <f>0.204*Q643</f>
        <v>0</v>
      </c>
      <c r="T643" s="20">
        <f>0.00035*Q643</f>
        <v>0</v>
      </c>
      <c r="U643" s="21"/>
      <c r="V643" s="22" t="s">
        <v>2840</v>
      </c>
      <c r="W643" s="22" t="s">
        <v>191</v>
      </c>
      <c r="X643" s="3"/>
      <c r="Y643" s="3" t="s">
        <v>2841</v>
      </c>
      <c r="Z643" s="3" t="s">
        <v>52</v>
      </c>
      <c r="AA643" s="3"/>
      <c r="AB643" s="3"/>
      <c r="AC643" s="3" t="str">
        <f>HYPERLINK("https://knigipp.ru/api/getInfo/image/2bc45569-c716-11ed-a230-00155d82e902")</f>
        <v>https://knigipp.ru/api/getInfo/image/2bc45569-c716-11ed-a230-00155d82e902</v>
      </c>
      <c r="AD643" s="32">
        <v>128</v>
      </c>
      <c r="AE643" s="3" t="s">
        <v>740</v>
      </c>
      <c r="AF643" s="3" t="s">
        <v>127</v>
      </c>
      <c r="AG643" s="3"/>
      <c r="AH643" s="3" t="s">
        <v>56</v>
      </c>
      <c r="AI643" s="3"/>
      <c r="AJ643" s="3"/>
      <c r="AK643" s="3" t="str">
        <f>HYPERLINK("https://knigipp.ru/api/getInfo/item/2bc45569-c716-11ed-a230-00155d82e902")</f>
        <v>https://knigipp.ru/api/getInfo/item/2bc45569-c716-11ed-a230-00155d82e902</v>
      </c>
      <c r="AL643" s="3" t="s">
        <v>2831</v>
      </c>
    </row>
    <row r="644" spans="1:38" ht="23.1" customHeight="1" outlineLevel="3" x14ac:dyDescent="0.2">
      <c r="A644" s="48" t="s">
        <v>2842</v>
      </c>
      <c r="B644" s="48"/>
      <c r="C644" s="48"/>
      <c r="D644" s="48"/>
      <c r="E644" s="48"/>
      <c r="F644" s="48"/>
    </row>
    <row r="645" spans="1:38" ht="21" customHeight="1" outlineLevel="4" x14ac:dyDescent="0.2">
      <c r="A645" s="2">
        <v>478</v>
      </c>
      <c r="B645" s="3" t="s">
        <v>2843</v>
      </c>
      <c r="C645" s="49" t="s">
        <v>2844</v>
      </c>
      <c r="D645" s="49"/>
      <c r="E645" s="49"/>
      <c r="F645" s="49"/>
      <c r="G645" s="4" t="s">
        <v>2845</v>
      </c>
      <c r="H645" s="8"/>
      <c r="I645" s="9" t="s">
        <v>2846</v>
      </c>
      <c r="J645" s="10"/>
      <c r="K645" s="11">
        <v>24</v>
      </c>
      <c r="L645" s="10"/>
      <c r="M645" s="10" t="s">
        <v>304</v>
      </c>
      <c r="N645" s="10"/>
      <c r="O645" s="2">
        <v>3</v>
      </c>
      <c r="P645" s="17">
        <f>229*(1-S3/100)</f>
        <v>229</v>
      </c>
      <c r="Q645" s="18"/>
      <c r="R645" s="10">
        <f>P645*Q645</f>
        <v>0</v>
      </c>
      <c r="S645" s="19">
        <f>0.273*Q645</f>
        <v>0</v>
      </c>
      <c r="T645" s="20">
        <f>0.00041*Q645</f>
        <v>0</v>
      </c>
      <c r="U645" s="21"/>
      <c r="V645" s="22" t="s">
        <v>2847</v>
      </c>
      <c r="W645" s="22" t="s">
        <v>191</v>
      </c>
      <c r="X645" s="3"/>
      <c r="Y645" s="3"/>
      <c r="Z645" s="3" t="s">
        <v>52</v>
      </c>
      <c r="AA645" s="3"/>
      <c r="AB645" s="3"/>
      <c r="AC645" s="3" t="str">
        <f>HYPERLINK("https://knigipp.ru/api/getInfo/image/2da0e5c9-1f26-11ee-a23c-00155d82e902")</f>
        <v>https://knigipp.ru/api/getInfo/image/2da0e5c9-1f26-11ee-a23c-00155d82e902</v>
      </c>
      <c r="AD645" s="32">
        <v>144</v>
      </c>
      <c r="AE645" s="3" t="s">
        <v>355</v>
      </c>
      <c r="AF645" s="3" t="s">
        <v>127</v>
      </c>
      <c r="AG645" s="3"/>
      <c r="AH645" s="3" t="s">
        <v>56</v>
      </c>
      <c r="AI645" s="3"/>
      <c r="AJ645" s="3"/>
      <c r="AK645" s="3" t="str">
        <f>HYPERLINK("https://knigipp.ru/api/getInfo/item/2da0e5c9-1f26-11ee-a23c-00155d82e902")</f>
        <v>https://knigipp.ru/api/getInfo/item/2da0e5c9-1f26-11ee-a23c-00155d82e902</v>
      </c>
      <c r="AL645" s="3" t="s">
        <v>2848</v>
      </c>
    </row>
    <row r="646" spans="1:38" ht="21" customHeight="1" outlineLevel="4" x14ac:dyDescent="0.2">
      <c r="A646" s="2">
        <v>479</v>
      </c>
      <c r="B646" s="3" t="s">
        <v>2849</v>
      </c>
      <c r="C646" s="49" t="s">
        <v>2850</v>
      </c>
      <c r="D646" s="49"/>
      <c r="E646" s="49"/>
      <c r="F646" s="49"/>
      <c r="G646" s="4" t="s">
        <v>2851</v>
      </c>
      <c r="H646" s="8"/>
      <c r="I646" s="9" t="s">
        <v>2846</v>
      </c>
      <c r="J646" s="10"/>
      <c r="K646" s="11">
        <v>24</v>
      </c>
      <c r="L646" s="10"/>
      <c r="M646" s="10" t="s">
        <v>304</v>
      </c>
      <c r="N646" s="10"/>
      <c r="O646" s="2">
        <v>3</v>
      </c>
      <c r="P646" s="17">
        <f>229*(1-S3/100)</f>
        <v>229</v>
      </c>
      <c r="Q646" s="18"/>
      <c r="R646" s="10">
        <f>P646*Q646</f>
        <v>0</v>
      </c>
      <c r="S646" s="19">
        <f>0.273*Q646</f>
        <v>0</v>
      </c>
      <c r="T646" s="20">
        <f>0.00041*Q646</f>
        <v>0</v>
      </c>
      <c r="U646" s="21"/>
      <c r="V646" s="22" t="s">
        <v>2852</v>
      </c>
      <c r="W646" s="22" t="s">
        <v>191</v>
      </c>
      <c r="X646" s="3"/>
      <c r="Y646" s="3"/>
      <c r="Z646" s="3" t="s">
        <v>52</v>
      </c>
      <c r="AA646" s="3"/>
      <c r="AB646" s="3"/>
      <c r="AC646" s="3" t="str">
        <f>HYPERLINK("https://knigipp.ru/api/getInfo/image/55cc05d4-1f26-11ee-a23c-00155d82e902")</f>
        <v>https://knigipp.ru/api/getInfo/image/55cc05d4-1f26-11ee-a23c-00155d82e902</v>
      </c>
      <c r="AD646" s="32">
        <v>144</v>
      </c>
      <c r="AE646" s="3" t="s">
        <v>355</v>
      </c>
      <c r="AF646" s="3" t="s">
        <v>127</v>
      </c>
      <c r="AG646" s="3"/>
      <c r="AH646" s="3" t="s">
        <v>56</v>
      </c>
      <c r="AI646" s="3"/>
      <c r="AJ646" s="3"/>
      <c r="AK646" s="3" t="str">
        <f>HYPERLINK("https://knigipp.ru/api/getInfo/item/55cc05d4-1f26-11ee-a23c-00155d82e902")</f>
        <v>https://knigipp.ru/api/getInfo/item/55cc05d4-1f26-11ee-a23c-00155d82e902</v>
      </c>
      <c r="AL646" s="3" t="s">
        <v>2848</v>
      </c>
    </row>
    <row r="647" spans="1:38" ht="23.1" customHeight="1" outlineLevel="3" x14ac:dyDescent="0.2">
      <c r="A647" s="48" t="s">
        <v>2853</v>
      </c>
      <c r="B647" s="48"/>
      <c r="C647" s="48"/>
      <c r="D647" s="48"/>
      <c r="E647" s="48"/>
      <c r="F647" s="48"/>
    </row>
    <row r="648" spans="1:38" ht="21" customHeight="1" outlineLevel="4" x14ac:dyDescent="0.2">
      <c r="A648" s="2">
        <v>480</v>
      </c>
      <c r="B648" s="3" t="s">
        <v>2854</v>
      </c>
      <c r="C648" s="49" t="s">
        <v>2855</v>
      </c>
      <c r="D648" s="49"/>
      <c r="E648" s="49"/>
      <c r="F648" s="49"/>
      <c r="G648" s="4" t="s">
        <v>2856</v>
      </c>
      <c r="H648" s="8"/>
      <c r="I648" s="9" t="s">
        <v>2857</v>
      </c>
      <c r="J648" s="10"/>
      <c r="K648" s="11">
        <v>20</v>
      </c>
      <c r="L648" s="10"/>
      <c r="M648" s="10" t="s">
        <v>47</v>
      </c>
      <c r="N648" s="10"/>
      <c r="O648" s="2">
        <v>3</v>
      </c>
      <c r="P648" s="17">
        <f>189*(1-S3/100)</f>
        <v>189</v>
      </c>
      <c r="Q648" s="18"/>
      <c r="R648" s="10">
        <f>P648*Q648</f>
        <v>0</v>
      </c>
      <c r="S648" s="19">
        <f>0.214*Q648</f>
        <v>0</v>
      </c>
      <c r="T648" s="20">
        <f>0.00031*Q648</f>
        <v>0</v>
      </c>
      <c r="U648" s="21"/>
      <c r="V648" s="22" t="s">
        <v>2858</v>
      </c>
      <c r="W648" s="22" t="s">
        <v>191</v>
      </c>
      <c r="X648" s="3"/>
      <c r="Y648" s="3"/>
      <c r="Z648" s="3" t="s">
        <v>52</v>
      </c>
      <c r="AA648" s="3"/>
      <c r="AB648" s="3"/>
      <c r="AC648" s="3" t="str">
        <f>HYPERLINK("https://knigipp.ru/api/getInfo/image/e35d8a52-c328-11ed-a230-00155d82e902")</f>
        <v>https://knigipp.ru/api/getInfo/image/e35d8a52-c328-11ed-a230-00155d82e902</v>
      </c>
      <c r="AD648" s="32">
        <v>96</v>
      </c>
      <c r="AE648" s="3"/>
      <c r="AF648" s="3" t="s">
        <v>127</v>
      </c>
      <c r="AG648" s="3"/>
      <c r="AH648" s="3" t="s">
        <v>56</v>
      </c>
      <c r="AI648" s="3"/>
      <c r="AJ648" s="3"/>
      <c r="AK648" s="3" t="str">
        <f>HYPERLINK("https://knigipp.ru/api/getInfo/item/e35d8a52-c328-11ed-a230-00155d82e902")</f>
        <v>https://knigipp.ru/api/getInfo/item/e35d8a52-c328-11ed-a230-00155d82e902</v>
      </c>
      <c r="AL648" s="3" t="s">
        <v>2859</v>
      </c>
    </row>
    <row r="649" spans="1:38" ht="21" customHeight="1" outlineLevel="4" x14ac:dyDescent="0.2">
      <c r="A649" s="2">
        <v>481</v>
      </c>
      <c r="B649" s="3" t="s">
        <v>2860</v>
      </c>
      <c r="C649" s="49" t="s">
        <v>2861</v>
      </c>
      <c r="D649" s="49"/>
      <c r="E649" s="49"/>
      <c r="F649" s="49"/>
      <c r="G649" s="4" t="s">
        <v>2862</v>
      </c>
      <c r="H649" s="8"/>
      <c r="I649" s="9" t="s">
        <v>2857</v>
      </c>
      <c r="J649" s="10"/>
      <c r="K649" s="11">
        <v>20</v>
      </c>
      <c r="L649" s="10"/>
      <c r="M649" s="10" t="s">
        <v>47</v>
      </c>
      <c r="N649" s="10"/>
      <c r="O649" s="2">
        <v>3</v>
      </c>
      <c r="P649" s="17">
        <f>189*(1-S3/100)</f>
        <v>189</v>
      </c>
      <c r="Q649" s="18"/>
      <c r="R649" s="10">
        <f>P649*Q649</f>
        <v>0</v>
      </c>
      <c r="S649" s="19">
        <f>0.211*Q649</f>
        <v>0</v>
      </c>
      <c r="T649" s="20">
        <f>0.00033*Q649</f>
        <v>0</v>
      </c>
      <c r="U649" s="21"/>
      <c r="V649" s="22" t="s">
        <v>2863</v>
      </c>
      <c r="W649" s="22" t="s">
        <v>191</v>
      </c>
      <c r="X649" s="3"/>
      <c r="Y649" s="3"/>
      <c r="Z649" s="3" t="s">
        <v>52</v>
      </c>
      <c r="AA649" s="3"/>
      <c r="AB649" s="3"/>
      <c r="AC649" s="3" t="str">
        <f>HYPERLINK("https://knigipp.ru/api/getInfo/image/b14b7ad6-c32c-11ed-a230-00155d82e902")</f>
        <v>https://knigipp.ru/api/getInfo/image/b14b7ad6-c32c-11ed-a230-00155d82e902</v>
      </c>
      <c r="AD649" s="32">
        <v>96</v>
      </c>
      <c r="AE649" s="3"/>
      <c r="AF649" s="3" t="s">
        <v>127</v>
      </c>
      <c r="AG649" s="3"/>
      <c r="AH649" s="3" t="s">
        <v>56</v>
      </c>
      <c r="AI649" s="3"/>
      <c r="AJ649" s="3"/>
      <c r="AK649" s="3" t="str">
        <f>HYPERLINK("https://knigipp.ru/api/getInfo/item/b14b7ad6-c32c-11ed-a230-00155d82e902")</f>
        <v>https://knigipp.ru/api/getInfo/item/b14b7ad6-c32c-11ed-a230-00155d82e902</v>
      </c>
      <c r="AL649" s="3" t="s">
        <v>2859</v>
      </c>
    </row>
    <row r="650" spans="1:38" ht="21" customHeight="1" outlineLevel="4" x14ac:dyDescent="0.2">
      <c r="A650" s="2">
        <v>482</v>
      </c>
      <c r="B650" s="3" t="s">
        <v>2864</v>
      </c>
      <c r="C650" s="49" t="s">
        <v>2865</v>
      </c>
      <c r="D650" s="49"/>
      <c r="E650" s="49"/>
      <c r="F650" s="49"/>
      <c r="G650" s="4" t="s">
        <v>2866</v>
      </c>
      <c r="H650" s="8"/>
      <c r="I650" s="9" t="s">
        <v>2857</v>
      </c>
      <c r="J650" s="10"/>
      <c r="K650" s="11">
        <v>20</v>
      </c>
      <c r="L650" s="10"/>
      <c r="M650" s="10" t="s">
        <v>304</v>
      </c>
      <c r="N650" s="10"/>
      <c r="O650" s="2">
        <v>3</v>
      </c>
      <c r="P650" s="17">
        <f>189*(1-S3/100)</f>
        <v>189</v>
      </c>
      <c r="Q650" s="18"/>
      <c r="R650" s="10">
        <f>P650*Q650</f>
        <v>0</v>
      </c>
      <c r="S650" s="19">
        <f>0.211*Q650</f>
        <v>0</v>
      </c>
      <c r="T650" s="20">
        <f>0.00036*Q650</f>
        <v>0</v>
      </c>
      <c r="U650" s="21"/>
      <c r="V650" s="22" t="s">
        <v>2867</v>
      </c>
      <c r="W650" s="22" t="s">
        <v>191</v>
      </c>
      <c r="X650" s="3"/>
      <c r="Y650" s="3"/>
      <c r="Z650" s="3" t="s">
        <v>52</v>
      </c>
      <c r="AA650" s="3"/>
      <c r="AB650" s="3"/>
      <c r="AC650" s="3" t="str">
        <f>HYPERLINK("https://knigipp.ru/api/getInfo/image/885a59fa-c32c-11ed-a230-00155d82e902")</f>
        <v>https://knigipp.ru/api/getInfo/image/885a59fa-c32c-11ed-a230-00155d82e902</v>
      </c>
      <c r="AD650" s="32">
        <v>96</v>
      </c>
      <c r="AE650" s="3"/>
      <c r="AF650" s="3" t="s">
        <v>127</v>
      </c>
      <c r="AG650" s="3"/>
      <c r="AH650" s="3" t="s">
        <v>56</v>
      </c>
      <c r="AI650" s="3"/>
      <c r="AJ650" s="3"/>
      <c r="AK650" s="3" t="str">
        <f>HYPERLINK("https://knigipp.ru/api/getInfo/item/885a59fa-c32c-11ed-a230-00155d82e902")</f>
        <v>https://knigipp.ru/api/getInfo/item/885a59fa-c32c-11ed-a230-00155d82e902</v>
      </c>
      <c r="AL650" s="3" t="s">
        <v>2859</v>
      </c>
    </row>
    <row r="651" spans="1:38" ht="23.1" customHeight="1" outlineLevel="3" x14ac:dyDescent="0.2">
      <c r="A651" s="48" t="s">
        <v>2868</v>
      </c>
      <c r="B651" s="48"/>
      <c r="C651" s="48"/>
      <c r="D651" s="48"/>
      <c r="E651" s="48"/>
      <c r="F651" s="48"/>
    </row>
    <row r="652" spans="1:38" ht="21" customHeight="1" outlineLevel="4" x14ac:dyDescent="0.2">
      <c r="A652" s="2">
        <v>483</v>
      </c>
      <c r="B652" s="3" t="s">
        <v>2869</v>
      </c>
      <c r="C652" s="49" t="s">
        <v>2870</v>
      </c>
      <c r="D652" s="49"/>
      <c r="E652" s="49"/>
      <c r="F652" s="49"/>
      <c r="G652" s="4" t="s">
        <v>2871</v>
      </c>
      <c r="H652" s="8"/>
      <c r="I652" s="9" t="s">
        <v>2872</v>
      </c>
      <c r="J652" s="10"/>
      <c r="K652" s="11">
        <v>10</v>
      </c>
      <c r="L652" s="10"/>
      <c r="M652" s="10" t="s">
        <v>47</v>
      </c>
      <c r="N652" s="10"/>
      <c r="O652" s="2">
        <v>1</v>
      </c>
      <c r="P652" s="17">
        <f>249*(1-S3/100)</f>
        <v>249</v>
      </c>
      <c r="Q652" s="18"/>
      <c r="R652" s="10">
        <f>P652*Q652</f>
        <v>0</v>
      </c>
      <c r="S652" s="19">
        <f>0.318*Q652</f>
        <v>0</v>
      </c>
      <c r="T652" s="20">
        <f>0.00047*Q652</f>
        <v>0</v>
      </c>
      <c r="U652" s="21"/>
      <c r="V652" s="22" t="s">
        <v>2873</v>
      </c>
      <c r="W652" s="22" t="s">
        <v>191</v>
      </c>
      <c r="X652" s="3"/>
      <c r="Y652" s="3"/>
      <c r="Z652" s="3" t="s">
        <v>52</v>
      </c>
      <c r="AA652" s="3"/>
      <c r="AB652" s="3"/>
      <c r="AC652" s="3" t="str">
        <f>HYPERLINK("https://knigipp.ru/api/getInfo/image/157347d7-b9d0-11ee-a25a-00155d82e908")</f>
        <v>https://knigipp.ru/api/getInfo/image/157347d7-b9d0-11ee-a25a-00155d82e908</v>
      </c>
      <c r="AD652" s="32">
        <v>128</v>
      </c>
      <c r="AE652" s="3" t="s">
        <v>1406</v>
      </c>
      <c r="AF652" s="3" t="s">
        <v>127</v>
      </c>
      <c r="AG652" s="3"/>
      <c r="AH652" s="3" t="s">
        <v>56</v>
      </c>
      <c r="AI652" s="3"/>
      <c r="AJ652" s="3"/>
      <c r="AK652" s="3" t="str">
        <f>HYPERLINK("https://knigipp.ru/api/getInfo/item/157347d7-b9d0-11ee-a25a-00155d82e908")</f>
        <v>https://knigipp.ru/api/getInfo/item/157347d7-b9d0-11ee-a25a-00155d82e908</v>
      </c>
      <c r="AL652" s="3" t="s">
        <v>2874</v>
      </c>
    </row>
    <row r="653" spans="1:38" ht="21" customHeight="1" outlineLevel="4" x14ac:dyDescent="0.2">
      <c r="A653" s="2">
        <v>484</v>
      </c>
      <c r="B653" s="3" t="s">
        <v>2875</v>
      </c>
      <c r="C653" s="49" t="s">
        <v>2876</v>
      </c>
      <c r="D653" s="49"/>
      <c r="E653" s="49"/>
      <c r="F653" s="49"/>
      <c r="G653" s="4" t="s">
        <v>2877</v>
      </c>
      <c r="H653" s="8"/>
      <c r="I653" s="9" t="s">
        <v>2872</v>
      </c>
      <c r="J653" s="10"/>
      <c r="K653" s="11">
        <v>10</v>
      </c>
      <c r="L653" s="10"/>
      <c r="M653" s="10" t="s">
        <v>47</v>
      </c>
      <c r="N653" s="10"/>
      <c r="O653" s="2">
        <v>1</v>
      </c>
      <c r="P653" s="17">
        <f>249*(1-S3/100)</f>
        <v>249</v>
      </c>
      <c r="Q653" s="18"/>
      <c r="R653" s="10">
        <f>P653*Q653</f>
        <v>0</v>
      </c>
      <c r="S653" s="19">
        <f>0.318*Q653</f>
        <v>0</v>
      </c>
      <c r="T653" s="20">
        <f>0.00047*Q653</f>
        <v>0</v>
      </c>
      <c r="U653" s="21"/>
      <c r="V653" s="22" t="s">
        <v>2878</v>
      </c>
      <c r="W653" s="22" t="s">
        <v>191</v>
      </c>
      <c r="X653" s="3"/>
      <c r="Y653" s="3"/>
      <c r="Z653" s="3" t="s">
        <v>52</v>
      </c>
      <c r="AA653" s="3"/>
      <c r="AB653" s="3"/>
      <c r="AC653" s="3" t="str">
        <f>HYPERLINK("https://knigipp.ru/api/getInfo/image/3d5b94ea-b9d0-11ee-a25a-00155d82e908")</f>
        <v>https://knigipp.ru/api/getInfo/image/3d5b94ea-b9d0-11ee-a25a-00155d82e908</v>
      </c>
      <c r="AD653" s="32">
        <v>128</v>
      </c>
      <c r="AE653" s="3" t="s">
        <v>1406</v>
      </c>
      <c r="AF653" s="3" t="s">
        <v>127</v>
      </c>
      <c r="AG653" s="3"/>
      <c r="AH653" s="3" t="s">
        <v>56</v>
      </c>
      <c r="AI653" s="3"/>
      <c r="AJ653" s="3"/>
      <c r="AK653" s="3" t="str">
        <f>HYPERLINK("https://knigipp.ru/api/getInfo/item/3d5b94ea-b9d0-11ee-a25a-00155d82e908")</f>
        <v>https://knigipp.ru/api/getInfo/item/3d5b94ea-b9d0-11ee-a25a-00155d82e908</v>
      </c>
      <c r="AL653" s="3" t="s">
        <v>2874</v>
      </c>
    </row>
    <row r="654" spans="1:38" ht="21" customHeight="1" outlineLevel="4" x14ac:dyDescent="0.2">
      <c r="A654" s="2">
        <v>485</v>
      </c>
      <c r="B654" s="3" t="s">
        <v>2879</v>
      </c>
      <c r="C654" s="49" t="s">
        <v>2880</v>
      </c>
      <c r="D654" s="49"/>
      <c r="E654" s="49"/>
      <c r="F654" s="49"/>
      <c r="G654" s="4" t="s">
        <v>2881</v>
      </c>
      <c r="H654" s="8"/>
      <c r="I654" s="9" t="s">
        <v>2882</v>
      </c>
      <c r="J654" s="10"/>
      <c r="K654" s="11">
        <v>20</v>
      </c>
      <c r="L654" s="10"/>
      <c r="M654" s="10" t="s">
        <v>78</v>
      </c>
      <c r="N654" s="10"/>
      <c r="O654" s="2">
        <v>1</v>
      </c>
      <c r="P654" s="17">
        <f>167.3*(1-S3/100)</f>
        <v>167.3</v>
      </c>
      <c r="Q654" s="18"/>
      <c r="R654" s="10">
        <f>P654*Q654</f>
        <v>0</v>
      </c>
      <c r="S654" s="19">
        <f>0.158*Q654</f>
        <v>0</v>
      </c>
      <c r="T654" s="20">
        <f>0.00047*Q654</f>
        <v>0</v>
      </c>
      <c r="U654" s="21"/>
      <c r="V654" s="22" t="s">
        <v>2883</v>
      </c>
      <c r="W654" s="22" t="s">
        <v>191</v>
      </c>
      <c r="X654" s="3"/>
      <c r="Y654" s="3"/>
      <c r="Z654" s="3" t="s">
        <v>52</v>
      </c>
      <c r="AA654" s="3"/>
      <c r="AB654" s="3"/>
      <c r="AC654" s="3" t="str">
        <f>HYPERLINK("https://knigipp.ru/api/getInfo/image/79555df0-6035-11ed-a229-00155d82e902")</f>
        <v>https://knigipp.ru/api/getInfo/image/79555df0-6035-11ed-a229-00155d82e902</v>
      </c>
      <c r="AD654" s="32">
        <v>128</v>
      </c>
      <c r="AE654" s="3" t="s">
        <v>355</v>
      </c>
      <c r="AF654" s="3" t="s">
        <v>127</v>
      </c>
      <c r="AG654" s="3"/>
      <c r="AH654" s="3" t="s">
        <v>56</v>
      </c>
      <c r="AI654" s="3"/>
      <c r="AJ654" s="3"/>
      <c r="AK654" s="3" t="str">
        <f>HYPERLINK("https://knigipp.ru/api/getInfo/item/79555df0-6035-11ed-a229-00155d82e902")</f>
        <v>https://knigipp.ru/api/getInfo/item/79555df0-6035-11ed-a229-00155d82e902</v>
      </c>
      <c r="AL654" s="3" t="s">
        <v>2874</v>
      </c>
    </row>
    <row r="655" spans="1:38" ht="23.1" customHeight="1" outlineLevel="3" x14ac:dyDescent="0.2">
      <c r="A655" s="48" t="s">
        <v>2884</v>
      </c>
      <c r="B655" s="48"/>
      <c r="C655" s="48"/>
      <c r="D655" s="48"/>
      <c r="E655" s="48"/>
      <c r="F655" s="48"/>
    </row>
    <row r="656" spans="1:38" ht="21" customHeight="1" outlineLevel="4" x14ac:dyDescent="0.2">
      <c r="A656" s="2">
        <v>486</v>
      </c>
      <c r="B656" s="3" t="s">
        <v>2885</v>
      </c>
      <c r="C656" s="49" t="s">
        <v>2886</v>
      </c>
      <c r="D656" s="49"/>
      <c r="E656" s="49"/>
      <c r="F656" s="49"/>
      <c r="G656" s="4" t="s">
        <v>2887</v>
      </c>
      <c r="H656" s="8"/>
      <c r="I656" s="9" t="s">
        <v>2888</v>
      </c>
      <c r="J656" s="10"/>
      <c r="K656" s="11">
        <v>20</v>
      </c>
      <c r="L656" s="10"/>
      <c r="M656" s="10" t="s">
        <v>304</v>
      </c>
      <c r="N656" s="10"/>
      <c r="O656" s="2">
        <v>3</v>
      </c>
      <c r="P656" s="17">
        <f>199*(1-S3/100)</f>
        <v>199</v>
      </c>
      <c r="Q656" s="18"/>
      <c r="R656" s="10">
        <f>P656*Q656</f>
        <v>0</v>
      </c>
      <c r="S656" s="19">
        <f>0.269*Q656</f>
        <v>0</v>
      </c>
      <c r="T656" s="20">
        <f>0.00035*Q656</f>
        <v>0</v>
      </c>
      <c r="U656" s="21"/>
      <c r="V656" s="22" t="s">
        <v>2889</v>
      </c>
      <c r="W656" s="22" t="s">
        <v>191</v>
      </c>
      <c r="X656" s="3"/>
      <c r="Y656" s="3"/>
      <c r="Z656" s="3" t="s">
        <v>52</v>
      </c>
      <c r="AA656" s="3"/>
      <c r="AB656" s="3"/>
      <c r="AC656" s="3" t="str">
        <f>HYPERLINK("https://knigipp.ru/api/getInfo/image/5c93b461-d286-11ec-a212-ac1f6b442185")</f>
        <v>https://knigipp.ru/api/getInfo/image/5c93b461-d286-11ec-a212-ac1f6b442185</v>
      </c>
      <c r="AD656" s="32">
        <v>128</v>
      </c>
      <c r="AE656" s="3"/>
      <c r="AF656" s="3" t="s">
        <v>127</v>
      </c>
      <c r="AG656" s="32">
        <v>120</v>
      </c>
      <c r="AH656" s="3" t="s">
        <v>56</v>
      </c>
      <c r="AI656" s="3"/>
      <c r="AJ656" s="3"/>
      <c r="AK656" s="3" t="str">
        <f>HYPERLINK("https://knigipp.ru/api/getInfo/item/5c93b461-d286-11ec-a212-ac1f6b442185")</f>
        <v>https://knigipp.ru/api/getInfo/item/5c93b461-d286-11ec-a212-ac1f6b442185</v>
      </c>
      <c r="AL656" s="3" t="s">
        <v>2890</v>
      </c>
    </row>
    <row r="657" spans="1:38" ht="23.1" customHeight="1" outlineLevel="3" x14ac:dyDescent="0.2">
      <c r="A657" s="48" t="s">
        <v>2891</v>
      </c>
      <c r="B657" s="48"/>
      <c r="C657" s="48"/>
      <c r="D657" s="48"/>
      <c r="E657" s="48"/>
      <c r="F657" s="48"/>
    </row>
    <row r="658" spans="1:38" ht="21" customHeight="1" outlineLevel="4" x14ac:dyDescent="0.2">
      <c r="A658" s="2">
        <v>487</v>
      </c>
      <c r="B658" s="3" t="s">
        <v>2892</v>
      </c>
      <c r="C658" s="49" t="s">
        <v>2893</v>
      </c>
      <c r="D658" s="49"/>
      <c r="E658" s="49"/>
      <c r="F658" s="49"/>
      <c r="G658" s="4" t="s">
        <v>2894</v>
      </c>
      <c r="H658" s="8"/>
      <c r="I658" s="9" t="s">
        <v>2895</v>
      </c>
      <c r="J658" s="10"/>
      <c r="K658" s="11">
        <v>10</v>
      </c>
      <c r="L658" s="10"/>
      <c r="M658" s="10" t="s">
        <v>47</v>
      </c>
      <c r="N658" s="10"/>
      <c r="O658" s="2">
        <v>2</v>
      </c>
      <c r="P658" s="17">
        <f>297*(1-S3/100)</f>
        <v>297</v>
      </c>
      <c r="Q658" s="18"/>
      <c r="R658" s="10">
        <f>P658*Q658</f>
        <v>0</v>
      </c>
      <c r="S658" s="10">
        <v>0</v>
      </c>
      <c r="T658" s="10">
        <v>0</v>
      </c>
      <c r="U658" s="21"/>
      <c r="V658" s="22" t="s">
        <v>2896</v>
      </c>
      <c r="W658" s="22" t="s">
        <v>191</v>
      </c>
      <c r="X658" s="3"/>
      <c r="Y658" s="3" t="s">
        <v>2897</v>
      </c>
      <c r="Z658" s="3" t="s">
        <v>52</v>
      </c>
      <c r="AA658" s="3"/>
      <c r="AB658" s="3"/>
      <c r="AC658" s="3" t="str">
        <f>HYPERLINK("https://knigipp.ru/api/getInfo/image/85f10701-edc6-11ee-a25b-00155d82e908")</f>
        <v>https://knigipp.ru/api/getInfo/image/85f10701-edc6-11ee-a25b-00155d82e908</v>
      </c>
      <c r="AD658" s="32">
        <v>128</v>
      </c>
      <c r="AE658" s="3"/>
      <c r="AF658" s="3" t="s">
        <v>127</v>
      </c>
      <c r="AG658" s="32">
        <v>100</v>
      </c>
      <c r="AH658" s="3" t="s">
        <v>56</v>
      </c>
      <c r="AI658" s="3"/>
      <c r="AJ658" s="3"/>
      <c r="AK658" s="3" t="str">
        <f>HYPERLINK("https://knigipp.ru/api/getInfo/item/85f10701-edc6-11ee-a25b-00155d82e908")</f>
        <v>https://knigipp.ru/api/getInfo/item/85f10701-edc6-11ee-a25b-00155d82e908</v>
      </c>
      <c r="AL658" s="3" t="s">
        <v>2898</v>
      </c>
    </row>
    <row r="659" spans="1:38" ht="21" customHeight="1" outlineLevel="4" x14ac:dyDescent="0.2">
      <c r="A659" s="2">
        <v>488</v>
      </c>
      <c r="B659" s="3" t="s">
        <v>2899</v>
      </c>
      <c r="C659" s="49" t="s">
        <v>2900</v>
      </c>
      <c r="D659" s="49"/>
      <c r="E659" s="49"/>
      <c r="F659" s="49"/>
      <c r="G659" s="4" t="s">
        <v>2901</v>
      </c>
      <c r="H659" s="8"/>
      <c r="I659" s="9" t="s">
        <v>2895</v>
      </c>
      <c r="J659" s="10"/>
      <c r="K659" s="11">
        <v>10</v>
      </c>
      <c r="L659" s="10"/>
      <c r="M659" s="10" t="s">
        <v>47</v>
      </c>
      <c r="N659" s="10"/>
      <c r="O659" s="2">
        <v>2</v>
      </c>
      <c r="P659" s="17">
        <f>297*(1-S3/100)</f>
        <v>297</v>
      </c>
      <c r="Q659" s="18"/>
      <c r="R659" s="10">
        <f>P659*Q659</f>
        <v>0</v>
      </c>
      <c r="S659" s="10">
        <v>0</v>
      </c>
      <c r="T659" s="10">
        <v>0</v>
      </c>
      <c r="U659" s="21"/>
      <c r="V659" s="22" t="s">
        <v>2902</v>
      </c>
      <c r="W659" s="22" t="s">
        <v>191</v>
      </c>
      <c r="X659" s="3"/>
      <c r="Y659" s="3" t="s">
        <v>2903</v>
      </c>
      <c r="Z659" s="3" t="s">
        <v>52</v>
      </c>
      <c r="AA659" s="3"/>
      <c r="AB659" s="3"/>
      <c r="AC659" s="3" t="str">
        <f>HYPERLINK("https://knigipp.ru/api/getInfo/image/c9b44ce4-edc6-11ee-a25b-00155d82e908")</f>
        <v>https://knigipp.ru/api/getInfo/image/c9b44ce4-edc6-11ee-a25b-00155d82e908</v>
      </c>
      <c r="AD659" s="32">
        <v>128</v>
      </c>
      <c r="AE659" s="3"/>
      <c r="AF659" s="3" t="s">
        <v>127</v>
      </c>
      <c r="AG659" s="32">
        <v>100</v>
      </c>
      <c r="AH659" s="3" t="s">
        <v>56</v>
      </c>
      <c r="AI659" s="3"/>
      <c r="AJ659" s="3"/>
      <c r="AK659" s="3" t="str">
        <f>HYPERLINK("https://knigipp.ru/api/getInfo/item/c9b44ce4-edc6-11ee-a25b-00155d82e908")</f>
        <v>https://knigipp.ru/api/getInfo/item/c9b44ce4-edc6-11ee-a25b-00155d82e908</v>
      </c>
      <c r="AL659" s="3" t="s">
        <v>2898</v>
      </c>
    </row>
    <row r="660" spans="1:38" ht="21" customHeight="1" outlineLevel="4" x14ac:dyDescent="0.2">
      <c r="A660" s="2">
        <v>489</v>
      </c>
      <c r="B660" s="3" t="s">
        <v>2904</v>
      </c>
      <c r="C660" s="49" t="s">
        <v>2905</v>
      </c>
      <c r="D660" s="49"/>
      <c r="E660" s="49"/>
      <c r="F660" s="49"/>
      <c r="G660" s="4" t="s">
        <v>2906</v>
      </c>
      <c r="H660" s="8"/>
      <c r="I660" s="9" t="s">
        <v>2895</v>
      </c>
      <c r="J660" s="10"/>
      <c r="K660" s="11">
        <v>10</v>
      </c>
      <c r="L660" s="10"/>
      <c r="M660" s="10" t="s">
        <v>47</v>
      </c>
      <c r="N660" s="10"/>
      <c r="O660" s="2">
        <v>2</v>
      </c>
      <c r="P660" s="17">
        <f>297*(1-S3/100)</f>
        <v>297</v>
      </c>
      <c r="Q660" s="18"/>
      <c r="R660" s="10">
        <f>P660*Q660</f>
        <v>0</v>
      </c>
      <c r="S660" s="10">
        <v>0</v>
      </c>
      <c r="T660" s="10">
        <v>0</v>
      </c>
      <c r="U660" s="21"/>
      <c r="V660" s="22" t="s">
        <v>2907</v>
      </c>
      <c r="W660" s="22" t="s">
        <v>191</v>
      </c>
      <c r="X660" s="3"/>
      <c r="Y660" s="3" t="s">
        <v>2908</v>
      </c>
      <c r="Z660" s="3" t="s">
        <v>52</v>
      </c>
      <c r="AA660" s="3"/>
      <c r="AB660" s="3"/>
      <c r="AC660" s="3" t="str">
        <f>HYPERLINK("https://knigipp.ru/api/getInfo/image/02a05a87-edc7-11ee-a25b-00155d82e908")</f>
        <v>https://knigipp.ru/api/getInfo/image/02a05a87-edc7-11ee-a25b-00155d82e908</v>
      </c>
      <c r="AD660" s="32">
        <v>128</v>
      </c>
      <c r="AE660" s="3"/>
      <c r="AF660" s="3" t="s">
        <v>127</v>
      </c>
      <c r="AG660" s="32">
        <v>100</v>
      </c>
      <c r="AH660" s="3" t="s">
        <v>56</v>
      </c>
      <c r="AI660" s="3"/>
      <c r="AJ660" s="3"/>
      <c r="AK660" s="3" t="str">
        <f>HYPERLINK("https://knigipp.ru/api/getInfo/item/02a05a87-edc7-11ee-a25b-00155d82e908")</f>
        <v>https://knigipp.ru/api/getInfo/item/02a05a87-edc7-11ee-a25b-00155d82e908</v>
      </c>
      <c r="AL660" s="3" t="s">
        <v>2898</v>
      </c>
    </row>
    <row r="661" spans="1:38" ht="21" customHeight="1" outlineLevel="4" x14ac:dyDescent="0.2">
      <c r="A661" s="2">
        <v>490</v>
      </c>
      <c r="B661" s="3" t="s">
        <v>2909</v>
      </c>
      <c r="C661" s="49" t="s">
        <v>2910</v>
      </c>
      <c r="D661" s="49"/>
      <c r="E661" s="49"/>
      <c r="F661" s="49"/>
      <c r="G661" s="4" t="s">
        <v>2911</v>
      </c>
      <c r="H661" s="8"/>
      <c r="I661" s="9" t="s">
        <v>2895</v>
      </c>
      <c r="J661" s="10"/>
      <c r="K661" s="11">
        <v>10</v>
      </c>
      <c r="L661" s="10"/>
      <c r="M661" s="10" t="s">
        <v>47</v>
      </c>
      <c r="N661" s="10"/>
      <c r="O661" s="2">
        <v>2</v>
      </c>
      <c r="P661" s="17">
        <f>297*(1-S3/100)</f>
        <v>297</v>
      </c>
      <c r="Q661" s="18"/>
      <c r="R661" s="10">
        <f>P661*Q661</f>
        <v>0</v>
      </c>
      <c r="S661" s="10">
        <v>0</v>
      </c>
      <c r="T661" s="10">
        <v>0</v>
      </c>
      <c r="U661" s="21"/>
      <c r="V661" s="22" t="s">
        <v>2912</v>
      </c>
      <c r="W661" s="22" t="s">
        <v>191</v>
      </c>
      <c r="X661" s="3"/>
      <c r="Y661" s="3" t="s">
        <v>2913</v>
      </c>
      <c r="Z661" s="3" t="s">
        <v>52</v>
      </c>
      <c r="AA661" s="3"/>
      <c r="AB661" s="3"/>
      <c r="AC661" s="3" t="str">
        <f>HYPERLINK("https://knigipp.ru/api/getInfo/image/22ff1ced-edc6-11ee-a25b-00155d82e908")</f>
        <v>https://knigipp.ru/api/getInfo/image/22ff1ced-edc6-11ee-a25b-00155d82e908</v>
      </c>
      <c r="AD661" s="32">
        <v>128</v>
      </c>
      <c r="AE661" s="3"/>
      <c r="AF661" s="3" t="s">
        <v>127</v>
      </c>
      <c r="AG661" s="32">
        <v>100</v>
      </c>
      <c r="AH661" s="3" t="s">
        <v>56</v>
      </c>
      <c r="AI661" s="3"/>
      <c r="AJ661" s="3"/>
      <c r="AK661" s="3" t="str">
        <f>HYPERLINK("https://knigipp.ru/api/getInfo/item/22ff1ced-edc6-11ee-a25b-00155d82e908")</f>
        <v>https://knigipp.ru/api/getInfo/item/22ff1ced-edc6-11ee-a25b-00155d82e908</v>
      </c>
      <c r="AL661" s="3" t="s">
        <v>2898</v>
      </c>
    </row>
    <row r="662" spans="1:38" ht="23.1" customHeight="1" outlineLevel="3" x14ac:dyDescent="0.2">
      <c r="A662" s="48" t="s">
        <v>2914</v>
      </c>
      <c r="B662" s="48"/>
      <c r="C662" s="48"/>
      <c r="D662" s="48"/>
      <c r="E662" s="48"/>
      <c r="F662" s="48"/>
    </row>
    <row r="663" spans="1:38" ht="21" customHeight="1" outlineLevel="4" x14ac:dyDescent="0.2">
      <c r="A663" s="2">
        <v>491</v>
      </c>
      <c r="B663" s="3" t="s">
        <v>2915</v>
      </c>
      <c r="C663" s="49" t="s">
        <v>2916</v>
      </c>
      <c r="D663" s="49"/>
      <c r="E663" s="49"/>
      <c r="F663" s="49"/>
      <c r="G663" s="4" t="s">
        <v>2917</v>
      </c>
      <c r="H663" s="8"/>
      <c r="I663" s="9" t="s">
        <v>2918</v>
      </c>
      <c r="J663" s="10"/>
      <c r="K663" s="11">
        <v>30</v>
      </c>
      <c r="L663" s="10"/>
      <c r="M663" s="10" t="s">
        <v>47</v>
      </c>
      <c r="N663" s="10"/>
      <c r="O663" s="2">
        <v>7</v>
      </c>
      <c r="P663" s="17">
        <f>94.7*(1-S3/100)</f>
        <v>94.7</v>
      </c>
      <c r="Q663" s="18"/>
      <c r="R663" s="10">
        <f>P663*Q663</f>
        <v>0</v>
      </c>
      <c r="S663" s="28">
        <f>0.08*Q663</f>
        <v>0</v>
      </c>
      <c r="T663" s="20">
        <f>0.00011*Q663</f>
        <v>0</v>
      </c>
      <c r="U663" s="21"/>
      <c r="V663" s="22" t="s">
        <v>2919</v>
      </c>
      <c r="W663" s="22" t="s">
        <v>191</v>
      </c>
      <c r="X663" s="3"/>
      <c r="Y663" s="3" t="s">
        <v>2920</v>
      </c>
      <c r="Z663" s="3" t="s">
        <v>52</v>
      </c>
      <c r="AA663" s="3"/>
      <c r="AB663" s="3"/>
      <c r="AC663" s="3" t="str">
        <f>HYPERLINK("https://knigipp.ru/api/getInfo/image/f7095ca8-7e31-11ee-a248-00155d82e902")</f>
        <v>https://knigipp.ru/api/getInfo/image/f7095ca8-7e31-11ee-a248-00155d82e902</v>
      </c>
      <c r="AD663" s="32">
        <v>48</v>
      </c>
      <c r="AE663" s="3" t="s">
        <v>355</v>
      </c>
      <c r="AF663" s="3" t="s">
        <v>136</v>
      </c>
      <c r="AG663" s="3"/>
      <c r="AH663" s="3" t="s">
        <v>56</v>
      </c>
      <c r="AI663" s="3"/>
      <c r="AJ663" s="3"/>
      <c r="AK663" s="3" t="str">
        <f>HYPERLINK("https://knigipp.ru/api/getInfo/item/f7095ca8-7e31-11ee-a248-00155d82e902")</f>
        <v>https://knigipp.ru/api/getInfo/item/f7095ca8-7e31-11ee-a248-00155d82e902</v>
      </c>
      <c r="AL663" s="3" t="s">
        <v>2921</v>
      </c>
    </row>
    <row r="664" spans="1:38" ht="21" customHeight="1" outlineLevel="4" x14ac:dyDescent="0.2">
      <c r="A664" s="2">
        <v>492</v>
      </c>
      <c r="B664" s="3" t="s">
        <v>2922</v>
      </c>
      <c r="C664" s="49" t="s">
        <v>2923</v>
      </c>
      <c r="D664" s="49"/>
      <c r="E664" s="49"/>
      <c r="F664" s="49"/>
      <c r="G664" s="4" t="s">
        <v>2924</v>
      </c>
      <c r="H664" s="8"/>
      <c r="I664" s="9" t="s">
        <v>2918</v>
      </c>
      <c r="J664" s="10"/>
      <c r="K664" s="11">
        <v>30</v>
      </c>
      <c r="L664" s="10"/>
      <c r="M664" s="10" t="s">
        <v>47</v>
      </c>
      <c r="N664" s="10"/>
      <c r="O664" s="2">
        <v>7</v>
      </c>
      <c r="P664" s="17">
        <f>94.7*(1-S3/100)</f>
        <v>94.7</v>
      </c>
      <c r="Q664" s="18"/>
      <c r="R664" s="10">
        <f>P664*Q664</f>
        <v>0</v>
      </c>
      <c r="S664" s="28">
        <f>0.08*Q664</f>
        <v>0</v>
      </c>
      <c r="T664" s="20">
        <f>0.00011*Q664</f>
        <v>0</v>
      </c>
      <c r="U664" s="21"/>
      <c r="V664" s="22" t="s">
        <v>2925</v>
      </c>
      <c r="W664" s="22" t="s">
        <v>191</v>
      </c>
      <c r="X664" s="3"/>
      <c r="Y664" s="3" t="s">
        <v>2926</v>
      </c>
      <c r="Z664" s="3" t="s">
        <v>52</v>
      </c>
      <c r="AA664" s="3"/>
      <c r="AB664" s="3"/>
      <c r="AC664" s="3" t="str">
        <f>HYPERLINK("https://knigipp.ru/api/getInfo/image/1ff33979-7e32-11ee-a248-00155d82e902")</f>
        <v>https://knigipp.ru/api/getInfo/image/1ff33979-7e32-11ee-a248-00155d82e902</v>
      </c>
      <c r="AD664" s="32">
        <v>48</v>
      </c>
      <c r="AE664" s="3" t="s">
        <v>355</v>
      </c>
      <c r="AF664" s="3" t="s">
        <v>136</v>
      </c>
      <c r="AG664" s="3"/>
      <c r="AH664" s="3" t="s">
        <v>56</v>
      </c>
      <c r="AI664" s="3"/>
      <c r="AJ664" s="3"/>
      <c r="AK664" s="3" t="str">
        <f>HYPERLINK("https://knigipp.ru/api/getInfo/item/1ff33979-7e32-11ee-a248-00155d82e902")</f>
        <v>https://knigipp.ru/api/getInfo/item/1ff33979-7e32-11ee-a248-00155d82e902</v>
      </c>
      <c r="AL664" s="3" t="s">
        <v>2921</v>
      </c>
    </row>
    <row r="665" spans="1:38" ht="21" customHeight="1" outlineLevel="4" x14ac:dyDescent="0.2">
      <c r="A665" s="2">
        <v>493</v>
      </c>
      <c r="B665" s="3" t="s">
        <v>2927</v>
      </c>
      <c r="C665" s="49" t="s">
        <v>2928</v>
      </c>
      <c r="D665" s="49"/>
      <c r="E665" s="49"/>
      <c r="F665" s="49"/>
      <c r="G665" s="4" t="s">
        <v>2929</v>
      </c>
      <c r="H665" s="8"/>
      <c r="I665" s="9" t="s">
        <v>2918</v>
      </c>
      <c r="J665" s="10"/>
      <c r="K665" s="11">
        <v>30</v>
      </c>
      <c r="L665" s="10"/>
      <c r="M665" s="10" t="s">
        <v>47</v>
      </c>
      <c r="N665" s="10"/>
      <c r="O665" s="2">
        <v>7</v>
      </c>
      <c r="P665" s="17">
        <f>94.7*(1-S3/100)</f>
        <v>94.7</v>
      </c>
      <c r="Q665" s="18"/>
      <c r="R665" s="10">
        <f>P665*Q665</f>
        <v>0</v>
      </c>
      <c r="S665" s="28">
        <f>0.08*Q665</f>
        <v>0</v>
      </c>
      <c r="T665" s="20">
        <f>0.00011*Q665</f>
        <v>0</v>
      </c>
      <c r="U665" s="21"/>
      <c r="V665" s="22" t="s">
        <v>2930</v>
      </c>
      <c r="W665" s="22" t="s">
        <v>191</v>
      </c>
      <c r="X665" s="3"/>
      <c r="Y665" s="3" t="s">
        <v>2931</v>
      </c>
      <c r="Z665" s="3" t="s">
        <v>52</v>
      </c>
      <c r="AA665" s="3"/>
      <c r="AB665" s="3"/>
      <c r="AC665" s="3" t="str">
        <f>HYPERLINK("https://knigipp.ru/api/getInfo/image/93a76312-7e31-11ee-a248-00155d82e902")</f>
        <v>https://knigipp.ru/api/getInfo/image/93a76312-7e31-11ee-a248-00155d82e902</v>
      </c>
      <c r="AD665" s="32">
        <v>48</v>
      </c>
      <c r="AE665" s="3" t="s">
        <v>355</v>
      </c>
      <c r="AF665" s="3" t="s">
        <v>136</v>
      </c>
      <c r="AG665" s="3"/>
      <c r="AH665" s="3" t="s">
        <v>56</v>
      </c>
      <c r="AI665" s="3"/>
      <c r="AJ665" s="3"/>
      <c r="AK665" s="3" t="str">
        <f>HYPERLINK("https://knigipp.ru/api/getInfo/item/93a76312-7e31-11ee-a248-00155d82e902")</f>
        <v>https://knigipp.ru/api/getInfo/item/93a76312-7e31-11ee-a248-00155d82e902</v>
      </c>
      <c r="AL665" s="3" t="s">
        <v>2921</v>
      </c>
    </row>
    <row r="666" spans="1:38" ht="21" customHeight="1" outlineLevel="4" x14ac:dyDescent="0.2">
      <c r="A666" s="2">
        <v>494</v>
      </c>
      <c r="B666" s="3" t="s">
        <v>2932</v>
      </c>
      <c r="C666" s="49" t="s">
        <v>2933</v>
      </c>
      <c r="D666" s="49"/>
      <c r="E666" s="49"/>
      <c r="F666" s="49"/>
      <c r="G666" s="4" t="s">
        <v>2934</v>
      </c>
      <c r="H666" s="8"/>
      <c r="I666" s="9" t="s">
        <v>2918</v>
      </c>
      <c r="J666" s="10"/>
      <c r="K666" s="11">
        <v>30</v>
      </c>
      <c r="L666" s="10"/>
      <c r="M666" s="10" t="s">
        <v>47</v>
      </c>
      <c r="N666" s="10"/>
      <c r="O666" s="2">
        <v>7</v>
      </c>
      <c r="P666" s="17">
        <f>94.7*(1-S3/100)</f>
        <v>94.7</v>
      </c>
      <c r="Q666" s="18"/>
      <c r="R666" s="10">
        <f>P666*Q666</f>
        <v>0</v>
      </c>
      <c r="S666" s="28">
        <f>0.08*Q666</f>
        <v>0</v>
      </c>
      <c r="T666" s="20">
        <f>0.00011*Q666</f>
        <v>0</v>
      </c>
      <c r="U666" s="21"/>
      <c r="V666" s="22" t="s">
        <v>2935</v>
      </c>
      <c r="W666" s="22" t="s">
        <v>191</v>
      </c>
      <c r="X666" s="3"/>
      <c r="Y666" s="3" t="s">
        <v>2936</v>
      </c>
      <c r="Z666" s="3" t="s">
        <v>52</v>
      </c>
      <c r="AA666" s="3"/>
      <c r="AB666" s="3"/>
      <c r="AC666" s="3" t="str">
        <f>HYPERLINK("https://knigipp.ru/api/getInfo/image/c95ac7a7-7e31-11ee-a248-00155d82e902")</f>
        <v>https://knigipp.ru/api/getInfo/image/c95ac7a7-7e31-11ee-a248-00155d82e902</v>
      </c>
      <c r="AD666" s="32">
        <v>48</v>
      </c>
      <c r="AE666" s="3" t="s">
        <v>355</v>
      </c>
      <c r="AF666" s="3" t="s">
        <v>136</v>
      </c>
      <c r="AG666" s="3"/>
      <c r="AH666" s="3" t="s">
        <v>56</v>
      </c>
      <c r="AI666" s="3"/>
      <c r="AJ666" s="3"/>
      <c r="AK666" s="3" t="str">
        <f>HYPERLINK("https://knigipp.ru/api/getInfo/item/c95ac7a7-7e31-11ee-a248-00155d82e902")</f>
        <v>https://knigipp.ru/api/getInfo/item/c95ac7a7-7e31-11ee-a248-00155d82e902</v>
      </c>
      <c r="AL666" s="3" t="s">
        <v>2921</v>
      </c>
    </row>
    <row r="667" spans="1:38" ht="23.1" customHeight="1" outlineLevel="3" x14ac:dyDescent="0.2">
      <c r="A667" s="48" t="s">
        <v>2937</v>
      </c>
      <c r="B667" s="48"/>
      <c r="C667" s="48"/>
      <c r="D667" s="48"/>
      <c r="E667" s="48"/>
      <c r="F667" s="48"/>
    </row>
    <row r="668" spans="1:38" ht="21" customHeight="1" outlineLevel="4" x14ac:dyDescent="0.2">
      <c r="A668" s="2">
        <v>495</v>
      </c>
      <c r="B668" s="3" t="s">
        <v>2938</v>
      </c>
      <c r="C668" s="49" t="s">
        <v>2939</v>
      </c>
      <c r="D668" s="49"/>
      <c r="E668" s="49"/>
      <c r="F668" s="49"/>
      <c r="G668" s="4" t="s">
        <v>2940</v>
      </c>
      <c r="H668" s="8"/>
      <c r="I668" s="9" t="s">
        <v>2941</v>
      </c>
      <c r="J668" s="10"/>
      <c r="K668" s="11">
        <v>10</v>
      </c>
      <c r="L668" s="10"/>
      <c r="M668" s="10" t="s">
        <v>47</v>
      </c>
      <c r="N668" s="10"/>
      <c r="O668" s="2">
        <v>2</v>
      </c>
      <c r="P668" s="17">
        <f>299*(1-S3/100)</f>
        <v>299</v>
      </c>
      <c r="Q668" s="18"/>
      <c r="R668" s="10">
        <f>P668*Q668</f>
        <v>0</v>
      </c>
      <c r="S668" s="19">
        <f>0.529*Q668</f>
        <v>0</v>
      </c>
      <c r="T668" s="20">
        <f>0.00088*Q668</f>
        <v>0</v>
      </c>
      <c r="U668" s="21"/>
      <c r="V668" s="22" t="s">
        <v>2942</v>
      </c>
      <c r="W668" s="22" t="s">
        <v>191</v>
      </c>
      <c r="X668" s="3"/>
      <c r="Y668" s="3"/>
      <c r="Z668" s="3" t="s">
        <v>52</v>
      </c>
      <c r="AA668" s="3"/>
      <c r="AB668" s="3"/>
      <c r="AC668" s="3" t="str">
        <f>HYPERLINK("https://knigipp.ru/api/getInfo/image/acee0269-d86f-11ed-a232-00155d82e902")</f>
        <v>https://knigipp.ru/api/getInfo/image/acee0269-d86f-11ed-a232-00155d82e902</v>
      </c>
      <c r="AD668" s="32">
        <v>144</v>
      </c>
      <c r="AE668" s="3" t="s">
        <v>740</v>
      </c>
      <c r="AF668" s="3" t="s">
        <v>127</v>
      </c>
      <c r="AG668" s="3"/>
      <c r="AH668" s="3" t="s">
        <v>56</v>
      </c>
      <c r="AI668" s="3"/>
      <c r="AJ668" s="3"/>
      <c r="AK668" s="3" t="str">
        <f>HYPERLINK("https://knigipp.ru/api/getInfo/item/acee0269-d86f-11ed-a232-00155d82e902")</f>
        <v>https://knigipp.ru/api/getInfo/item/acee0269-d86f-11ed-a232-00155d82e902</v>
      </c>
      <c r="AL668" s="3" t="s">
        <v>2943</v>
      </c>
    </row>
    <row r="669" spans="1:38" ht="21" customHeight="1" outlineLevel="4" x14ac:dyDescent="0.2">
      <c r="A669" s="2">
        <v>496</v>
      </c>
      <c r="B669" s="3" t="s">
        <v>2944</v>
      </c>
      <c r="C669" s="49" t="s">
        <v>2945</v>
      </c>
      <c r="D669" s="49"/>
      <c r="E669" s="49"/>
      <c r="F669" s="49"/>
      <c r="G669" s="4" t="s">
        <v>2946</v>
      </c>
      <c r="H669" s="8"/>
      <c r="I669" s="9" t="s">
        <v>2941</v>
      </c>
      <c r="J669" s="10"/>
      <c r="K669" s="11">
        <v>10</v>
      </c>
      <c r="L669" s="10"/>
      <c r="M669" s="10" t="s">
        <v>47</v>
      </c>
      <c r="N669" s="10"/>
      <c r="O669" s="2">
        <v>2</v>
      </c>
      <c r="P669" s="17">
        <f>299*(1-S3/100)</f>
        <v>299</v>
      </c>
      <c r="Q669" s="18"/>
      <c r="R669" s="10">
        <f>P669*Q669</f>
        <v>0</v>
      </c>
      <c r="S669" s="19">
        <f>0.466*Q669</f>
        <v>0</v>
      </c>
      <c r="T669" s="30">
        <f>0.0006*Q669</f>
        <v>0</v>
      </c>
      <c r="U669" s="21"/>
      <c r="V669" s="22" t="s">
        <v>2947</v>
      </c>
      <c r="W669" s="22" t="s">
        <v>191</v>
      </c>
      <c r="X669" s="3"/>
      <c r="Y669" s="3"/>
      <c r="Z669" s="3" t="s">
        <v>52</v>
      </c>
      <c r="AA669" s="3"/>
      <c r="AB669" s="3"/>
      <c r="AC669" s="3" t="str">
        <f>HYPERLINK("https://knigipp.ru/api/getInfo/image/d278b90d-d86f-11ed-a232-00155d82e902")</f>
        <v>https://knigipp.ru/api/getInfo/image/d278b90d-d86f-11ed-a232-00155d82e902</v>
      </c>
      <c r="AD669" s="32">
        <v>144</v>
      </c>
      <c r="AE669" s="3" t="s">
        <v>740</v>
      </c>
      <c r="AF669" s="3" t="s">
        <v>127</v>
      </c>
      <c r="AG669" s="3"/>
      <c r="AH669" s="3" t="s">
        <v>56</v>
      </c>
      <c r="AI669" s="3"/>
      <c r="AJ669" s="3"/>
      <c r="AK669" s="3" t="str">
        <f>HYPERLINK("https://knigipp.ru/api/getInfo/item/d278b90d-d86f-11ed-a232-00155d82e902")</f>
        <v>https://knigipp.ru/api/getInfo/item/d278b90d-d86f-11ed-a232-00155d82e902</v>
      </c>
      <c r="AL669" s="3" t="s">
        <v>2943</v>
      </c>
    </row>
    <row r="670" spans="1:38" ht="21" customHeight="1" outlineLevel="4" x14ac:dyDescent="0.2">
      <c r="A670" s="2">
        <v>497</v>
      </c>
      <c r="B670" s="3" t="s">
        <v>2948</v>
      </c>
      <c r="C670" s="49" t="s">
        <v>2949</v>
      </c>
      <c r="D670" s="49"/>
      <c r="E670" s="49"/>
      <c r="F670" s="49"/>
      <c r="G670" s="4" t="s">
        <v>2950</v>
      </c>
      <c r="H670" s="8"/>
      <c r="I670" s="9" t="s">
        <v>2941</v>
      </c>
      <c r="J670" s="10"/>
      <c r="K670" s="11">
        <v>10</v>
      </c>
      <c r="L670" s="10"/>
      <c r="M670" s="10" t="s">
        <v>47</v>
      </c>
      <c r="N670" s="10"/>
      <c r="O670" s="2">
        <v>2</v>
      </c>
      <c r="P670" s="17">
        <f>299*(1-S3/100)</f>
        <v>299</v>
      </c>
      <c r="Q670" s="18"/>
      <c r="R670" s="10">
        <f>P670*Q670</f>
        <v>0</v>
      </c>
      <c r="S670" s="28">
        <f>0.49*Q670</f>
        <v>0</v>
      </c>
      <c r="T670" s="20">
        <f>0.00076*Q670</f>
        <v>0</v>
      </c>
      <c r="U670" s="21"/>
      <c r="V670" s="22" t="s">
        <v>2951</v>
      </c>
      <c r="W670" s="22" t="s">
        <v>191</v>
      </c>
      <c r="X670" s="3"/>
      <c r="Y670" s="3"/>
      <c r="Z670" s="3" t="s">
        <v>52</v>
      </c>
      <c r="AA670" s="3"/>
      <c r="AB670" s="3"/>
      <c r="AC670" s="3" t="str">
        <f>HYPERLINK("https://knigipp.ru/api/getInfo/image/538f36fd-d86f-11ed-a232-00155d82e902")</f>
        <v>https://knigipp.ru/api/getInfo/image/538f36fd-d86f-11ed-a232-00155d82e902</v>
      </c>
      <c r="AD670" s="32">
        <v>144</v>
      </c>
      <c r="AE670" s="3" t="s">
        <v>740</v>
      </c>
      <c r="AF670" s="3" t="s">
        <v>127</v>
      </c>
      <c r="AG670" s="3"/>
      <c r="AH670" s="3" t="s">
        <v>56</v>
      </c>
      <c r="AI670" s="3"/>
      <c r="AJ670" s="3"/>
      <c r="AK670" s="3" t="str">
        <f>HYPERLINK("https://knigipp.ru/api/getInfo/item/538f36fd-d86f-11ed-a232-00155d82e902")</f>
        <v>https://knigipp.ru/api/getInfo/item/538f36fd-d86f-11ed-a232-00155d82e902</v>
      </c>
      <c r="AL670" s="3" t="s">
        <v>2943</v>
      </c>
    </row>
    <row r="671" spans="1:38" ht="21" customHeight="1" outlineLevel="4" x14ac:dyDescent="0.2">
      <c r="A671" s="2">
        <v>498</v>
      </c>
      <c r="B671" s="3" t="s">
        <v>2952</v>
      </c>
      <c r="C671" s="49" t="s">
        <v>2953</v>
      </c>
      <c r="D671" s="49"/>
      <c r="E671" s="49"/>
      <c r="F671" s="49"/>
      <c r="G671" s="4" t="s">
        <v>2954</v>
      </c>
      <c r="H671" s="8"/>
      <c r="I671" s="9" t="s">
        <v>2941</v>
      </c>
      <c r="J671" s="10"/>
      <c r="K671" s="11">
        <v>10</v>
      </c>
      <c r="L671" s="10"/>
      <c r="M671" s="10" t="s">
        <v>47</v>
      </c>
      <c r="N671" s="10"/>
      <c r="O671" s="2">
        <v>2</v>
      </c>
      <c r="P671" s="17">
        <f>299*(1-S3/100)</f>
        <v>299</v>
      </c>
      <c r="Q671" s="18"/>
      <c r="R671" s="10">
        <f>P671*Q671</f>
        <v>0</v>
      </c>
      <c r="S671" s="19">
        <f>0.489*Q671</f>
        <v>0</v>
      </c>
      <c r="T671" s="20">
        <f>0.00082*Q671</f>
        <v>0</v>
      </c>
      <c r="U671" s="21"/>
      <c r="V671" s="22" t="s">
        <v>2955</v>
      </c>
      <c r="W671" s="22" t="s">
        <v>191</v>
      </c>
      <c r="X671" s="3"/>
      <c r="Y671" s="3"/>
      <c r="Z671" s="3" t="s">
        <v>52</v>
      </c>
      <c r="AA671" s="3"/>
      <c r="AB671" s="3"/>
      <c r="AC671" s="3" t="str">
        <f>HYPERLINK("https://knigipp.ru/api/getInfo/image/8ab6742e-d86f-11ed-a232-00155d82e902")</f>
        <v>https://knigipp.ru/api/getInfo/image/8ab6742e-d86f-11ed-a232-00155d82e902</v>
      </c>
      <c r="AD671" s="32">
        <v>144</v>
      </c>
      <c r="AE671" s="3" t="s">
        <v>740</v>
      </c>
      <c r="AF671" s="3" t="s">
        <v>127</v>
      </c>
      <c r="AG671" s="3"/>
      <c r="AH671" s="3" t="s">
        <v>56</v>
      </c>
      <c r="AI671" s="3"/>
      <c r="AJ671" s="3"/>
      <c r="AK671" s="3" t="str">
        <f>HYPERLINK("https://knigipp.ru/api/getInfo/item/8ab6742e-d86f-11ed-a232-00155d82e902")</f>
        <v>https://knigipp.ru/api/getInfo/item/8ab6742e-d86f-11ed-a232-00155d82e902</v>
      </c>
      <c r="AL671" s="3" t="s">
        <v>2943</v>
      </c>
    </row>
    <row r="672" spans="1:38" ht="23.1" customHeight="1" outlineLevel="3" x14ac:dyDescent="0.2">
      <c r="A672" s="48" t="s">
        <v>2956</v>
      </c>
      <c r="B672" s="48"/>
      <c r="C672" s="48"/>
      <c r="D672" s="48"/>
      <c r="E672" s="48"/>
      <c r="F672" s="48"/>
    </row>
    <row r="673" spans="1:38" ht="21" customHeight="1" outlineLevel="4" x14ac:dyDescent="0.2">
      <c r="A673" s="2">
        <v>499</v>
      </c>
      <c r="B673" s="3" t="s">
        <v>2957</v>
      </c>
      <c r="C673" s="49" t="s">
        <v>2958</v>
      </c>
      <c r="D673" s="49"/>
      <c r="E673" s="49"/>
      <c r="F673" s="49"/>
      <c r="G673" s="4" t="s">
        <v>2959</v>
      </c>
      <c r="H673" s="8"/>
      <c r="I673" s="9" t="s">
        <v>2960</v>
      </c>
      <c r="J673" s="10"/>
      <c r="K673" s="11">
        <v>20</v>
      </c>
      <c r="L673" s="10"/>
      <c r="M673" s="10" t="s">
        <v>47</v>
      </c>
      <c r="N673" s="10"/>
      <c r="O673" s="2">
        <v>6</v>
      </c>
      <c r="P673" s="17">
        <f>107*(1-S3/100)</f>
        <v>107</v>
      </c>
      <c r="Q673" s="18"/>
      <c r="R673" s="10">
        <f>P673*Q673</f>
        <v>0</v>
      </c>
      <c r="S673" s="19">
        <f>0.112*Q673</f>
        <v>0</v>
      </c>
      <c r="T673" s="20">
        <f>0.00027*Q673</f>
        <v>0</v>
      </c>
      <c r="U673" s="21"/>
      <c r="V673" s="22" t="s">
        <v>2961</v>
      </c>
      <c r="W673" s="22" t="s">
        <v>191</v>
      </c>
      <c r="X673" s="3"/>
      <c r="Y673" s="3"/>
      <c r="Z673" s="3" t="s">
        <v>52</v>
      </c>
      <c r="AA673" s="3" t="s">
        <v>1957</v>
      </c>
      <c r="AB673" s="3"/>
      <c r="AC673" s="3" t="str">
        <f>HYPERLINK("https://knigipp.ru/api/getInfo/image/53784ac9-9825-11ee-a250-00155d82e908")</f>
        <v>https://knigipp.ru/api/getInfo/image/53784ac9-9825-11ee-a250-00155d82e908</v>
      </c>
      <c r="AD673" s="32">
        <v>128</v>
      </c>
      <c r="AE673" s="3" t="s">
        <v>355</v>
      </c>
      <c r="AF673" s="3" t="s">
        <v>741</v>
      </c>
      <c r="AG673" s="3"/>
      <c r="AH673" s="3" t="s">
        <v>56</v>
      </c>
      <c r="AI673" s="3"/>
      <c r="AJ673" s="3"/>
      <c r="AK673" s="3" t="str">
        <f>HYPERLINK("https://knigipp.ru/api/getInfo/item/53784ac9-9825-11ee-a250-00155d82e908")</f>
        <v>https://knigipp.ru/api/getInfo/item/53784ac9-9825-11ee-a250-00155d82e908</v>
      </c>
      <c r="AL673" s="3" t="s">
        <v>2962</v>
      </c>
    </row>
    <row r="674" spans="1:38" ht="21" customHeight="1" outlineLevel="4" x14ac:dyDescent="0.2">
      <c r="A674" s="2">
        <v>500</v>
      </c>
      <c r="B674" s="3" t="s">
        <v>2963</v>
      </c>
      <c r="C674" s="49" t="s">
        <v>2964</v>
      </c>
      <c r="D674" s="49"/>
      <c r="E674" s="49"/>
      <c r="F674" s="49"/>
      <c r="G674" s="4" t="s">
        <v>2965</v>
      </c>
      <c r="H674" s="8"/>
      <c r="I674" s="9" t="s">
        <v>2960</v>
      </c>
      <c r="J674" s="10"/>
      <c r="K674" s="11">
        <v>20</v>
      </c>
      <c r="L674" s="10"/>
      <c r="M674" s="10" t="s">
        <v>78</v>
      </c>
      <c r="N674" s="10"/>
      <c r="O674" s="2">
        <v>6</v>
      </c>
      <c r="P674" s="17">
        <f>107*(1-S3/100)</f>
        <v>107</v>
      </c>
      <c r="Q674" s="18"/>
      <c r="R674" s="10">
        <f>P674*Q674</f>
        <v>0</v>
      </c>
      <c r="S674" s="19">
        <f>0.112*Q674</f>
        <v>0</v>
      </c>
      <c r="T674" s="20">
        <f>0.00027*Q674</f>
        <v>0</v>
      </c>
      <c r="U674" s="21"/>
      <c r="V674" s="22" t="s">
        <v>2966</v>
      </c>
      <c r="W674" s="22" t="s">
        <v>191</v>
      </c>
      <c r="X674" s="3"/>
      <c r="Y674" s="3"/>
      <c r="Z674" s="3" t="s">
        <v>52</v>
      </c>
      <c r="AA674" s="3" t="s">
        <v>1957</v>
      </c>
      <c r="AB674" s="3"/>
      <c r="AC674" s="3" t="str">
        <f>HYPERLINK("https://knigipp.ru/api/getInfo/image/2468d88b-9825-11ee-a250-00155d82e908")</f>
        <v>https://knigipp.ru/api/getInfo/image/2468d88b-9825-11ee-a250-00155d82e908</v>
      </c>
      <c r="AD674" s="32">
        <v>128</v>
      </c>
      <c r="AE674" s="3" t="s">
        <v>355</v>
      </c>
      <c r="AF674" s="3" t="s">
        <v>741</v>
      </c>
      <c r="AG674" s="3"/>
      <c r="AH674" s="3" t="s">
        <v>56</v>
      </c>
      <c r="AI674" s="3"/>
      <c r="AJ674" s="3"/>
      <c r="AK674" s="3" t="str">
        <f>HYPERLINK("https://knigipp.ru/api/getInfo/item/2468d88b-9825-11ee-a250-00155d82e908")</f>
        <v>https://knigipp.ru/api/getInfo/item/2468d88b-9825-11ee-a250-00155d82e908</v>
      </c>
      <c r="AL674" s="3" t="s">
        <v>2962</v>
      </c>
    </row>
    <row r="675" spans="1:38" ht="21" customHeight="1" outlineLevel="4" x14ac:dyDescent="0.2">
      <c r="A675" s="2">
        <v>501</v>
      </c>
      <c r="B675" s="3" t="s">
        <v>2967</v>
      </c>
      <c r="C675" s="49" t="s">
        <v>2968</v>
      </c>
      <c r="D675" s="49"/>
      <c r="E675" s="49"/>
      <c r="F675" s="49"/>
      <c r="G675" s="4" t="s">
        <v>2969</v>
      </c>
      <c r="H675" s="8"/>
      <c r="I675" s="9" t="s">
        <v>2960</v>
      </c>
      <c r="J675" s="10"/>
      <c r="K675" s="11">
        <v>20</v>
      </c>
      <c r="L675" s="10"/>
      <c r="M675" s="10" t="s">
        <v>47</v>
      </c>
      <c r="N675" s="10"/>
      <c r="O675" s="2">
        <v>6</v>
      </c>
      <c r="P675" s="17">
        <f>107*(1-S3/100)</f>
        <v>107</v>
      </c>
      <c r="Q675" s="18"/>
      <c r="R675" s="10">
        <f>P675*Q675</f>
        <v>0</v>
      </c>
      <c r="S675" s="19">
        <f>0.112*Q675</f>
        <v>0</v>
      </c>
      <c r="T675" s="20">
        <f>0.00027*Q675</f>
        <v>0</v>
      </c>
      <c r="U675" s="21"/>
      <c r="V675" s="22" t="s">
        <v>2970</v>
      </c>
      <c r="W675" s="22" t="s">
        <v>191</v>
      </c>
      <c r="X675" s="3"/>
      <c r="Y675" s="3"/>
      <c r="Z675" s="3" t="s">
        <v>52</v>
      </c>
      <c r="AA675" s="3" t="s">
        <v>1957</v>
      </c>
      <c r="AB675" s="3"/>
      <c r="AC675" s="3" t="str">
        <f>HYPERLINK("https://knigipp.ru/api/getInfo/image/f1641b96-9824-11ee-a250-00155d82e908")</f>
        <v>https://knigipp.ru/api/getInfo/image/f1641b96-9824-11ee-a250-00155d82e908</v>
      </c>
      <c r="AD675" s="32">
        <v>128</v>
      </c>
      <c r="AE675" s="3" t="s">
        <v>355</v>
      </c>
      <c r="AF675" s="3" t="s">
        <v>741</v>
      </c>
      <c r="AG675" s="3"/>
      <c r="AH675" s="3" t="s">
        <v>56</v>
      </c>
      <c r="AI675" s="3"/>
      <c r="AJ675" s="3"/>
      <c r="AK675" s="3" t="str">
        <f>HYPERLINK("https://knigipp.ru/api/getInfo/item/f1641b96-9824-11ee-a250-00155d82e908")</f>
        <v>https://knigipp.ru/api/getInfo/item/f1641b96-9824-11ee-a250-00155d82e908</v>
      </c>
      <c r="AL675" s="3" t="s">
        <v>2962</v>
      </c>
    </row>
    <row r="676" spans="1:38" ht="23.1" customHeight="1" outlineLevel="3" x14ac:dyDescent="0.2">
      <c r="A676" s="48" t="s">
        <v>2971</v>
      </c>
      <c r="B676" s="48"/>
      <c r="C676" s="48"/>
      <c r="D676" s="48"/>
      <c r="E676" s="48"/>
      <c r="F676" s="48"/>
    </row>
    <row r="677" spans="1:38" ht="21" customHeight="1" outlineLevel="4" x14ac:dyDescent="0.2">
      <c r="A677" s="2">
        <v>502</v>
      </c>
      <c r="B677" s="3" t="s">
        <v>2972</v>
      </c>
      <c r="C677" s="49" t="s">
        <v>2973</v>
      </c>
      <c r="D677" s="49"/>
      <c r="E677" s="49"/>
      <c r="F677" s="49"/>
      <c r="G677" s="4" t="s">
        <v>2974</v>
      </c>
      <c r="H677" s="8"/>
      <c r="I677" s="9" t="s">
        <v>2975</v>
      </c>
      <c r="J677" s="10"/>
      <c r="K677" s="11">
        <v>24</v>
      </c>
      <c r="L677" s="10"/>
      <c r="M677" s="10" t="s">
        <v>47</v>
      </c>
      <c r="N677" s="10"/>
      <c r="O677" s="2">
        <v>2</v>
      </c>
      <c r="P677" s="17">
        <f>329*(1-S3/100)</f>
        <v>329</v>
      </c>
      <c r="Q677" s="18"/>
      <c r="R677" s="10">
        <f>P677*Q677</f>
        <v>0</v>
      </c>
      <c r="S677" s="19">
        <f>0.268*Q677</f>
        <v>0</v>
      </c>
      <c r="T677" s="20">
        <f>0.00043*Q677</f>
        <v>0</v>
      </c>
      <c r="U677" s="21"/>
      <c r="V677" s="22" t="s">
        <v>2976</v>
      </c>
      <c r="W677" s="22" t="s">
        <v>191</v>
      </c>
      <c r="X677" s="3"/>
      <c r="Y677" s="3" t="s">
        <v>2977</v>
      </c>
      <c r="Z677" s="3" t="s">
        <v>52</v>
      </c>
      <c r="AA677" s="3"/>
      <c r="AB677" s="3"/>
      <c r="AC677" s="3" t="str">
        <f>HYPERLINK("https://knigipp.ru/api/getInfo/image/518c2afb-1f1d-11ee-a23c-00155d82e902")</f>
        <v>https://knigipp.ru/api/getInfo/image/518c2afb-1f1d-11ee-a23c-00155d82e902</v>
      </c>
      <c r="AD677" s="32">
        <v>128</v>
      </c>
      <c r="AE677" s="3" t="s">
        <v>1406</v>
      </c>
      <c r="AF677" s="3" t="s">
        <v>127</v>
      </c>
      <c r="AG677" s="3"/>
      <c r="AH677" s="3" t="s">
        <v>56</v>
      </c>
      <c r="AI677" s="3"/>
      <c r="AJ677" s="3"/>
      <c r="AK677" s="3" t="str">
        <f>HYPERLINK("https://knigipp.ru/api/getInfo/item/518c2afb-1f1d-11ee-a23c-00155d82e902")</f>
        <v>https://knigipp.ru/api/getInfo/item/518c2afb-1f1d-11ee-a23c-00155d82e902</v>
      </c>
      <c r="AL677" s="3" t="s">
        <v>2859</v>
      </c>
    </row>
    <row r="678" spans="1:38" ht="21" customHeight="1" outlineLevel="4" x14ac:dyDescent="0.2">
      <c r="A678" s="2">
        <v>503</v>
      </c>
      <c r="B678" s="3" t="s">
        <v>2978</v>
      </c>
      <c r="C678" s="49" t="s">
        <v>2979</v>
      </c>
      <c r="D678" s="49"/>
      <c r="E678" s="49"/>
      <c r="F678" s="49"/>
      <c r="G678" s="4" t="s">
        <v>2980</v>
      </c>
      <c r="H678" s="8"/>
      <c r="I678" s="9" t="s">
        <v>2975</v>
      </c>
      <c r="J678" s="10"/>
      <c r="K678" s="11">
        <v>24</v>
      </c>
      <c r="L678" s="10"/>
      <c r="M678" s="10" t="s">
        <v>47</v>
      </c>
      <c r="N678" s="10"/>
      <c r="O678" s="2">
        <v>2</v>
      </c>
      <c r="P678" s="17">
        <f>329*(1-S3/100)</f>
        <v>329</v>
      </c>
      <c r="Q678" s="18"/>
      <c r="R678" s="10">
        <f>P678*Q678</f>
        <v>0</v>
      </c>
      <c r="S678" s="19">
        <f>0.269*Q678</f>
        <v>0</v>
      </c>
      <c r="T678" s="20">
        <f>0.00047*Q678</f>
        <v>0</v>
      </c>
      <c r="U678" s="21"/>
      <c r="V678" s="22" t="s">
        <v>2981</v>
      </c>
      <c r="W678" s="22" t="s">
        <v>191</v>
      </c>
      <c r="X678" s="3"/>
      <c r="Y678" s="3" t="s">
        <v>2982</v>
      </c>
      <c r="Z678" s="3" t="s">
        <v>52</v>
      </c>
      <c r="AA678" s="3" t="s">
        <v>2983</v>
      </c>
      <c r="AB678" s="3"/>
      <c r="AC678" s="3" t="str">
        <f>HYPERLINK("https://knigipp.ru/api/getInfo/image/017fb244-1f1d-11ee-a23c-00155d82e902")</f>
        <v>https://knigipp.ru/api/getInfo/image/017fb244-1f1d-11ee-a23c-00155d82e902</v>
      </c>
      <c r="AD678" s="32">
        <v>128</v>
      </c>
      <c r="AE678" s="3" t="s">
        <v>1406</v>
      </c>
      <c r="AF678" s="3" t="s">
        <v>127</v>
      </c>
      <c r="AG678" s="3"/>
      <c r="AH678" s="3" t="s">
        <v>56</v>
      </c>
      <c r="AI678" s="3"/>
      <c r="AJ678" s="3"/>
      <c r="AK678" s="3" t="str">
        <f>HYPERLINK("https://knigipp.ru/api/getInfo/item/017fb244-1f1d-11ee-a23c-00155d82e902")</f>
        <v>https://knigipp.ru/api/getInfo/item/017fb244-1f1d-11ee-a23c-00155d82e902</v>
      </c>
      <c r="AL678" s="3" t="s">
        <v>2859</v>
      </c>
    </row>
    <row r="679" spans="1:38" ht="21" customHeight="1" outlineLevel="4" x14ac:dyDescent="0.2">
      <c r="A679" s="2">
        <v>504</v>
      </c>
      <c r="B679" s="3" t="s">
        <v>2984</v>
      </c>
      <c r="C679" s="49" t="s">
        <v>2985</v>
      </c>
      <c r="D679" s="49"/>
      <c r="E679" s="49"/>
      <c r="F679" s="49"/>
      <c r="G679" s="4" t="s">
        <v>2986</v>
      </c>
      <c r="H679" s="8"/>
      <c r="I679" s="9" t="s">
        <v>2975</v>
      </c>
      <c r="J679" s="10"/>
      <c r="K679" s="11">
        <v>24</v>
      </c>
      <c r="L679" s="10"/>
      <c r="M679" s="10" t="s">
        <v>47</v>
      </c>
      <c r="N679" s="10"/>
      <c r="O679" s="2">
        <v>2</v>
      </c>
      <c r="P679" s="17">
        <f>329*(1-S3/100)</f>
        <v>329</v>
      </c>
      <c r="Q679" s="18"/>
      <c r="R679" s="10">
        <f>P679*Q679</f>
        <v>0</v>
      </c>
      <c r="S679" s="19">
        <f>0.264*Q679</f>
        <v>0</v>
      </c>
      <c r="T679" s="30">
        <f>0.0005*Q679</f>
        <v>0</v>
      </c>
      <c r="U679" s="21"/>
      <c r="V679" s="22" t="s">
        <v>2987</v>
      </c>
      <c r="W679" s="22" t="s">
        <v>191</v>
      </c>
      <c r="X679" s="3"/>
      <c r="Y679" s="3" t="s">
        <v>2988</v>
      </c>
      <c r="Z679" s="3" t="s">
        <v>52</v>
      </c>
      <c r="AA679" s="3" t="s">
        <v>2983</v>
      </c>
      <c r="AB679" s="3"/>
      <c r="AC679" s="3" t="str">
        <f>HYPERLINK("https://knigipp.ru/api/getInfo/image/2f05d1f4-1f1d-11ee-a23c-00155d82e902")</f>
        <v>https://knigipp.ru/api/getInfo/image/2f05d1f4-1f1d-11ee-a23c-00155d82e902</v>
      </c>
      <c r="AD679" s="32">
        <v>128</v>
      </c>
      <c r="AE679" s="3" t="s">
        <v>1406</v>
      </c>
      <c r="AF679" s="3" t="s">
        <v>127</v>
      </c>
      <c r="AG679" s="3"/>
      <c r="AH679" s="3" t="s">
        <v>56</v>
      </c>
      <c r="AI679" s="3"/>
      <c r="AJ679" s="3"/>
      <c r="AK679" s="3" t="str">
        <f>HYPERLINK("https://knigipp.ru/api/getInfo/item/2f05d1f4-1f1d-11ee-a23c-00155d82e902")</f>
        <v>https://knigipp.ru/api/getInfo/item/2f05d1f4-1f1d-11ee-a23c-00155d82e902</v>
      </c>
      <c r="AL679" s="3" t="s">
        <v>2859</v>
      </c>
    </row>
    <row r="680" spans="1:38" ht="21" customHeight="1" outlineLevel="4" x14ac:dyDescent="0.2">
      <c r="A680" s="2">
        <v>505</v>
      </c>
      <c r="B680" s="3" t="s">
        <v>2989</v>
      </c>
      <c r="C680" s="49" t="s">
        <v>2990</v>
      </c>
      <c r="D680" s="49"/>
      <c r="E680" s="49"/>
      <c r="F680" s="49"/>
      <c r="G680" s="4" t="s">
        <v>2991</v>
      </c>
      <c r="H680" s="8"/>
      <c r="I680" s="9" t="s">
        <v>2975</v>
      </c>
      <c r="J680" s="10"/>
      <c r="K680" s="11">
        <v>24</v>
      </c>
      <c r="L680" s="10"/>
      <c r="M680" s="10" t="s">
        <v>47</v>
      </c>
      <c r="N680" s="10"/>
      <c r="O680" s="2">
        <v>2</v>
      </c>
      <c r="P680" s="17">
        <f>329*(1-S3/100)</f>
        <v>329</v>
      </c>
      <c r="Q680" s="18"/>
      <c r="R680" s="10">
        <f>P680*Q680</f>
        <v>0</v>
      </c>
      <c r="S680" s="19">
        <f>0.269*Q680</f>
        <v>0</v>
      </c>
      <c r="T680" s="20">
        <f>0.00046*Q680</f>
        <v>0</v>
      </c>
      <c r="U680" s="21"/>
      <c r="V680" s="22" t="s">
        <v>2992</v>
      </c>
      <c r="W680" s="22" t="s">
        <v>191</v>
      </c>
      <c r="X680" s="3"/>
      <c r="Y680" s="3" t="s">
        <v>2993</v>
      </c>
      <c r="Z680" s="3" t="s">
        <v>52</v>
      </c>
      <c r="AA680" s="3" t="s">
        <v>2983</v>
      </c>
      <c r="AB680" s="3"/>
      <c r="AC680" s="3" t="str">
        <f>HYPERLINK("https://knigipp.ru/api/getInfo/image/b22d4cfb-1f1c-11ee-a23c-00155d82e902")</f>
        <v>https://knigipp.ru/api/getInfo/image/b22d4cfb-1f1c-11ee-a23c-00155d82e902</v>
      </c>
      <c r="AD680" s="32">
        <v>128</v>
      </c>
      <c r="AE680" s="3" t="s">
        <v>1406</v>
      </c>
      <c r="AF680" s="3" t="s">
        <v>127</v>
      </c>
      <c r="AG680" s="3"/>
      <c r="AH680" s="3" t="s">
        <v>56</v>
      </c>
      <c r="AI680" s="3"/>
      <c r="AJ680" s="3"/>
      <c r="AK680" s="3" t="str">
        <f>HYPERLINK("https://knigipp.ru/api/getInfo/item/b22d4cfb-1f1c-11ee-a23c-00155d82e902")</f>
        <v>https://knigipp.ru/api/getInfo/item/b22d4cfb-1f1c-11ee-a23c-00155d82e902</v>
      </c>
      <c r="AL680" s="3" t="s">
        <v>2859</v>
      </c>
    </row>
    <row r="681" spans="1:38" ht="23.1" customHeight="1" outlineLevel="3" x14ac:dyDescent="0.2">
      <c r="A681" s="48" t="s">
        <v>2994</v>
      </c>
      <c r="B681" s="48"/>
      <c r="C681" s="48"/>
      <c r="D681" s="48"/>
      <c r="E681" s="48"/>
      <c r="F681" s="48"/>
    </row>
    <row r="682" spans="1:38" ht="21" customHeight="1" outlineLevel="4" x14ac:dyDescent="0.2">
      <c r="A682" s="2">
        <v>506</v>
      </c>
      <c r="B682" s="3" t="s">
        <v>2995</v>
      </c>
      <c r="C682" s="49" t="s">
        <v>2996</v>
      </c>
      <c r="D682" s="49"/>
      <c r="E682" s="49"/>
      <c r="F682" s="49"/>
      <c r="G682" s="4" t="s">
        <v>2997</v>
      </c>
      <c r="H682" s="8"/>
      <c r="I682" s="9" t="s">
        <v>2998</v>
      </c>
      <c r="J682" s="10"/>
      <c r="K682" s="11">
        <v>10</v>
      </c>
      <c r="L682" s="10"/>
      <c r="M682" s="10" t="s">
        <v>47</v>
      </c>
      <c r="N682" s="10"/>
      <c r="O682" s="2">
        <v>2</v>
      </c>
      <c r="P682" s="17">
        <f>297*(1-S3/100)</f>
        <v>297</v>
      </c>
      <c r="Q682" s="18"/>
      <c r="R682" s="10">
        <f t="shared" ref="R682:R687" si="30">P682*Q682</f>
        <v>0</v>
      </c>
      <c r="S682" s="19">
        <f>0.368*Q682</f>
        <v>0</v>
      </c>
      <c r="T682" s="20">
        <f t="shared" ref="T682:T687" si="31">0.00054*Q682</f>
        <v>0</v>
      </c>
      <c r="U682" s="21"/>
      <c r="V682" s="22" t="s">
        <v>2999</v>
      </c>
      <c r="W682" s="22" t="s">
        <v>191</v>
      </c>
      <c r="X682" s="3"/>
      <c r="Y682" s="3"/>
      <c r="Z682" s="3" t="s">
        <v>52</v>
      </c>
      <c r="AA682" s="3"/>
      <c r="AB682" s="3"/>
      <c r="AC682" s="3" t="str">
        <f>HYPERLINK("https://knigipp.ru/api/getInfo/image/5be738a2-3be7-11ec-a20f-ac1f6b442185")</f>
        <v>https://knigipp.ru/api/getInfo/image/5be738a2-3be7-11ec-a20f-ac1f6b442185</v>
      </c>
      <c r="AD682" s="32">
        <v>144</v>
      </c>
      <c r="AE682" s="3"/>
      <c r="AF682" s="3" t="s">
        <v>127</v>
      </c>
      <c r="AG682" s="32">
        <v>100</v>
      </c>
      <c r="AH682" s="3" t="s">
        <v>56</v>
      </c>
      <c r="AI682" s="3"/>
      <c r="AJ682" s="3"/>
      <c r="AK682" s="3" t="str">
        <f>HYPERLINK("https://knigipp.ru/api/getInfo/item/5be738a2-3be7-11ec-a20f-ac1f6b442185")</f>
        <v>https://knigipp.ru/api/getInfo/item/5be738a2-3be7-11ec-a20f-ac1f6b442185</v>
      </c>
      <c r="AL682" s="3" t="s">
        <v>3000</v>
      </c>
    </row>
    <row r="683" spans="1:38" ht="21" customHeight="1" outlineLevel="4" x14ac:dyDescent="0.2">
      <c r="A683" s="2">
        <v>507</v>
      </c>
      <c r="B683" s="3" t="s">
        <v>3001</v>
      </c>
      <c r="C683" s="49" t="s">
        <v>3002</v>
      </c>
      <c r="D683" s="49"/>
      <c r="E683" s="49"/>
      <c r="F683" s="49"/>
      <c r="G683" s="4" t="s">
        <v>3003</v>
      </c>
      <c r="H683" s="8"/>
      <c r="I683" s="9" t="s">
        <v>3004</v>
      </c>
      <c r="J683" s="10"/>
      <c r="K683" s="11">
        <v>10</v>
      </c>
      <c r="L683" s="10"/>
      <c r="M683" s="10" t="s">
        <v>47</v>
      </c>
      <c r="N683" s="10"/>
      <c r="O683" s="2">
        <v>2</v>
      </c>
      <c r="P683" s="17">
        <f>297*(1-S3/100)</f>
        <v>297</v>
      </c>
      <c r="Q683" s="18"/>
      <c r="R683" s="10">
        <f t="shared" si="30"/>
        <v>0</v>
      </c>
      <c r="S683" s="28">
        <f>0.37*Q683</f>
        <v>0</v>
      </c>
      <c r="T683" s="20">
        <f t="shared" si="31"/>
        <v>0</v>
      </c>
      <c r="U683" s="21"/>
      <c r="V683" s="22" t="s">
        <v>3005</v>
      </c>
      <c r="W683" s="22" t="s">
        <v>191</v>
      </c>
      <c r="X683" s="3"/>
      <c r="Y683" s="3"/>
      <c r="Z683" s="3" t="s">
        <v>52</v>
      </c>
      <c r="AA683" s="3"/>
      <c r="AB683" s="3"/>
      <c r="AC683" s="3" t="str">
        <f>HYPERLINK("https://knigipp.ru/api/getInfo/image/6c6e392a-847c-11ea-a247-ac1f6b442184")</f>
        <v>https://knigipp.ru/api/getInfo/image/6c6e392a-847c-11ea-a247-ac1f6b442184</v>
      </c>
      <c r="AD683" s="32">
        <v>144</v>
      </c>
      <c r="AE683" s="3"/>
      <c r="AF683" s="3" t="s">
        <v>127</v>
      </c>
      <c r="AG683" s="32">
        <v>100</v>
      </c>
      <c r="AH683" s="3" t="s">
        <v>56</v>
      </c>
      <c r="AI683" s="3"/>
      <c r="AJ683" s="3"/>
      <c r="AK683" s="3" t="str">
        <f>HYPERLINK("https://knigipp.ru/api/getInfo/item/6c6e392a-847c-11ea-a247-ac1f6b442184")</f>
        <v>https://knigipp.ru/api/getInfo/item/6c6e392a-847c-11ea-a247-ac1f6b442184</v>
      </c>
      <c r="AL683" s="3" t="s">
        <v>3000</v>
      </c>
    </row>
    <row r="684" spans="1:38" ht="21" customHeight="1" outlineLevel="4" x14ac:dyDescent="0.2">
      <c r="A684" s="2">
        <v>508</v>
      </c>
      <c r="B684" s="3" t="s">
        <v>3006</v>
      </c>
      <c r="C684" s="49" t="s">
        <v>3007</v>
      </c>
      <c r="D684" s="49"/>
      <c r="E684" s="49"/>
      <c r="F684" s="49"/>
      <c r="G684" s="4" t="s">
        <v>3008</v>
      </c>
      <c r="H684" s="8"/>
      <c r="I684" s="9" t="s">
        <v>3004</v>
      </c>
      <c r="J684" s="10"/>
      <c r="K684" s="11">
        <v>10</v>
      </c>
      <c r="L684" s="10"/>
      <c r="M684" s="10" t="s">
        <v>47</v>
      </c>
      <c r="N684" s="10"/>
      <c r="O684" s="2">
        <v>2</v>
      </c>
      <c r="P684" s="17">
        <f>297*(1-S3/100)</f>
        <v>297</v>
      </c>
      <c r="Q684" s="18"/>
      <c r="R684" s="10">
        <f t="shared" si="30"/>
        <v>0</v>
      </c>
      <c r="S684" s="28">
        <f>0.37*Q684</f>
        <v>0</v>
      </c>
      <c r="T684" s="20">
        <f t="shared" si="31"/>
        <v>0</v>
      </c>
      <c r="U684" s="21"/>
      <c r="V684" s="22" t="s">
        <v>3009</v>
      </c>
      <c r="W684" s="22" t="s">
        <v>191</v>
      </c>
      <c r="X684" s="3"/>
      <c r="Y684" s="3"/>
      <c r="Z684" s="3" t="s">
        <v>52</v>
      </c>
      <c r="AA684" s="3"/>
      <c r="AB684" s="3"/>
      <c r="AC684" s="3" t="str">
        <f>HYPERLINK("https://knigipp.ru/api/getInfo/image/4edbb840-847c-11ea-a247-ac1f6b442184")</f>
        <v>https://knigipp.ru/api/getInfo/image/4edbb840-847c-11ea-a247-ac1f6b442184</v>
      </c>
      <c r="AD684" s="32">
        <v>144</v>
      </c>
      <c r="AE684" s="3"/>
      <c r="AF684" s="3" t="s">
        <v>127</v>
      </c>
      <c r="AG684" s="32">
        <v>100</v>
      </c>
      <c r="AH684" s="3" t="s">
        <v>56</v>
      </c>
      <c r="AI684" s="3"/>
      <c r="AJ684" s="3"/>
      <c r="AK684" s="3" t="str">
        <f>HYPERLINK("https://knigipp.ru/api/getInfo/item/4edbb840-847c-11ea-a247-ac1f6b442184")</f>
        <v>https://knigipp.ru/api/getInfo/item/4edbb840-847c-11ea-a247-ac1f6b442184</v>
      </c>
      <c r="AL684" s="3" t="s">
        <v>3000</v>
      </c>
    </row>
    <row r="685" spans="1:38" ht="21" customHeight="1" outlineLevel="4" x14ac:dyDescent="0.2">
      <c r="A685" s="2">
        <v>509</v>
      </c>
      <c r="B685" s="3" t="s">
        <v>3010</v>
      </c>
      <c r="C685" s="49" t="s">
        <v>3011</v>
      </c>
      <c r="D685" s="49"/>
      <c r="E685" s="49"/>
      <c r="F685" s="49"/>
      <c r="G685" s="4" t="s">
        <v>3012</v>
      </c>
      <c r="H685" s="8"/>
      <c r="I685" s="9" t="s">
        <v>3004</v>
      </c>
      <c r="J685" s="10"/>
      <c r="K685" s="11">
        <v>10</v>
      </c>
      <c r="L685" s="10"/>
      <c r="M685" s="10" t="s">
        <v>47</v>
      </c>
      <c r="N685" s="10"/>
      <c r="O685" s="2">
        <v>2</v>
      </c>
      <c r="P685" s="17">
        <f>297*(1-S3/100)</f>
        <v>297</v>
      </c>
      <c r="Q685" s="18"/>
      <c r="R685" s="10">
        <f t="shared" si="30"/>
        <v>0</v>
      </c>
      <c r="S685" s="28">
        <f>0.37*Q685</f>
        <v>0</v>
      </c>
      <c r="T685" s="20">
        <f t="shared" si="31"/>
        <v>0</v>
      </c>
      <c r="U685" s="21"/>
      <c r="V685" s="22" t="s">
        <v>3013</v>
      </c>
      <c r="W685" s="22" t="s">
        <v>191</v>
      </c>
      <c r="X685" s="3"/>
      <c r="Y685" s="3"/>
      <c r="Z685" s="3" t="s">
        <v>52</v>
      </c>
      <c r="AA685" s="3"/>
      <c r="AB685" s="3"/>
      <c r="AC685" s="3" t="str">
        <f>HYPERLINK("https://knigipp.ru/api/getInfo/image/8a3c5554-847c-11ea-a247-ac1f6b442184")</f>
        <v>https://knigipp.ru/api/getInfo/image/8a3c5554-847c-11ea-a247-ac1f6b442184</v>
      </c>
      <c r="AD685" s="32">
        <v>144</v>
      </c>
      <c r="AE685" s="3"/>
      <c r="AF685" s="3" t="s">
        <v>127</v>
      </c>
      <c r="AG685" s="32">
        <v>100</v>
      </c>
      <c r="AH685" s="3" t="s">
        <v>56</v>
      </c>
      <c r="AI685" s="3"/>
      <c r="AJ685" s="3"/>
      <c r="AK685" s="3" t="str">
        <f>HYPERLINK("https://knigipp.ru/api/getInfo/item/8a3c5554-847c-11ea-a247-ac1f6b442184")</f>
        <v>https://knigipp.ru/api/getInfo/item/8a3c5554-847c-11ea-a247-ac1f6b442184</v>
      </c>
      <c r="AL685" s="3" t="s">
        <v>3000</v>
      </c>
    </row>
    <row r="686" spans="1:38" ht="21" customHeight="1" outlineLevel="4" x14ac:dyDescent="0.2">
      <c r="A686" s="2">
        <v>510</v>
      </c>
      <c r="B686" s="3" t="s">
        <v>3014</v>
      </c>
      <c r="C686" s="49" t="s">
        <v>3015</v>
      </c>
      <c r="D686" s="49"/>
      <c r="E686" s="49"/>
      <c r="F686" s="49"/>
      <c r="G686" s="4" t="s">
        <v>3016</v>
      </c>
      <c r="H686" s="8"/>
      <c r="I686" s="9" t="s">
        <v>3004</v>
      </c>
      <c r="J686" s="10"/>
      <c r="K686" s="11">
        <v>10</v>
      </c>
      <c r="L686" s="10"/>
      <c r="M686" s="10" t="s">
        <v>78</v>
      </c>
      <c r="N686" s="10"/>
      <c r="O686" s="2">
        <v>2</v>
      </c>
      <c r="P686" s="17">
        <f>297*(1-S3/100)</f>
        <v>297</v>
      </c>
      <c r="Q686" s="18"/>
      <c r="R686" s="10">
        <f t="shared" si="30"/>
        <v>0</v>
      </c>
      <c r="S686" s="28">
        <f>0.37*Q686</f>
        <v>0</v>
      </c>
      <c r="T686" s="20">
        <f t="shared" si="31"/>
        <v>0</v>
      </c>
      <c r="U686" s="21"/>
      <c r="V686" s="22" t="s">
        <v>3017</v>
      </c>
      <c r="W686" s="22" t="s">
        <v>191</v>
      </c>
      <c r="X686" s="3"/>
      <c r="Y686" s="3"/>
      <c r="Z686" s="3" t="s">
        <v>52</v>
      </c>
      <c r="AA686" s="3"/>
      <c r="AB686" s="3"/>
      <c r="AC686" s="3" t="str">
        <f>HYPERLINK("https://knigipp.ru/api/getInfo/image/2483eea0-847c-11ea-a247-ac1f6b442184")</f>
        <v>https://knigipp.ru/api/getInfo/image/2483eea0-847c-11ea-a247-ac1f6b442184</v>
      </c>
      <c r="AD686" s="32">
        <v>144</v>
      </c>
      <c r="AE686" s="3"/>
      <c r="AF686" s="3" t="s">
        <v>127</v>
      </c>
      <c r="AG686" s="32">
        <v>100</v>
      </c>
      <c r="AH686" s="3" t="s">
        <v>56</v>
      </c>
      <c r="AI686" s="3"/>
      <c r="AJ686" s="3"/>
      <c r="AK686" s="3" t="str">
        <f>HYPERLINK("https://knigipp.ru/api/getInfo/item/2483eea0-847c-11ea-a247-ac1f6b442184")</f>
        <v>https://knigipp.ru/api/getInfo/item/2483eea0-847c-11ea-a247-ac1f6b442184</v>
      </c>
      <c r="AL686" s="3" t="s">
        <v>3000</v>
      </c>
    </row>
    <row r="687" spans="1:38" ht="21" customHeight="1" outlineLevel="4" x14ac:dyDescent="0.2">
      <c r="A687" s="2">
        <v>511</v>
      </c>
      <c r="B687" s="3" t="s">
        <v>3018</v>
      </c>
      <c r="C687" s="49" t="s">
        <v>3019</v>
      </c>
      <c r="D687" s="49"/>
      <c r="E687" s="49"/>
      <c r="F687" s="49"/>
      <c r="G687" s="4" t="s">
        <v>3020</v>
      </c>
      <c r="H687" s="8"/>
      <c r="I687" s="9" t="s">
        <v>3021</v>
      </c>
      <c r="J687" s="10"/>
      <c r="K687" s="11">
        <v>10</v>
      </c>
      <c r="L687" s="10"/>
      <c r="M687" s="10" t="s">
        <v>78</v>
      </c>
      <c r="N687" s="10"/>
      <c r="O687" s="2">
        <v>2</v>
      </c>
      <c r="P687" s="17">
        <f>297*(1-S3/100)</f>
        <v>297</v>
      </c>
      <c r="Q687" s="18"/>
      <c r="R687" s="10">
        <f t="shared" si="30"/>
        <v>0</v>
      </c>
      <c r="S687" s="19">
        <f>0.368*Q687</f>
        <v>0</v>
      </c>
      <c r="T687" s="20">
        <f t="shared" si="31"/>
        <v>0</v>
      </c>
      <c r="U687" s="21"/>
      <c r="V687" s="22" t="s">
        <v>3022</v>
      </c>
      <c r="W687" s="22" t="s">
        <v>191</v>
      </c>
      <c r="X687" s="3"/>
      <c r="Y687" s="3"/>
      <c r="Z687" s="3" t="s">
        <v>52</v>
      </c>
      <c r="AA687" s="3"/>
      <c r="AB687" s="3"/>
      <c r="AC687" s="3" t="str">
        <f>HYPERLINK("https://knigipp.ru/api/getInfo/image/25b0d60d-3be7-11ec-a20f-ac1f6b442185")</f>
        <v>https://knigipp.ru/api/getInfo/image/25b0d60d-3be7-11ec-a20f-ac1f6b442185</v>
      </c>
      <c r="AD687" s="32">
        <v>144</v>
      </c>
      <c r="AE687" s="3"/>
      <c r="AF687" s="3" t="s">
        <v>127</v>
      </c>
      <c r="AG687" s="32">
        <v>100</v>
      </c>
      <c r="AH687" s="3" t="s">
        <v>56</v>
      </c>
      <c r="AI687" s="3"/>
      <c r="AJ687" s="3"/>
      <c r="AK687" s="3" t="str">
        <f>HYPERLINK("https://knigipp.ru/api/getInfo/item/25b0d60d-3be7-11ec-a20f-ac1f6b442185")</f>
        <v>https://knigipp.ru/api/getInfo/item/25b0d60d-3be7-11ec-a20f-ac1f6b442185</v>
      </c>
      <c r="AL687" s="3" t="s">
        <v>3000</v>
      </c>
    </row>
    <row r="688" spans="1:38" ht="23.1" customHeight="1" outlineLevel="3" x14ac:dyDescent="0.2">
      <c r="A688" s="48" t="s">
        <v>3023</v>
      </c>
      <c r="B688" s="48"/>
      <c r="C688" s="48"/>
      <c r="D688" s="48"/>
      <c r="E688" s="48"/>
      <c r="F688" s="48"/>
    </row>
    <row r="689" spans="1:38" ht="21" customHeight="1" outlineLevel="4" x14ac:dyDescent="0.2">
      <c r="A689" s="2">
        <v>512</v>
      </c>
      <c r="B689" s="3" t="s">
        <v>3024</v>
      </c>
      <c r="C689" s="49" t="s">
        <v>3025</v>
      </c>
      <c r="D689" s="49"/>
      <c r="E689" s="49"/>
      <c r="F689" s="49"/>
      <c r="G689" s="4" t="s">
        <v>3026</v>
      </c>
      <c r="H689" s="8"/>
      <c r="I689" s="9" t="s">
        <v>3027</v>
      </c>
      <c r="J689" s="10"/>
      <c r="K689" s="11">
        <v>20</v>
      </c>
      <c r="L689" s="10"/>
      <c r="M689" s="10" t="s">
        <v>47</v>
      </c>
      <c r="N689" s="10"/>
      <c r="O689" s="2">
        <v>4</v>
      </c>
      <c r="P689" s="17">
        <f>169.3*(1-S3/100)</f>
        <v>169.3</v>
      </c>
      <c r="Q689" s="18"/>
      <c r="R689" s="10">
        <f t="shared" ref="R689:R704" si="32">P689*Q689</f>
        <v>0</v>
      </c>
      <c r="S689" s="19">
        <f>0.132*Q689</f>
        <v>0</v>
      </c>
      <c r="T689" s="20">
        <f>0.00029*Q689</f>
        <v>0</v>
      </c>
      <c r="U689" s="21"/>
      <c r="V689" s="22" t="s">
        <v>3028</v>
      </c>
      <c r="W689" s="22" t="s">
        <v>191</v>
      </c>
      <c r="X689" s="3"/>
      <c r="Y689" s="3"/>
      <c r="Z689" s="3" t="s">
        <v>52</v>
      </c>
      <c r="AA689" s="3" t="s">
        <v>3029</v>
      </c>
      <c r="AB689" s="3"/>
      <c r="AC689" s="3" t="str">
        <f>HYPERLINK("https://knigipp.ru/api/getInfo/image/a5a46fe7-1f21-11ee-a23c-00155d82e902")</f>
        <v>https://knigipp.ru/api/getInfo/image/a5a46fe7-1f21-11ee-a23c-00155d82e902</v>
      </c>
      <c r="AD689" s="32">
        <v>128</v>
      </c>
      <c r="AE689" s="3" t="s">
        <v>481</v>
      </c>
      <c r="AF689" s="3" t="s">
        <v>127</v>
      </c>
      <c r="AG689" s="32">
        <v>100</v>
      </c>
      <c r="AH689" s="3" t="s">
        <v>56</v>
      </c>
      <c r="AI689" s="3"/>
      <c r="AJ689" s="3"/>
      <c r="AK689" s="3" t="str">
        <f>HYPERLINK("https://knigipp.ru/api/getInfo/item/a5a46fe7-1f21-11ee-a23c-00155d82e902")</f>
        <v>https://knigipp.ru/api/getInfo/item/a5a46fe7-1f21-11ee-a23c-00155d82e902</v>
      </c>
      <c r="AL689" s="3" t="s">
        <v>3030</v>
      </c>
    </row>
    <row r="690" spans="1:38" ht="21" customHeight="1" outlineLevel="4" x14ac:dyDescent="0.2">
      <c r="A690" s="2">
        <v>513</v>
      </c>
      <c r="B690" s="3" t="s">
        <v>3031</v>
      </c>
      <c r="C690" s="49" t="s">
        <v>3032</v>
      </c>
      <c r="D690" s="49"/>
      <c r="E690" s="49"/>
      <c r="F690" s="49"/>
      <c r="G690" s="4" t="s">
        <v>3033</v>
      </c>
      <c r="H690" s="8"/>
      <c r="I690" s="9" t="s">
        <v>3034</v>
      </c>
      <c r="J690" s="10"/>
      <c r="K690" s="11">
        <v>20</v>
      </c>
      <c r="L690" s="10"/>
      <c r="M690" s="10" t="s">
        <v>47</v>
      </c>
      <c r="N690" s="10"/>
      <c r="O690" s="2">
        <v>4</v>
      </c>
      <c r="P690" s="17">
        <f>169.3*(1-S3/100)</f>
        <v>169.3</v>
      </c>
      <c r="Q690" s="18"/>
      <c r="R690" s="10">
        <f t="shared" si="32"/>
        <v>0</v>
      </c>
      <c r="S690" s="19">
        <f>0.138*Q690</f>
        <v>0</v>
      </c>
      <c r="T690" s="20">
        <f>0.00029*Q690</f>
        <v>0</v>
      </c>
      <c r="U690" s="21"/>
      <c r="V690" s="22" t="s">
        <v>3035</v>
      </c>
      <c r="W690" s="22" t="s">
        <v>191</v>
      </c>
      <c r="X690" s="3"/>
      <c r="Y690" s="3"/>
      <c r="Z690" s="3" t="s">
        <v>52</v>
      </c>
      <c r="AA690" s="3"/>
      <c r="AB690" s="3"/>
      <c r="AC690" s="3" t="str">
        <f>HYPERLINK("https://knigipp.ru/api/getInfo/image/ce3653f2-4a27-11ed-a216-ac1f6b442185")</f>
        <v>https://knigipp.ru/api/getInfo/image/ce3653f2-4a27-11ed-a216-ac1f6b442185</v>
      </c>
      <c r="AD690" s="32">
        <v>128</v>
      </c>
      <c r="AE690" s="3"/>
      <c r="AF690" s="3" t="s">
        <v>127</v>
      </c>
      <c r="AG690" s="32">
        <v>100</v>
      </c>
      <c r="AH690" s="3" t="s">
        <v>56</v>
      </c>
      <c r="AI690" s="3"/>
      <c r="AJ690" s="3"/>
      <c r="AK690" s="3" t="str">
        <f>HYPERLINK("https://knigipp.ru/api/getInfo/item/ce3653f2-4a27-11ed-a216-ac1f6b442185")</f>
        <v>https://knigipp.ru/api/getInfo/item/ce3653f2-4a27-11ed-a216-ac1f6b442185</v>
      </c>
      <c r="AL690" s="3" t="s">
        <v>3030</v>
      </c>
    </row>
    <row r="691" spans="1:38" ht="21" customHeight="1" outlineLevel="4" x14ac:dyDescent="0.2">
      <c r="A691" s="2">
        <v>514</v>
      </c>
      <c r="B691" s="3" t="s">
        <v>3036</v>
      </c>
      <c r="C691" s="49" t="s">
        <v>3037</v>
      </c>
      <c r="D691" s="49"/>
      <c r="E691" s="49"/>
      <c r="F691" s="49"/>
      <c r="G691" s="4" t="s">
        <v>3038</v>
      </c>
      <c r="H691" s="8"/>
      <c r="I691" s="9" t="s">
        <v>3034</v>
      </c>
      <c r="J691" s="10"/>
      <c r="K691" s="11">
        <v>20</v>
      </c>
      <c r="L691" s="10"/>
      <c r="M691" s="10" t="s">
        <v>47</v>
      </c>
      <c r="N691" s="10"/>
      <c r="O691" s="2">
        <v>4</v>
      </c>
      <c r="P691" s="17">
        <f>169.3*(1-S3/100)</f>
        <v>169.3</v>
      </c>
      <c r="Q691" s="18"/>
      <c r="R691" s="10">
        <f t="shared" si="32"/>
        <v>0</v>
      </c>
      <c r="S691" s="19">
        <f>0.142*Q691</f>
        <v>0</v>
      </c>
      <c r="T691" s="20">
        <f>0.00025*Q691</f>
        <v>0</v>
      </c>
      <c r="U691" s="21"/>
      <c r="V691" s="22" t="s">
        <v>3039</v>
      </c>
      <c r="W691" s="22" t="s">
        <v>191</v>
      </c>
      <c r="X691" s="3"/>
      <c r="Y691" s="3"/>
      <c r="Z691" s="3" t="s">
        <v>52</v>
      </c>
      <c r="AA691" s="3" t="s">
        <v>3040</v>
      </c>
      <c r="AB691" s="3"/>
      <c r="AC691" s="3" t="str">
        <f>HYPERLINK("https://knigipp.ru/api/getInfo/image/3d6a92c0-9b3f-11ee-a256-00155d82e908")</f>
        <v>https://knigipp.ru/api/getInfo/image/3d6a92c0-9b3f-11ee-a256-00155d82e908</v>
      </c>
      <c r="AD691" s="32">
        <v>128</v>
      </c>
      <c r="AE691" s="3" t="s">
        <v>355</v>
      </c>
      <c r="AF691" s="3" t="s">
        <v>127</v>
      </c>
      <c r="AG691" s="32">
        <v>100</v>
      </c>
      <c r="AH691" s="3" t="s">
        <v>56</v>
      </c>
      <c r="AI691" s="3"/>
      <c r="AJ691" s="3"/>
      <c r="AK691" s="3" t="str">
        <f>HYPERLINK("https://knigipp.ru/api/getInfo/item/3d6a92c0-9b3f-11ee-a256-00155d82e908")</f>
        <v>https://knigipp.ru/api/getInfo/item/3d6a92c0-9b3f-11ee-a256-00155d82e908</v>
      </c>
      <c r="AL691" s="3" t="s">
        <v>3030</v>
      </c>
    </row>
    <row r="692" spans="1:38" ht="21" customHeight="1" outlineLevel="4" x14ac:dyDescent="0.2">
      <c r="A692" s="2">
        <v>515</v>
      </c>
      <c r="B692" s="3" t="s">
        <v>3041</v>
      </c>
      <c r="C692" s="49" t="s">
        <v>3042</v>
      </c>
      <c r="D692" s="49"/>
      <c r="E692" s="49"/>
      <c r="F692" s="49"/>
      <c r="G692" s="4" t="s">
        <v>3043</v>
      </c>
      <c r="H692" s="8"/>
      <c r="I692" s="9" t="s">
        <v>3034</v>
      </c>
      <c r="J692" s="10"/>
      <c r="K692" s="11">
        <v>20</v>
      </c>
      <c r="L692" s="10"/>
      <c r="M692" s="10" t="s">
        <v>47</v>
      </c>
      <c r="N692" s="10"/>
      <c r="O692" s="2">
        <v>4</v>
      </c>
      <c r="P692" s="17">
        <f>169.3*(1-S3/100)</f>
        <v>169.3</v>
      </c>
      <c r="Q692" s="18"/>
      <c r="R692" s="10">
        <f t="shared" si="32"/>
        <v>0</v>
      </c>
      <c r="S692" s="19">
        <f>0.132*Q692</f>
        <v>0</v>
      </c>
      <c r="T692" s="20">
        <f>0.00029*Q692</f>
        <v>0</v>
      </c>
      <c r="U692" s="21"/>
      <c r="V692" s="22" t="s">
        <v>3044</v>
      </c>
      <c r="W692" s="22" t="s">
        <v>191</v>
      </c>
      <c r="X692" s="3"/>
      <c r="Y692" s="3"/>
      <c r="Z692" s="3" t="s">
        <v>52</v>
      </c>
      <c r="AA692" s="3" t="s">
        <v>3040</v>
      </c>
      <c r="AB692" s="3"/>
      <c r="AC692" s="3" t="str">
        <f>HYPERLINK("https://knigipp.ru/api/getInfo/image/a368375d-9b3f-11ee-a256-00155d82e908")</f>
        <v>https://knigipp.ru/api/getInfo/image/a368375d-9b3f-11ee-a256-00155d82e908</v>
      </c>
      <c r="AD692" s="32">
        <v>128</v>
      </c>
      <c r="AE692" s="3" t="s">
        <v>355</v>
      </c>
      <c r="AF692" s="3" t="s">
        <v>127</v>
      </c>
      <c r="AG692" s="32">
        <v>100</v>
      </c>
      <c r="AH692" s="3" t="s">
        <v>56</v>
      </c>
      <c r="AI692" s="3"/>
      <c r="AJ692" s="3"/>
      <c r="AK692" s="3" t="str">
        <f>HYPERLINK("https://knigipp.ru/api/getInfo/item/a368375d-9b3f-11ee-a256-00155d82e908")</f>
        <v>https://knigipp.ru/api/getInfo/item/a368375d-9b3f-11ee-a256-00155d82e908</v>
      </c>
      <c r="AL692" s="3" t="s">
        <v>3030</v>
      </c>
    </row>
    <row r="693" spans="1:38" ht="21" customHeight="1" outlineLevel="4" x14ac:dyDescent="0.2">
      <c r="A693" s="2">
        <v>516</v>
      </c>
      <c r="B693" s="3" t="s">
        <v>3045</v>
      </c>
      <c r="C693" s="49" t="s">
        <v>3046</v>
      </c>
      <c r="D693" s="49"/>
      <c r="E693" s="49"/>
      <c r="F693" s="49"/>
      <c r="G693" s="4" t="s">
        <v>3047</v>
      </c>
      <c r="H693" s="8"/>
      <c r="I693" s="9" t="s">
        <v>3048</v>
      </c>
      <c r="J693" s="10"/>
      <c r="K693" s="11">
        <v>20</v>
      </c>
      <c r="L693" s="10"/>
      <c r="M693" s="10" t="s">
        <v>47</v>
      </c>
      <c r="N693" s="10"/>
      <c r="O693" s="2">
        <v>4</v>
      </c>
      <c r="P693" s="17">
        <f>169.3*(1-S3/100)</f>
        <v>169.3</v>
      </c>
      <c r="Q693" s="18"/>
      <c r="R693" s="10">
        <f t="shared" si="32"/>
        <v>0</v>
      </c>
      <c r="S693" s="19">
        <f>0.128*Q693</f>
        <v>0</v>
      </c>
      <c r="T693" s="20">
        <f>0.00025*Q693</f>
        <v>0</v>
      </c>
      <c r="U693" s="21"/>
      <c r="V693" s="22" t="s">
        <v>3049</v>
      </c>
      <c r="W693" s="22" t="s">
        <v>191</v>
      </c>
      <c r="X693" s="3"/>
      <c r="Y693" s="3" t="s">
        <v>3050</v>
      </c>
      <c r="Z693" s="3" t="s">
        <v>52</v>
      </c>
      <c r="AA693" s="3" t="s">
        <v>3051</v>
      </c>
      <c r="AB693" s="3"/>
      <c r="AC693" s="3" t="str">
        <f>HYPERLINK("https://knigipp.ru/api/getInfo/image/0f29d633-d175-11ee-a25a-00155d82e908")</f>
        <v>https://knigipp.ru/api/getInfo/image/0f29d633-d175-11ee-a25a-00155d82e908</v>
      </c>
      <c r="AD693" s="32">
        <v>128</v>
      </c>
      <c r="AE693" s="3" t="s">
        <v>355</v>
      </c>
      <c r="AF693" s="3" t="s">
        <v>127</v>
      </c>
      <c r="AG693" s="32">
        <v>100</v>
      </c>
      <c r="AH693" s="3" t="s">
        <v>56</v>
      </c>
      <c r="AI693" s="3"/>
      <c r="AJ693" s="3"/>
      <c r="AK693" s="3" t="str">
        <f>HYPERLINK("https://knigipp.ru/api/getInfo/item/0f29d633-d175-11ee-a25a-00155d82e908")</f>
        <v>https://knigipp.ru/api/getInfo/item/0f29d633-d175-11ee-a25a-00155d82e908</v>
      </c>
      <c r="AL693" s="3" t="s">
        <v>3030</v>
      </c>
    </row>
    <row r="694" spans="1:38" ht="21" customHeight="1" outlineLevel="4" x14ac:dyDescent="0.2">
      <c r="A694" s="2">
        <v>517</v>
      </c>
      <c r="B694" s="3" t="s">
        <v>3052</v>
      </c>
      <c r="C694" s="49" t="s">
        <v>3053</v>
      </c>
      <c r="D694" s="49"/>
      <c r="E694" s="49"/>
      <c r="F694" s="49"/>
      <c r="G694" s="4" t="s">
        <v>3054</v>
      </c>
      <c r="H694" s="8"/>
      <c r="I694" s="9" t="s">
        <v>3027</v>
      </c>
      <c r="J694" s="10"/>
      <c r="K694" s="11">
        <v>20</v>
      </c>
      <c r="L694" s="10"/>
      <c r="M694" s="10" t="s">
        <v>47</v>
      </c>
      <c r="N694" s="10"/>
      <c r="O694" s="2">
        <v>4</v>
      </c>
      <c r="P694" s="17">
        <f>169.3*(1-S3/100)</f>
        <v>169.3</v>
      </c>
      <c r="Q694" s="18"/>
      <c r="R694" s="10">
        <f t="shared" si="32"/>
        <v>0</v>
      </c>
      <c r="S694" s="19">
        <f>0.132*Q694</f>
        <v>0</v>
      </c>
      <c r="T694" s="20">
        <f>0.00029*Q694</f>
        <v>0</v>
      </c>
      <c r="U694" s="21"/>
      <c r="V694" s="22" t="s">
        <v>3055</v>
      </c>
      <c r="W694" s="22" t="s">
        <v>191</v>
      </c>
      <c r="X694" s="3"/>
      <c r="Y694" s="3"/>
      <c r="Z694" s="3" t="s">
        <v>52</v>
      </c>
      <c r="AA694" s="3" t="s">
        <v>3029</v>
      </c>
      <c r="AB694" s="3"/>
      <c r="AC694" s="3" t="str">
        <f>HYPERLINK("https://knigipp.ru/api/getInfo/image/e0dfd25e-1f21-11ee-a23c-00155d82e902")</f>
        <v>https://knigipp.ru/api/getInfo/image/e0dfd25e-1f21-11ee-a23c-00155d82e902</v>
      </c>
      <c r="AD694" s="32">
        <v>128</v>
      </c>
      <c r="AE694" s="3" t="s">
        <v>481</v>
      </c>
      <c r="AF694" s="3" t="s">
        <v>127</v>
      </c>
      <c r="AG694" s="32">
        <v>100</v>
      </c>
      <c r="AH694" s="3" t="s">
        <v>56</v>
      </c>
      <c r="AI694" s="3"/>
      <c r="AJ694" s="3"/>
      <c r="AK694" s="3" t="str">
        <f>HYPERLINK("https://knigipp.ru/api/getInfo/item/e0dfd25e-1f21-11ee-a23c-00155d82e902")</f>
        <v>https://knigipp.ru/api/getInfo/item/e0dfd25e-1f21-11ee-a23c-00155d82e902</v>
      </c>
      <c r="AL694" s="3" t="s">
        <v>3030</v>
      </c>
    </row>
    <row r="695" spans="1:38" ht="21" customHeight="1" outlineLevel="4" x14ac:dyDescent="0.2">
      <c r="A695" s="2">
        <v>518</v>
      </c>
      <c r="B695" s="3" t="s">
        <v>3056</v>
      </c>
      <c r="C695" s="49" t="s">
        <v>3057</v>
      </c>
      <c r="D695" s="49"/>
      <c r="E695" s="49"/>
      <c r="F695" s="49"/>
      <c r="G695" s="4" t="s">
        <v>3058</v>
      </c>
      <c r="H695" s="8"/>
      <c r="I695" s="9" t="s">
        <v>3059</v>
      </c>
      <c r="J695" s="10"/>
      <c r="K695" s="11">
        <v>20</v>
      </c>
      <c r="L695" s="10"/>
      <c r="M695" s="10" t="s">
        <v>78</v>
      </c>
      <c r="N695" s="10"/>
      <c r="O695" s="2">
        <v>4</v>
      </c>
      <c r="P695" s="17">
        <f>169.3*(1-S3/100)</f>
        <v>169.3</v>
      </c>
      <c r="Q695" s="18"/>
      <c r="R695" s="10">
        <f t="shared" si="32"/>
        <v>0</v>
      </c>
      <c r="S695" s="28">
        <f>0.13*Q695</f>
        <v>0</v>
      </c>
      <c r="T695" s="20">
        <f>0.00023*Q695</f>
        <v>0</v>
      </c>
      <c r="U695" s="21"/>
      <c r="V695" s="22" t="s">
        <v>3060</v>
      </c>
      <c r="W695" s="22" t="s">
        <v>191</v>
      </c>
      <c r="X695" s="3"/>
      <c r="Y695" s="3" t="s">
        <v>3061</v>
      </c>
      <c r="Z695" s="3" t="s">
        <v>52</v>
      </c>
      <c r="AA695" s="3" t="s">
        <v>3051</v>
      </c>
      <c r="AB695" s="3"/>
      <c r="AC695" s="3" t="str">
        <f>HYPERLINK("https://knigipp.ru/api/getInfo/image/38917254-d175-11ee-a25a-00155d82e908")</f>
        <v>https://knigipp.ru/api/getInfo/image/38917254-d175-11ee-a25a-00155d82e908</v>
      </c>
      <c r="AD695" s="32">
        <v>128</v>
      </c>
      <c r="AE695" s="3" t="s">
        <v>355</v>
      </c>
      <c r="AF695" s="3" t="s">
        <v>127</v>
      </c>
      <c r="AG695" s="32">
        <v>100</v>
      </c>
      <c r="AH695" s="3" t="s">
        <v>56</v>
      </c>
      <c r="AI695" s="3"/>
      <c r="AJ695" s="3"/>
      <c r="AK695" s="3" t="str">
        <f>HYPERLINK("https://knigipp.ru/api/getInfo/item/38917254-d175-11ee-a25a-00155d82e908")</f>
        <v>https://knigipp.ru/api/getInfo/item/38917254-d175-11ee-a25a-00155d82e908</v>
      </c>
      <c r="AL695" s="3" t="s">
        <v>3030</v>
      </c>
    </row>
    <row r="696" spans="1:38" ht="21" customHeight="1" outlineLevel="4" x14ac:dyDescent="0.2">
      <c r="A696" s="2">
        <v>519</v>
      </c>
      <c r="B696" s="3" t="s">
        <v>3062</v>
      </c>
      <c r="C696" s="49" t="s">
        <v>3063</v>
      </c>
      <c r="D696" s="49"/>
      <c r="E696" s="49"/>
      <c r="F696" s="49"/>
      <c r="G696" s="4" t="s">
        <v>3064</v>
      </c>
      <c r="H696" s="8"/>
      <c r="I696" s="9" t="s">
        <v>3034</v>
      </c>
      <c r="J696" s="10"/>
      <c r="K696" s="11">
        <v>20</v>
      </c>
      <c r="L696" s="10"/>
      <c r="M696" s="10" t="s">
        <v>47</v>
      </c>
      <c r="N696" s="10"/>
      <c r="O696" s="2">
        <v>4</v>
      </c>
      <c r="P696" s="17">
        <f>169.3*(1-S3/100)</f>
        <v>169.3</v>
      </c>
      <c r="Q696" s="18"/>
      <c r="R696" s="10">
        <f t="shared" si="32"/>
        <v>0</v>
      </c>
      <c r="S696" s="28">
        <f>0.13*Q696</f>
        <v>0</v>
      </c>
      <c r="T696" s="20">
        <f>0.00023*Q696</f>
        <v>0</v>
      </c>
      <c r="U696" s="21"/>
      <c r="V696" s="22" t="s">
        <v>3065</v>
      </c>
      <c r="W696" s="22" t="s">
        <v>191</v>
      </c>
      <c r="X696" s="3"/>
      <c r="Y696" s="3"/>
      <c r="Z696" s="3" t="s">
        <v>52</v>
      </c>
      <c r="AA696" s="3"/>
      <c r="AB696" s="3"/>
      <c r="AC696" s="3" t="str">
        <f>HYPERLINK("https://knigipp.ru/api/getInfo/image/527bfe0f-0a63-11ec-a20e-ac1f6b442185")</f>
        <v>https://knigipp.ru/api/getInfo/image/527bfe0f-0a63-11ec-a20e-ac1f6b442185</v>
      </c>
      <c r="AD696" s="32">
        <v>128</v>
      </c>
      <c r="AE696" s="3"/>
      <c r="AF696" s="3" t="s">
        <v>127</v>
      </c>
      <c r="AG696" s="32">
        <v>100</v>
      </c>
      <c r="AH696" s="3" t="s">
        <v>56</v>
      </c>
      <c r="AI696" s="3"/>
      <c r="AJ696" s="3"/>
      <c r="AK696" s="3" t="str">
        <f>HYPERLINK("https://knigipp.ru/api/getInfo/item/527bfe0f-0a63-11ec-a20e-ac1f6b442185")</f>
        <v>https://knigipp.ru/api/getInfo/item/527bfe0f-0a63-11ec-a20e-ac1f6b442185</v>
      </c>
      <c r="AL696" s="3" t="s">
        <v>3030</v>
      </c>
    </row>
    <row r="697" spans="1:38" ht="21" customHeight="1" outlineLevel="4" x14ac:dyDescent="0.2">
      <c r="A697" s="2">
        <v>520</v>
      </c>
      <c r="B697" s="3" t="s">
        <v>3066</v>
      </c>
      <c r="C697" s="49" t="s">
        <v>3067</v>
      </c>
      <c r="D697" s="49"/>
      <c r="E697" s="49"/>
      <c r="F697" s="49"/>
      <c r="G697" s="4" t="s">
        <v>3068</v>
      </c>
      <c r="H697" s="8"/>
      <c r="I697" s="9" t="s">
        <v>3034</v>
      </c>
      <c r="J697" s="10"/>
      <c r="K697" s="11">
        <v>20</v>
      </c>
      <c r="L697" s="10"/>
      <c r="M697" s="10" t="s">
        <v>78</v>
      </c>
      <c r="N697" s="10"/>
      <c r="O697" s="2">
        <v>4</v>
      </c>
      <c r="P697" s="17">
        <f>169.3*(1-S3/100)</f>
        <v>169.3</v>
      </c>
      <c r="Q697" s="18"/>
      <c r="R697" s="10">
        <f t="shared" si="32"/>
        <v>0</v>
      </c>
      <c r="S697" s="19">
        <f>0.142*Q697</f>
        <v>0</v>
      </c>
      <c r="T697" s="20">
        <f>0.00025*Q697</f>
        <v>0</v>
      </c>
      <c r="U697" s="21"/>
      <c r="V697" s="22" t="s">
        <v>3069</v>
      </c>
      <c r="W697" s="22" t="s">
        <v>191</v>
      </c>
      <c r="X697" s="3"/>
      <c r="Y697" s="3"/>
      <c r="Z697" s="3" t="s">
        <v>52</v>
      </c>
      <c r="AA697" s="3"/>
      <c r="AB697" s="3"/>
      <c r="AC697" s="3" t="str">
        <f>HYPERLINK("https://knigipp.ru/api/getInfo/image/363ba040-4a29-11ed-a216-ac1f6b442185")</f>
        <v>https://knigipp.ru/api/getInfo/image/363ba040-4a29-11ed-a216-ac1f6b442185</v>
      </c>
      <c r="AD697" s="32">
        <v>128</v>
      </c>
      <c r="AE697" s="3"/>
      <c r="AF697" s="3" t="s">
        <v>127</v>
      </c>
      <c r="AG697" s="32">
        <v>100</v>
      </c>
      <c r="AH697" s="3" t="s">
        <v>56</v>
      </c>
      <c r="AI697" s="3"/>
      <c r="AJ697" s="3"/>
      <c r="AK697" s="3" t="str">
        <f>HYPERLINK("https://knigipp.ru/api/getInfo/item/363ba040-4a29-11ed-a216-ac1f6b442185")</f>
        <v>https://knigipp.ru/api/getInfo/item/363ba040-4a29-11ed-a216-ac1f6b442185</v>
      </c>
      <c r="AL697" s="3" t="s">
        <v>3030</v>
      </c>
    </row>
    <row r="698" spans="1:38" ht="21" customHeight="1" outlineLevel="4" x14ac:dyDescent="0.2">
      <c r="A698" s="2">
        <v>521</v>
      </c>
      <c r="B698" s="3" t="s">
        <v>3070</v>
      </c>
      <c r="C698" s="49" t="s">
        <v>3071</v>
      </c>
      <c r="D698" s="49"/>
      <c r="E698" s="49"/>
      <c r="F698" s="49"/>
      <c r="G698" s="4" t="s">
        <v>3072</v>
      </c>
      <c r="H698" s="8"/>
      <c r="I698" s="9" t="s">
        <v>3034</v>
      </c>
      <c r="J698" s="10"/>
      <c r="K698" s="11">
        <v>20</v>
      </c>
      <c r="L698" s="10"/>
      <c r="M698" s="10" t="s">
        <v>47</v>
      </c>
      <c r="N698" s="10"/>
      <c r="O698" s="2">
        <v>4</v>
      </c>
      <c r="P698" s="17">
        <f>169.3*(1-S3/100)</f>
        <v>169.3</v>
      </c>
      <c r="Q698" s="18"/>
      <c r="R698" s="10">
        <f t="shared" si="32"/>
        <v>0</v>
      </c>
      <c r="S698" s="19">
        <f>0.101*Q698</f>
        <v>0</v>
      </c>
      <c r="T698" s="30">
        <f>0.0002*Q698</f>
        <v>0</v>
      </c>
      <c r="U698" s="21"/>
      <c r="V698" s="22" t="s">
        <v>3073</v>
      </c>
      <c r="W698" s="22" t="s">
        <v>191</v>
      </c>
      <c r="X698" s="3"/>
      <c r="Y698" s="3"/>
      <c r="Z698" s="3" t="s">
        <v>52</v>
      </c>
      <c r="AA698" s="3"/>
      <c r="AB698" s="3"/>
      <c r="AC698" s="3" t="str">
        <f>HYPERLINK("https://knigipp.ru/api/getInfo/image/5cba59af-4a28-11ed-a216-ac1f6b442185")</f>
        <v>https://knigipp.ru/api/getInfo/image/5cba59af-4a28-11ed-a216-ac1f6b442185</v>
      </c>
      <c r="AD698" s="32">
        <v>128</v>
      </c>
      <c r="AE698" s="3"/>
      <c r="AF698" s="3" t="s">
        <v>127</v>
      </c>
      <c r="AG698" s="32">
        <v>100</v>
      </c>
      <c r="AH698" s="3" t="s">
        <v>56</v>
      </c>
      <c r="AI698" s="3"/>
      <c r="AJ698" s="3"/>
      <c r="AK698" s="3" t="str">
        <f>HYPERLINK("https://knigipp.ru/api/getInfo/item/5cba59af-4a28-11ed-a216-ac1f6b442185")</f>
        <v>https://knigipp.ru/api/getInfo/item/5cba59af-4a28-11ed-a216-ac1f6b442185</v>
      </c>
      <c r="AL698" s="3" t="s">
        <v>3030</v>
      </c>
    </row>
    <row r="699" spans="1:38" ht="21" customHeight="1" outlineLevel="4" x14ac:dyDescent="0.2">
      <c r="A699" s="2">
        <v>522</v>
      </c>
      <c r="B699" s="3" t="s">
        <v>3074</v>
      </c>
      <c r="C699" s="49" t="s">
        <v>3075</v>
      </c>
      <c r="D699" s="49"/>
      <c r="E699" s="49"/>
      <c r="F699" s="49"/>
      <c r="G699" s="4" t="s">
        <v>3076</v>
      </c>
      <c r="H699" s="8"/>
      <c r="I699" s="9" t="s">
        <v>3034</v>
      </c>
      <c r="J699" s="10"/>
      <c r="K699" s="11">
        <v>20</v>
      </c>
      <c r="L699" s="10"/>
      <c r="M699" s="10" t="s">
        <v>47</v>
      </c>
      <c r="N699" s="10"/>
      <c r="O699" s="2">
        <v>4</v>
      </c>
      <c r="P699" s="17">
        <f>169.3*(1-S3/100)</f>
        <v>169.3</v>
      </c>
      <c r="Q699" s="18"/>
      <c r="R699" s="10">
        <f t="shared" si="32"/>
        <v>0</v>
      </c>
      <c r="S699" s="19">
        <f>0.138*Q699</f>
        <v>0</v>
      </c>
      <c r="T699" s="20">
        <f>0.00029*Q699</f>
        <v>0</v>
      </c>
      <c r="U699" s="21"/>
      <c r="V699" s="22" t="s">
        <v>3077</v>
      </c>
      <c r="W699" s="22" t="s">
        <v>191</v>
      </c>
      <c r="X699" s="3"/>
      <c r="Y699" s="3"/>
      <c r="Z699" s="3" t="s">
        <v>52</v>
      </c>
      <c r="AA699" s="3" t="s">
        <v>3078</v>
      </c>
      <c r="AB699" s="3"/>
      <c r="AC699" s="3" t="str">
        <f>HYPERLINK("https://knigipp.ru/api/getInfo/image/883fd6e4-9b3f-11ee-a256-00155d82e908")</f>
        <v>https://knigipp.ru/api/getInfo/image/883fd6e4-9b3f-11ee-a256-00155d82e908</v>
      </c>
      <c r="AD699" s="32">
        <v>128</v>
      </c>
      <c r="AE699" s="3"/>
      <c r="AF699" s="3" t="s">
        <v>127</v>
      </c>
      <c r="AG699" s="32">
        <v>100</v>
      </c>
      <c r="AH699" s="3" t="s">
        <v>56</v>
      </c>
      <c r="AI699" s="3"/>
      <c r="AJ699" s="3"/>
      <c r="AK699" s="3" t="str">
        <f>HYPERLINK("https://knigipp.ru/api/getInfo/item/883fd6e4-9b3f-11ee-a256-00155d82e908")</f>
        <v>https://knigipp.ru/api/getInfo/item/883fd6e4-9b3f-11ee-a256-00155d82e908</v>
      </c>
      <c r="AL699" s="3" t="s">
        <v>3030</v>
      </c>
    </row>
    <row r="700" spans="1:38" ht="21" customHeight="1" outlineLevel="4" x14ac:dyDescent="0.2">
      <c r="A700" s="2">
        <v>523</v>
      </c>
      <c r="B700" s="3" t="s">
        <v>3079</v>
      </c>
      <c r="C700" s="49" t="s">
        <v>3080</v>
      </c>
      <c r="D700" s="49"/>
      <c r="E700" s="49"/>
      <c r="F700" s="49"/>
      <c r="G700" s="4" t="s">
        <v>3081</v>
      </c>
      <c r="H700" s="8"/>
      <c r="I700" s="9" t="s">
        <v>3034</v>
      </c>
      <c r="J700" s="10"/>
      <c r="K700" s="11">
        <v>20</v>
      </c>
      <c r="L700" s="10"/>
      <c r="M700" s="10" t="s">
        <v>47</v>
      </c>
      <c r="N700" s="10"/>
      <c r="O700" s="2">
        <v>4</v>
      </c>
      <c r="P700" s="17">
        <f>169.3*(1-S3/100)</f>
        <v>169.3</v>
      </c>
      <c r="Q700" s="18"/>
      <c r="R700" s="10">
        <f t="shared" si="32"/>
        <v>0</v>
      </c>
      <c r="S700" s="19">
        <f>0.132*Q700</f>
        <v>0</v>
      </c>
      <c r="T700" s="20">
        <f>0.00029*Q700</f>
        <v>0</v>
      </c>
      <c r="U700" s="21"/>
      <c r="V700" s="22" t="s">
        <v>3082</v>
      </c>
      <c r="W700" s="22" t="s">
        <v>191</v>
      </c>
      <c r="X700" s="3"/>
      <c r="Y700" s="3"/>
      <c r="Z700" s="3" t="s">
        <v>52</v>
      </c>
      <c r="AA700" s="3"/>
      <c r="AB700" s="3"/>
      <c r="AC700" s="3" t="str">
        <f>HYPERLINK("https://knigipp.ru/api/getInfo/image/2296cc55-4a28-11ed-a216-ac1f6b442185")</f>
        <v>https://knigipp.ru/api/getInfo/image/2296cc55-4a28-11ed-a216-ac1f6b442185</v>
      </c>
      <c r="AD700" s="32">
        <v>128</v>
      </c>
      <c r="AE700" s="3"/>
      <c r="AF700" s="3" t="s">
        <v>127</v>
      </c>
      <c r="AG700" s="32">
        <v>100</v>
      </c>
      <c r="AH700" s="3" t="s">
        <v>56</v>
      </c>
      <c r="AI700" s="3"/>
      <c r="AJ700" s="3"/>
      <c r="AK700" s="3" t="str">
        <f>HYPERLINK("https://knigipp.ru/api/getInfo/item/2296cc55-4a28-11ed-a216-ac1f6b442185")</f>
        <v>https://knigipp.ru/api/getInfo/item/2296cc55-4a28-11ed-a216-ac1f6b442185</v>
      </c>
      <c r="AL700" s="3" t="s">
        <v>3030</v>
      </c>
    </row>
    <row r="701" spans="1:38" ht="21" customHeight="1" outlineLevel="4" x14ac:dyDescent="0.2">
      <c r="A701" s="2">
        <v>524</v>
      </c>
      <c r="B701" s="3" t="s">
        <v>3083</v>
      </c>
      <c r="C701" s="49" t="s">
        <v>3084</v>
      </c>
      <c r="D701" s="49"/>
      <c r="E701" s="49"/>
      <c r="F701" s="49"/>
      <c r="G701" s="4" t="s">
        <v>3085</v>
      </c>
      <c r="H701" s="8"/>
      <c r="I701" s="9" t="s">
        <v>3027</v>
      </c>
      <c r="J701" s="10"/>
      <c r="K701" s="11">
        <v>20</v>
      </c>
      <c r="L701" s="10"/>
      <c r="M701" s="10" t="s">
        <v>47</v>
      </c>
      <c r="N701" s="10"/>
      <c r="O701" s="2">
        <v>4</v>
      </c>
      <c r="P701" s="17">
        <f>169.3*(1-S3/100)</f>
        <v>169.3</v>
      </c>
      <c r="Q701" s="18"/>
      <c r="R701" s="10">
        <f t="shared" si="32"/>
        <v>0</v>
      </c>
      <c r="S701" s="19">
        <f>0.132*Q701</f>
        <v>0</v>
      </c>
      <c r="T701" s="20">
        <f>0.00029*Q701</f>
        <v>0</v>
      </c>
      <c r="U701" s="21"/>
      <c r="V701" s="22" t="s">
        <v>3086</v>
      </c>
      <c r="W701" s="22" t="s">
        <v>191</v>
      </c>
      <c r="X701" s="3"/>
      <c r="Y701" s="3"/>
      <c r="Z701" s="3" t="s">
        <v>52</v>
      </c>
      <c r="AA701" s="3" t="s">
        <v>3029</v>
      </c>
      <c r="AB701" s="3"/>
      <c r="AC701" s="3" t="str">
        <f>HYPERLINK("https://knigipp.ru/api/getInfo/image/7e846922-1f21-11ee-a23c-00155d82e902")</f>
        <v>https://knigipp.ru/api/getInfo/image/7e846922-1f21-11ee-a23c-00155d82e902</v>
      </c>
      <c r="AD701" s="32">
        <v>128</v>
      </c>
      <c r="AE701" s="3" t="s">
        <v>481</v>
      </c>
      <c r="AF701" s="3" t="s">
        <v>127</v>
      </c>
      <c r="AG701" s="32">
        <v>100</v>
      </c>
      <c r="AH701" s="3" t="s">
        <v>56</v>
      </c>
      <c r="AI701" s="3"/>
      <c r="AJ701" s="3"/>
      <c r="AK701" s="3" t="str">
        <f>HYPERLINK("https://knigipp.ru/api/getInfo/item/7e846922-1f21-11ee-a23c-00155d82e902")</f>
        <v>https://knigipp.ru/api/getInfo/item/7e846922-1f21-11ee-a23c-00155d82e902</v>
      </c>
      <c r="AL701" s="3" t="s">
        <v>3030</v>
      </c>
    </row>
    <row r="702" spans="1:38" ht="21" customHeight="1" outlineLevel="4" x14ac:dyDescent="0.2">
      <c r="A702" s="2">
        <v>525</v>
      </c>
      <c r="B702" s="3" t="s">
        <v>3087</v>
      </c>
      <c r="C702" s="49" t="s">
        <v>3088</v>
      </c>
      <c r="D702" s="49"/>
      <c r="E702" s="49"/>
      <c r="F702" s="49"/>
      <c r="G702" s="4" t="s">
        <v>3089</v>
      </c>
      <c r="H702" s="8"/>
      <c r="I702" s="9" t="s">
        <v>3034</v>
      </c>
      <c r="J702" s="10"/>
      <c r="K702" s="11">
        <v>20</v>
      </c>
      <c r="L702" s="10"/>
      <c r="M702" s="10" t="s">
        <v>304</v>
      </c>
      <c r="N702" s="10"/>
      <c r="O702" s="2">
        <v>4</v>
      </c>
      <c r="P702" s="17">
        <f>169.3*(1-S3/100)</f>
        <v>169.3</v>
      </c>
      <c r="Q702" s="18"/>
      <c r="R702" s="10">
        <f t="shared" si="32"/>
        <v>0</v>
      </c>
      <c r="S702" s="28">
        <f>0.13*Q702</f>
        <v>0</v>
      </c>
      <c r="T702" s="20">
        <f>0.00018*Q702</f>
        <v>0</v>
      </c>
      <c r="U702" s="21"/>
      <c r="V702" s="22" t="s">
        <v>3090</v>
      </c>
      <c r="W702" s="22" t="s">
        <v>191</v>
      </c>
      <c r="X702" s="3"/>
      <c r="Y702" s="3"/>
      <c r="Z702" s="3" t="s">
        <v>52</v>
      </c>
      <c r="AA702" s="3" t="s">
        <v>3040</v>
      </c>
      <c r="AB702" s="3"/>
      <c r="AC702" s="3" t="str">
        <f>HYPERLINK("https://knigipp.ru/api/getInfo/image/64f5faa1-9b3f-11ee-a256-00155d82e908")</f>
        <v>https://knigipp.ru/api/getInfo/image/64f5faa1-9b3f-11ee-a256-00155d82e908</v>
      </c>
      <c r="AD702" s="32">
        <v>128</v>
      </c>
      <c r="AE702" s="3" t="s">
        <v>355</v>
      </c>
      <c r="AF702" s="3" t="s">
        <v>127</v>
      </c>
      <c r="AG702" s="32">
        <v>100</v>
      </c>
      <c r="AH702" s="3" t="s">
        <v>56</v>
      </c>
      <c r="AI702" s="3"/>
      <c r="AJ702" s="3"/>
      <c r="AK702" s="3" t="str">
        <f>HYPERLINK("https://knigipp.ru/api/getInfo/item/64f5faa1-9b3f-11ee-a256-00155d82e908")</f>
        <v>https://knigipp.ru/api/getInfo/item/64f5faa1-9b3f-11ee-a256-00155d82e908</v>
      </c>
      <c r="AL702" s="3" t="s">
        <v>3030</v>
      </c>
    </row>
    <row r="703" spans="1:38" ht="21" customHeight="1" outlineLevel="4" x14ac:dyDescent="0.2">
      <c r="A703" s="2">
        <v>526</v>
      </c>
      <c r="B703" s="3" t="s">
        <v>3091</v>
      </c>
      <c r="C703" s="49" t="s">
        <v>3092</v>
      </c>
      <c r="D703" s="49"/>
      <c r="E703" s="49"/>
      <c r="F703" s="49"/>
      <c r="G703" s="4" t="s">
        <v>3093</v>
      </c>
      <c r="H703" s="8"/>
      <c r="I703" s="9" t="s">
        <v>3059</v>
      </c>
      <c r="J703" s="10"/>
      <c r="K703" s="11">
        <v>20</v>
      </c>
      <c r="L703" s="10"/>
      <c r="M703" s="10" t="s">
        <v>47</v>
      </c>
      <c r="N703" s="10"/>
      <c r="O703" s="2">
        <v>4</v>
      </c>
      <c r="P703" s="17">
        <f>169.3*(1-S3/100)</f>
        <v>169.3</v>
      </c>
      <c r="Q703" s="18"/>
      <c r="R703" s="10">
        <f t="shared" si="32"/>
        <v>0</v>
      </c>
      <c r="S703" s="28">
        <f>0.13*Q703</f>
        <v>0</v>
      </c>
      <c r="T703" s="20">
        <f>0.00018*Q703</f>
        <v>0</v>
      </c>
      <c r="U703" s="21"/>
      <c r="V703" s="22" t="s">
        <v>3094</v>
      </c>
      <c r="W703" s="22" t="s">
        <v>191</v>
      </c>
      <c r="X703" s="3"/>
      <c r="Y703" s="3" t="s">
        <v>3095</v>
      </c>
      <c r="Z703" s="3" t="s">
        <v>52</v>
      </c>
      <c r="AA703" s="3" t="s">
        <v>3051</v>
      </c>
      <c r="AB703" s="3"/>
      <c r="AC703" s="3" t="str">
        <f>HYPERLINK("https://knigipp.ru/api/getInfo/image/b9fe50d0-d174-11ee-a25a-00155d82e908")</f>
        <v>https://knigipp.ru/api/getInfo/image/b9fe50d0-d174-11ee-a25a-00155d82e908</v>
      </c>
      <c r="AD703" s="32">
        <v>128</v>
      </c>
      <c r="AE703" s="3" t="s">
        <v>355</v>
      </c>
      <c r="AF703" s="3" t="s">
        <v>127</v>
      </c>
      <c r="AG703" s="32">
        <v>100</v>
      </c>
      <c r="AH703" s="3" t="s">
        <v>56</v>
      </c>
      <c r="AI703" s="3"/>
      <c r="AJ703" s="3"/>
      <c r="AK703" s="3" t="str">
        <f>HYPERLINK("https://knigipp.ru/api/getInfo/item/b9fe50d0-d174-11ee-a25a-00155d82e908")</f>
        <v>https://knigipp.ru/api/getInfo/item/b9fe50d0-d174-11ee-a25a-00155d82e908</v>
      </c>
      <c r="AL703" s="3" t="s">
        <v>3030</v>
      </c>
    </row>
    <row r="704" spans="1:38" ht="21" customHeight="1" outlineLevel="4" x14ac:dyDescent="0.2">
      <c r="A704" s="2">
        <v>527</v>
      </c>
      <c r="B704" s="3" t="s">
        <v>3096</v>
      </c>
      <c r="C704" s="49" t="s">
        <v>3097</v>
      </c>
      <c r="D704" s="49"/>
      <c r="E704" s="49"/>
      <c r="F704" s="49"/>
      <c r="G704" s="4" t="s">
        <v>3098</v>
      </c>
      <c r="H704" s="8"/>
      <c r="I704" s="9" t="s">
        <v>3027</v>
      </c>
      <c r="J704" s="10"/>
      <c r="K704" s="11">
        <v>20</v>
      </c>
      <c r="L704" s="10"/>
      <c r="M704" s="10" t="s">
        <v>47</v>
      </c>
      <c r="N704" s="10"/>
      <c r="O704" s="2">
        <v>4</v>
      </c>
      <c r="P704" s="17">
        <f>169.3*(1-S3/100)</f>
        <v>169.3</v>
      </c>
      <c r="Q704" s="18"/>
      <c r="R704" s="10">
        <f t="shared" si="32"/>
        <v>0</v>
      </c>
      <c r="S704" s="19">
        <f>0.129*Q704</f>
        <v>0</v>
      </c>
      <c r="T704" s="20">
        <f>0.00018*Q704</f>
        <v>0</v>
      </c>
      <c r="U704" s="21"/>
      <c r="V704" s="22" t="s">
        <v>3099</v>
      </c>
      <c r="W704" s="22" t="s">
        <v>191</v>
      </c>
      <c r="X704" s="3"/>
      <c r="Y704" s="3"/>
      <c r="Z704" s="3" t="s">
        <v>52</v>
      </c>
      <c r="AA704" s="3" t="s">
        <v>3100</v>
      </c>
      <c r="AB704" s="3"/>
      <c r="AC704" s="3" t="str">
        <f>HYPERLINK("https://knigipp.ru/api/getInfo/image/38687f8d-1f1e-11ee-a23c-00155d82e902")</f>
        <v>https://knigipp.ru/api/getInfo/image/38687f8d-1f1e-11ee-a23c-00155d82e902</v>
      </c>
      <c r="AD704" s="32">
        <v>128</v>
      </c>
      <c r="AE704" s="3"/>
      <c r="AF704" s="3" t="s">
        <v>127</v>
      </c>
      <c r="AG704" s="32">
        <v>100</v>
      </c>
      <c r="AH704" s="3" t="s">
        <v>56</v>
      </c>
      <c r="AI704" s="3"/>
      <c r="AJ704" s="3"/>
      <c r="AK704" s="3" t="str">
        <f>HYPERLINK("https://knigipp.ru/api/getInfo/item/38687f8d-1f1e-11ee-a23c-00155d82e902")</f>
        <v>https://knigipp.ru/api/getInfo/item/38687f8d-1f1e-11ee-a23c-00155d82e902</v>
      </c>
      <c r="AL704" s="3" t="s">
        <v>3030</v>
      </c>
    </row>
    <row r="705" spans="1:38" ht="23.1" customHeight="1" outlineLevel="3" x14ac:dyDescent="0.2">
      <c r="A705" s="48" t="s">
        <v>3101</v>
      </c>
      <c r="B705" s="48"/>
      <c r="C705" s="48"/>
      <c r="D705" s="48"/>
      <c r="E705" s="48"/>
      <c r="F705" s="48"/>
    </row>
    <row r="706" spans="1:38" ht="21" customHeight="1" outlineLevel="4" x14ac:dyDescent="0.2">
      <c r="A706" s="2">
        <v>528</v>
      </c>
      <c r="B706" s="3" t="s">
        <v>3102</v>
      </c>
      <c r="C706" s="49" t="s">
        <v>3103</v>
      </c>
      <c r="D706" s="49"/>
      <c r="E706" s="49"/>
      <c r="F706" s="49"/>
      <c r="G706" s="4" t="s">
        <v>3104</v>
      </c>
      <c r="H706" s="8"/>
      <c r="I706" s="9" t="s">
        <v>3105</v>
      </c>
      <c r="J706" s="10"/>
      <c r="K706" s="11">
        <v>10</v>
      </c>
      <c r="L706" s="10"/>
      <c r="M706" s="10" t="s">
        <v>47</v>
      </c>
      <c r="N706" s="10"/>
      <c r="O706" s="2">
        <v>5</v>
      </c>
      <c r="P706" s="17">
        <f>189*(1-S3/100)</f>
        <v>189</v>
      </c>
      <c r="Q706" s="18"/>
      <c r="R706" s="10">
        <f>P706*Q706</f>
        <v>0</v>
      </c>
      <c r="S706" s="19">
        <f>0.176*Q706</f>
        <v>0</v>
      </c>
      <c r="T706" s="20">
        <f>0.00026*Q706</f>
        <v>0</v>
      </c>
      <c r="U706" s="21"/>
      <c r="V706" s="22" t="s">
        <v>3106</v>
      </c>
      <c r="W706" s="22" t="s">
        <v>191</v>
      </c>
      <c r="X706" s="3"/>
      <c r="Y706" s="3"/>
      <c r="Z706" s="3" t="s">
        <v>52</v>
      </c>
      <c r="AA706" s="3"/>
      <c r="AB706" s="3"/>
      <c r="AC706" s="3" t="str">
        <f>HYPERLINK("https://knigipp.ru/api/getInfo/image/ce7134c7-adc2-11ed-a230-00155d82e902")</f>
        <v>https://knigipp.ru/api/getInfo/image/ce7134c7-adc2-11ed-a230-00155d82e902</v>
      </c>
      <c r="AD706" s="32">
        <v>96</v>
      </c>
      <c r="AE706" s="3" t="s">
        <v>2372</v>
      </c>
      <c r="AF706" s="3" t="s">
        <v>127</v>
      </c>
      <c r="AG706" s="3"/>
      <c r="AH706" s="3" t="s">
        <v>56</v>
      </c>
      <c r="AI706" s="3"/>
      <c r="AJ706" s="3"/>
      <c r="AK706" s="3" t="str">
        <f>HYPERLINK("https://knigipp.ru/api/getInfo/item/ce7134c7-adc2-11ed-a230-00155d82e902")</f>
        <v>https://knigipp.ru/api/getInfo/item/ce7134c7-adc2-11ed-a230-00155d82e902</v>
      </c>
      <c r="AL706" s="3" t="s">
        <v>3107</v>
      </c>
    </row>
    <row r="707" spans="1:38" ht="21" customHeight="1" outlineLevel="4" x14ac:dyDescent="0.2">
      <c r="A707" s="2">
        <v>529</v>
      </c>
      <c r="B707" s="3" t="s">
        <v>3108</v>
      </c>
      <c r="C707" s="49" t="s">
        <v>3109</v>
      </c>
      <c r="D707" s="49"/>
      <c r="E707" s="49"/>
      <c r="F707" s="49"/>
      <c r="G707" s="4" t="s">
        <v>3110</v>
      </c>
      <c r="H707" s="8"/>
      <c r="I707" s="9" t="s">
        <v>3111</v>
      </c>
      <c r="J707" s="10"/>
      <c r="K707" s="11">
        <v>10</v>
      </c>
      <c r="L707" s="10"/>
      <c r="M707" s="10" t="s">
        <v>47</v>
      </c>
      <c r="N707" s="10"/>
      <c r="O707" s="2">
        <v>5</v>
      </c>
      <c r="P707" s="17">
        <f>189*(1-S3/100)</f>
        <v>189</v>
      </c>
      <c r="Q707" s="18"/>
      <c r="R707" s="10">
        <f>P707*Q707</f>
        <v>0</v>
      </c>
      <c r="S707" s="10">
        <v>0</v>
      </c>
      <c r="T707" s="10">
        <v>0</v>
      </c>
      <c r="U707" s="21"/>
      <c r="V707" s="22" t="s">
        <v>3112</v>
      </c>
      <c r="W707" s="22" t="s">
        <v>191</v>
      </c>
      <c r="X707" s="3"/>
      <c r="Y707" s="3" t="s">
        <v>3113</v>
      </c>
      <c r="Z707" s="3" t="s">
        <v>52</v>
      </c>
      <c r="AA707" s="3"/>
      <c r="AB707" s="3"/>
      <c r="AC707" s="3" t="str">
        <f>HYPERLINK("https://knigipp.ru/api/getInfo/image/70ff231c-edc4-11ee-a25b-00155d82e908")</f>
        <v>https://knigipp.ru/api/getInfo/image/70ff231c-edc4-11ee-a25b-00155d82e908</v>
      </c>
      <c r="AD707" s="32">
        <v>96</v>
      </c>
      <c r="AE707" s="3" t="s">
        <v>2372</v>
      </c>
      <c r="AF707" s="3" t="s">
        <v>127</v>
      </c>
      <c r="AG707" s="3"/>
      <c r="AH707" s="3" t="s">
        <v>56</v>
      </c>
      <c r="AI707" s="3"/>
      <c r="AJ707" s="3"/>
      <c r="AK707" s="3" t="str">
        <f>HYPERLINK("https://knigipp.ru/api/getInfo/item/70ff231c-edc4-11ee-a25b-00155d82e908")</f>
        <v>https://knigipp.ru/api/getInfo/item/70ff231c-edc4-11ee-a25b-00155d82e908</v>
      </c>
      <c r="AL707" s="3" t="s">
        <v>3107</v>
      </c>
    </row>
    <row r="708" spans="1:38" ht="21" customHeight="1" outlineLevel="4" x14ac:dyDescent="0.2">
      <c r="A708" s="2">
        <v>530</v>
      </c>
      <c r="B708" s="3" t="s">
        <v>3114</v>
      </c>
      <c r="C708" s="49" t="s">
        <v>3115</v>
      </c>
      <c r="D708" s="49"/>
      <c r="E708" s="49"/>
      <c r="F708" s="49"/>
      <c r="G708" s="4" t="s">
        <v>3116</v>
      </c>
      <c r="H708" s="8"/>
      <c r="I708" s="9" t="s">
        <v>3117</v>
      </c>
      <c r="J708" s="10"/>
      <c r="K708" s="11">
        <v>10</v>
      </c>
      <c r="L708" s="10"/>
      <c r="M708" s="10" t="s">
        <v>78</v>
      </c>
      <c r="N708" s="10"/>
      <c r="O708" s="2">
        <v>5</v>
      </c>
      <c r="P708" s="17">
        <f>189*(1-S3/100)</f>
        <v>189</v>
      </c>
      <c r="Q708" s="18"/>
      <c r="R708" s="10">
        <f>P708*Q708</f>
        <v>0</v>
      </c>
      <c r="S708" s="19">
        <f>0.175*Q708</f>
        <v>0</v>
      </c>
      <c r="T708" s="20">
        <f>0.00026*Q708</f>
        <v>0</v>
      </c>
      <c r="U708" s="21"/>
      <c r="V708" s="22" t="s">
        <v>3118</v>
      </c>
      <c r="W708" s="22" t="s">
        <v>191</v>
      </c>
      <c r="X708" s="3"/>
      <c r="Y708" s="3"/>
      <c r="Z708" s="3" t="s">
        <v>52</v>
      </c>
      <c r="AA708" s="3"/>
      <c r="AB708" s="3"/>
      <c r="AC708" s="3" t="str">
        <f>HYPERLINK("https://knigipp.ru/api/getInfo/image/37029c3f-adc3-11ed-a230-00155d82e902")</f>
        <v>https://knigipp.ru/api/getInfo/image/37029c3f-adc3-11ed-a230-00155d82e902</v>
      </c>
      <c r="AD708" s="32">
        <v>96</v>
      </c>
      <c r="AE708" s="3" t="s">
        <v>2372</v>
      </c>
      <c r="AF708" s="3" t="s">
        <v>127</v>
      </c>
      <c r="AG708" s="3"/>
      <c r="AH708" s="3" t="s">
        <v>56</v>
      </c>
      <c r="AI708" s="3"/>
      <c r="AJ708" s="3"/>
      <c r="AK708" s="3" t="str">
        <f>HYPERLINK("https://knigipp.ru/api/getInfo/item/37029c3f-adc3-11ed-a230-00155d82e902")</f>
        <v>https://knigipp.ru/api/getInfo/item/37029c3f-adc3-11ed-a230-00155d82e902</v>
      </c>
      <c r="AL708" s="3" t="s">
        <v>3107</v>
      </c>
    </row>
    <row r="709" spans="1:38" ht="21" customHeight="1" outlineLevel="4" x14ac:dyDescent="0.2">
      <c r="A709" s="2">
        <v>531</v>
      </c>
      <c r="B709" s="3" t="s">
        <v>3119</v>
      </c>
      <c r="C709" s="49" t="s">
        <v>3120</v>
      </c>
      <c r="D709" s="49"/>
      <c r="E709" s="49"/>
      <c r="F709" s="49"/>
      <c r="G709" s="4" t="s">
        <v>3121</v>
      </c>
      <c r="H709" s="8"/>
      <c r="I709" s="9" t="s">
        <v>3122</v>
      </c>
      <c r="J709" s="10"/>
      <c r="K709" s="11">
        <v>10</v>
      </c>
      <c r="L709" s="10"/>
      <c r="M709" s="10" t="s">
        <v>78</v>
      </c>
      <c r="N709" s="10"/>
      <c r="O709" s="2">
        <v>5</v>
      </c>
      <c r="P709" s="17">
        <f>189*(1-S3/100)</f>
        <v>189</v>
      </c>
      <c r="Q709" s="18"/>
      <c r="R709" s="10">
        <f>P709*Q709</f>
        <v>0</v>
      </c>
      <c r="S709" s="19">
        <f>0.175*Q709</f>
        <v>0</v>
      </c>
      <c r="T709" s="20">
        <f>0.00026*Q709</f>
        <v>0</v>
      </c>
      <c r="U709" s="21"/>
      <c r="V709" s="22" t="s">
        <v>3123</v>
      </c>
      <c r="W709" s="22" t="s">
        <v>191</v>
      </c>
      <c r="X709" s="3"/>
      <c r="Y709" s="3"/>
      <c r="Z709" s="3" t="s">
        <v>52</v>
      </c>
      <c r="AA709" s="3"/>
      <c r="AB709" s="3"/>
      <c r="AC709" s="3" t="str">
        <f>HYPERLINK("https://knigipp.ru/api/getInfo/image/c7c42226-adc3-11ed-a230-00155d82e902")</f>
        <v>https://knigipp.ru/api/getInfo/image/c7c42226-adc3-11ed-a230-00155d82e902</v>
      </c>
      <c r="AD709" s="32">
        <v>96</v>
      </c>
      <c r="AE709" s="3" t="s">
        <v>2372</v>
      </c>
      <c r="AF709" s="3" t="s">
        <v>127</v>
      </c>
      <c r="AG709" s="3"/>
      <c r="AH709" s="3" t="s">
        <v>56</v>
      </c>
      <c r="AI709" s="3"/>
      <c r="AJ709" s="3"/>
      <c r="AK709" s="3" t="str">
        <f>HYPERLINK("https://knigipp.ru/api/getInfo/item/c7c42226-adc3-11ed-a230-00155d82e902")</f>
        <v>https://knigipp.ru/api/getInfo/item/c7c42226-adc3-11ed-a230-00155d82e902</v>
      </c>
      <c r="AL709" s="3" t="s">
        <v>3107</v>
      </c>
    </row>
    <row r="710" spans="1:38" ht="21" customHeight="1" outlineLevel="4" x14ac:dyDescent="0.2">
      <c r="A710" s="2">
        <v>532</v>
      </c>
      <c r="B710" s="3" t="s">
        <v>3124</v>
      </c>
      <c r="C710" s="49" t="s">
        <v>3125</v>
      </c>
      <c r="D710" s="49"/>
      <c r="E710" s="49"/>
      <c r="F710" s="49"/>
      <c r="G710" s="4" t="s">
        <v>3126</v>
      </c>
      <c r="H710" s="8"/>
      <c r="I710" s="9" t="s">
        <v>3127</v>
      </c>
      <c r="J710" s="10"/>
      <c r="K710" s="11">
        <v>10</v>
      </c>
      <c r="L710" s="10"/>
      <c r="M710" s="10" t="s">
        <v>47</v>
      </c>
      <c r="N710" s="10"/>
      <c r="O710" s="2">
        <v>5</v>
      </c>
      <c r="P710" s="17">
        <f>189*(1-S3/100)</f>
        <v>189</v>
      </c>
      <c r="Q710" s="18"/>
      <c r="R710" s="10">
        <f>P710*Q710</f>
        <v>0</v>
      </c>
      <c r="S710" s="10">
        <v>0</v>
      </c>
      <c r="T710" s="10">
        <v>0</v>
      </c>
      <c r="U710" s="21"/>
      <c r="V710" s="22" t="s">
        <v>3128</v>
      </c>
      <c r="W710" s="22" t="s">
        <v>191</v>
      </c>
      <c r="X710" s="3"/>
      <c r="Y710" s="3"/>
      <c r="Z710" s="3" t="s">
        <v>52</v>
      </c>
      <c r="AA710" s="3"/>
      <c r="AB710" s="3"/>
      <c r="AC710" s="3" t="str">
        <f>HYPERLINK("https://knigipp.ru/api/getInfo/image/95e97e85-adc3-11ed-a230-00155d82e902")</f>
        <v>https://knigipp.ru/api/getInfo/image/95e97e85-adc3-11ed-a230-00155d82e902</v>
      </c>
      <c r="AD710" s="32">
        <v>96</v>
      </c>
      <c r="AE710" s="3" t="s">
        <v>2372</v>
      </c>
      <c r="AF710" s="3" t="s">
        <v>127</v>
      </c>
      <c r="AG710" s="3"/>
      <c r="AH710" s="3" t="s">
        <v>56</v>
      </c>
      <c r="AI710" s="3"/>
      <c r="AJ710" s="3"/>
      <c r="AK710" s="3" t="str">
        <f>HYPERLINK("https://knigipp.ru/api/getInfo/item/95e97e85-adc3-11ed-a230-00155d82e902")</f>
        <v>https://knigipp.ru/api/getInfo/item/95e97e85-adc3-11ed-a230-00155d82e902</v>
      </c>
      <c r="AL710" s="3" t="s">
        <v>3107</v>
      </c>
    </row>
    <row r="711" spans="1:38" ht="23.1" customHeight="1" outlineLevel="3" x14ac:dyDescent="0.2">
      <c r="A711" s="48" t="s">
        <v>3129</v>
      </c>
      <c r="B711" s="48"/>
      <c r="C711" s="48"/>
      <c r="D711" s="48"/>
      <c r="E711" s="48"/>
      <c r="F711" s="48"/>
    </row>
    <row r="712" spans="1:38" ht="21" customHeight="1" outlineLevel="4" x14ac:dyDescent="0.2">
      <c r="A712" s="2">
        <v>533</v>
      </c>
      <c r="B712" s="3" t="s">
        <v>3130</v>
      </c>
      <c r="C712" s="49" t="s">
        <v>3131</v>
      </c>
      <c r="D712" s="49"/>
      <c r="E712" s="49"/>
      <c r="F712" s="49"/>
      <c r="G712" s="4" t="s">
        <v>3132</v>
      </c>
      <c r="H712" s="8"/>
      <c r="I712" s="9" t="s">
        <v>3133</v>
      </c>
      <c r="J712" s="10"/>
      <c r="K712" s="11">
        <v>10</v>
      </c>
      <c r="L712" s="10"/>
      <c r="M712" s="10" t="s">
        <v>47</v>
      </c>
      <c r="N712" s="10"/>
      <c r="O712" s="2">
        <v>3</v>
      </c>
      <c r="P712" s="17">
        <f>249*(1-S3/100)</f>
        <v>249</v>
      </c>
      <c r="Q712" s="18"/>
      <c r="R712" s="10">
        <f>P712*Q712</f>
        <v>0</v>
      </c>
      <c r="S712" s="19">
        <f>0.265*Q712</f>
        <v>0</v>
      </c>
      <c r="T712" s="20">
        <f>0.00056*Q712</f>
        <v>0</v>
      </c>
      <c r="U712" s="21"/>
      <c r="V712" s="22" t="s">
        <v>3134</v>
      </c>
      <c r="W712" s="22" t="s">
        <v>191</v>
      </c>
      <c r="X712" s="3"/>
      <c r="Y712" s="3" t="s">
        <v>3135</v>
      </c>
      <c r="Z712" s="3" t="s">
        <v>52</v>
      </c>
      <c r="AA712" s="3"/>
      <c r="AB712" s="3"/>
      <c r="AC712" s="3" t="str">
        <f>HYPERLINK("https://knigipp.ru/api/getInfo/image/118e7375-d176-11ee-a25a-00155d82e908")</f>
        <v>https://knigipp.ru/api/getInfo/image/118e7375-d176-11ee-a25a-00155d82e908</v>
      </c>
      <c r="AD712" s="32">
        <v>144</v>
      </c>
      <c r="AE712" s="3" t="s">
        <v>481</v>
      </c>
      <c r="AF712" s="3" t="s">
        <v>127</v>
      </c>
      <c r="AG712" s="3"/>
      <c r="AH712" s="3" t="s">
        <v>56</v>
      </c>
      <c r="AI712" s="3"/>
      <c r="AJ712" s="3"/>
      <c r="AK712" s="3" t="str">
        <f>HYPERLINK("https://knigipp.ru/api/getInfo/item/118e7375-d176-11ee-a25a-00155d82e908")</f>
        <v>https://knigipp.ru/api/getInfo/item/118e7375-d176-11ee-a25a-00155d82e908</v>
      </c>
      <c r="AL712" s="3" t="s">
        <v>3136</v>
      </c>
    </row>
    <row r="713" spans="1:38" ht="21" customHeight="1" outlineLevel="4" x14ac:dyDescent="0.2">
      <c r="A713" s="2">
        <v>534</v>
      </c>
      <c r="B713" s="3" t="s">
        <v>3137</v>
      </c>
      <c r="C713" s="49" t="s">
        <v>3138</v>
      </c>
      <c r="D713" s="49"/>
      <c r="E713" s="49"/>
      <c r="F713" s="49"/>
      <c r="G713" s="4" t="s">
        <v>3139</v>
      </c>
      <c r="H713" s="8"/>
      <c r="I713" s="9" t="s">
        <v>3140</v>
      </c>
      <c r="J713" s="10"/>
      <c r="K713" s="11">
        <v>10</v>
      </c>
      <c r="L713" s="10"/>
      <c r="M713" s="10" t="s">
        <v>47</v>
      </c>
      <c r="N713" s="10"/>
      <c r="O713" s="2">
        <v>3</v>
      </c>
      <c r="P713" s="17">
        <f>249*(1-S3/100)</f>
        <v>249</v>
      </c>
      <c r="Q713" s="18"/>
      <c r="R713" s="10">
        <f>P713*Q713</f>
        <v>0</v>
      </c>
      <c r="S713" s="19">
        <f>0.266*Q713</f>
        <v>0</v>
      </c>
      <c r="T713" s="20">
        <f>0.00052*Q713</f>
        <v>0</v>
      </c>
      <c r="U713" s="21"/>
      <c r="V713" s="22" t="s">
        <v>3141</v>
      </c>
      <c r="W713" s="22" t="s">
        <v>191</v>
      </c>
      <c r="X713" s="3"/>
      <c r="Y713" s="3" t="s">
        <v>3142</v>
      </c>
      <c r="Z713" s="3" t="s">
        <v>52</v>
      </c>
      <c r="AA713" s="3"/>
      <c r="AB713" s="3"/>
      <c r="AC713" s="3" t="str">
        <f>HYPERLINK("https://knigipp.ru/api/getInfo/image/772317a3-d176-11ee-a25a-00155d82e908")</f>
        <v>https://knigipp.ru/api/getInfo/image/772317a3-d176-11ee-a25a-00155d82e908</v>
      </c>
      <c r="AD713" s="32">
        <v>144</v>
      </c>
      <c r="AE713" s="3" t="s">
        <v>481</v>
      </c>
      <c r="AF713" s="3" t="s">
        <v>127</v>
      </c>
      <c r="AG713" s="3"/>
      <c r="AH713" s="3" t="s">
        <v>56</v>
      </c>
      <c r="AI713" s="3"/>
      <c r="AJ713" s="3"/>
      <c r="AK713" s="3" t="str">
        <f>HYPERLINK("https://knigipp.ru/api/getInfo/item/772317a3-d176-11ee-a25a-00155d82e908")</f>
        <v>https://knigipp.ru/api/getInfo/item/772317a3-d176-11ee-a25a-00155d82e908</v>
      </c>
      <c r="AL713" s="3" t="s">
        <v>3136</v>
      </c>
    </row>
    <row r="714" spans="1:38" ht="21" customHeight="1" outlineLevel="4" x14ac:dyDescent="0.2">
      <c r="A714" s="2">
        <v>535</v>
      </c>
      <c r="B714" s="3" t="s">
        <v>3143</v>
      </c>
      <c r="C714" s="49" t="s">
        <v>3144</v>
      </c>
      <c r="D714" s="49"/>
      <c r="E714" s="49"/>
      <c r="F714" s="49"/>
      <c r="G714" s="4" t="s">
        <v>3145</v>
      </c>
      <c r="H714" s="8"/>
      <c r="I714" s="9" t="s">
        <v>3146</v>
      </c>
      <c r="J714" s="10"/>
      <c r="K714" s="11">
        <v>10</v>
      </c>
      <c r="L714" s="10"/>
      <c r="M714" s="10" t="s">
        <v>47</v>
      </c>
      <c r="N714" s="10"/>
      <c r="O714" s="2">
        <v>3</v>
      </c>
      <c r="P714" s="17">
        <f>249*(1-S3/100)</f>
        <v>249</v>
      </c>
      <c r="Q714" s="18"/>
      <c r="R714" s="10">
        <f>P714*Q714</f>
        <v>0</v>
      </c>
      <c r="S714" s="19">
        <f>0.265*Q714</f>
        <v>0</v>
      </c>
      <c r="T714" s="20">
        <f>0.00047*Q714</f>
        <v>0</v>
      </c>
      <c r="U714" s="21"/>
      <c r="V714" s="22" t="s">
        <v>3147</v>
      </c>
      <c r="W714" s="22" t="s">
        <v>191</v>
      </c>
      <c r="X714" s="3"/>
      <c r="Y714" s="3" t="s">
        <v>3148</v>
      </c>
      <c r="Z714" s="3" t="s">
        <v>52</v>
      </c>
      <c r="AA714" s="3"/>
      <c r="AB714" s="3"/>
      <c r="AC714" s="3" t="str">
        <f>HYPERLINK("https://knigipp.ru/api/getInfo/image/eb285362-d175-11ee-a25a-00155d82e908")</f>
        <v>https://knigipp.ru/api/getInfo/image/eb285362-d175-11ee-a25a-00155d82e908</v>
      </c>
      <c r="AD714" s="32">
        <v>144</v>
      </c>
      <c r="AE714" s="3" t="s">
        <v>481</v>
      </c>
      <c r="AF714" s="3" t="s">
        <v>127</v>
      </c>
      <c r="AG714" s="3"/>
      <c r="AH714" s="3" t="s">
        <v>56</v>
      </c>
      <c r="AI714" s="3"/>
      <c r="AJ714" s="3"/>
      <c r="AK714" s="3" t="str">
        <f>HYPERLINK("https://knigipp.ru/api/getInfo/item/eb285362-d175-11ee-a25a-00155d82e908")</f>
        <v>https://knigipp.ru/api/getInfo/item/eb285362-d175-11ee-a25a-00155d82e908</v>
      </c>
      <c r="AL714" s="3" t="s">
        <v>3136</v>
      </c>
    </row>
    <row r="715" spans="1:38" ht="21" customHeight="1" outlineLevel="4" x14ac:dyDescent="0.2">
      <c r="A715" s="2">
        <v>536</v>
      </c>
      <c r="B715" s="3" t="s">
        <v>3149</v>
      </c>
      <c r="C715" s="49" t="s">
        <v>3150</v>
      </c>
      <c r="D715" s="49"/>
      <c r="E715" s="49"/>
      <c r="F715" s="49"/>
      <c r="G715" s="4" t="s">
        <v>3151</v>
      </c>
      <c r="H715" s="8"/>
      <c r="I715" s="9" t="s">
        <v>3152</v>
      </c>
      <c r="J715" s="10"/>
      <c r="K715" s="11">
        <v>10</v>
      </c>
      <c r="L715" s="10"/>
      <c r="M715" s="10" t="s">
        <v>47</v>
      </c>
      <c r="N715" s="10"/>
      <c r="O715" s="2">
        <v>3</v>
      </c>
      <c r="P715" s="17">
        <f>249*(1-S3/100)</f>
        <v>249</v>
      </c>
      <c r="Q715" s="18"/>
      <c r="R715" s="10">
        <f>P715*Q715</f>
        <v>0</v>
      </c>
      <c r="S715" s="19">
        <f>0.266*Q715</f>
        <v>0</v>
      </c>
      <c r="T715" s="20">
        <f>0.00052*Q715</f>
        <v>0</v>
      </c>
      <c r="U715" s="21"/>
      <c r="V715" s="22" t="s">
        <v>3153</v>
      </c>
      <c r="W715" s="22" t="s">
        <v>191</v>
      </c>
      <c r="X715" s="3"/>
      <c r="Y715" s="3" t="s">
        <v>3154</v>
      </c>
      <c r="Z715" s="3" t="s">
        <v>52</v>
      </c>
      <c r="AA715" s="3"/>
      <c r="AB715" s="3"/>
      <c r="AC715" s="3" t="str">
        <f>HYPERLINK("https://knigipp.ru/api/getInfo/image/4cedd4cd-d176-11ee-a25a-00155d82e908")</f>
        <v>https://knigipp.ru/api/getInfo/image/4cedd4cd-d176-11ee-a25a-00155d82e908</v>
      </c>
      <c r="AD715" s="32">
        <v>144</v>
      </c>
      <c r="AE715" s="3" t="s">
        <v>481</v>
      </c>
      <c r="AF715" s="3" t="s">
        <v>127</v>
      </c>
      <c r="AG715" s="3"/>
      <c r="AH715" s="3" t="s">
        <v>56</v>
      </c>
      <c r="AI715" s="3"/>
      <c r="AJ715" s="3"/>
      <c r="AK715" s="3" t="str">
        <f>HYPERLINK("https://knigipp.ru/api/getInfo/item/4cedd4cd-d176-11ee-a25a-00155d82e908")</f>
        <v>https://knigipp.ru/api/getInfo/item/4cedd4cd-d176-11ee-a25a-00155d82e908</v>
      </c>
      <c r="AL715" s="3" t="s">
        <v>3136</v>
      </c>
    </row>
    <row r="716" spans="1:38" ht="23.1" customHeight="1" outlineLevel="3" x14ac:dyDescent="0.2">
      <c r="A716" s="48" t="s">
        <v>3155</v>
      </c>
      <c r="B716" s="48"/>
      <c r="C716" s="48"/>
      <c r="D716" s="48"/>
      <c r="E716" s="48"/>
      <c r="F716" s="48"/>
    </row>
    <row r="717" spans="1:38" ht="21" customHeight="1" outlineLevel="4" x14ac:dyDescent="0.2">
      <c r="A717" s="2">
        <v>537</v>
      </c>
      <c r="B717" s="3" t="s">
        <v>3156</v>
      </c>
      <c r="C717" s="49" t="s">
        <v>3157</v>
      </c>
      <c r="D717" s="49"/>
      <c r="E717" s="49"/>
      <c r="F717" s="49"/>
      <c r="G717" s="4" t="s">
        <v>3158</v>
      </c>
      <c r="H717" s="8"/>
      <c r="I717" s="9" t="s">
        <v>3159</v>
      </c>
      <c r="J717" s="10"/>
      <c r="K717" s="11">
        <v>20</v>
      </c>
      <c r="L717" s="10"/>
      <c r="M717" s="10" t="s">
        <v>304</v>
      </c>
      <c r="N717" s="10"/>
      <c r="O717" s="2">
        <v>5</v>
      </c>
      <c r="P717" s="17">
        <f>197*(1-S3/100)</f>
        <v>197</v>
      </c>
      <c r="Q717" s="18"/>
      <c r="R717" s="10">
        <f t="shared" ref="R717:R722" si="33">P717*Q717</f>
        <v>0</v>
      </c>
      <c r="S717" s="19">
        <f t="shared" ref="S717:S722" si="34">0.152*Q717</f>
        <v>0</v>
      </c>
      <c r="T717" s="20">
        <f t="shared" ref="T717:T722" si="35">0.00025*Q717</f>
        <v>0</v>
      </c>
      <c r="U717" s="21"/>
      <c r="V717" s="22" t="s">
        <v>3160</v>
      </c>
      <c r="W717" s="22" t="s">
        <v>191</v>
      </c>
      <c r="X717" s="3"/>
      <c r="Y717" s="3"/>
      <c r="Z717" s="3" t="s">
        <v>52</v>
      </c>
      <c r="AA717" s="3"/>
      <c r="AB717" s="3"/>
      <c r="AC717" s="3" t="str">
        <f>HYPERLINK("https://knigipp.ru/api/getInfo/image/03431e4f-1f23-11ee-a23c-00155d82e902")</f>
        <v>https://knigipp.ru/api/getInfo/image/03431e4f-1f23-11ee-a23c-00155d82e902</v>
      </c>
      <c r="AD717" s="32">
        <v>96</v>
      </c>
      <c r="AE717" s="3" t="s">
        <v>355</v>
      </c>
      <c r="AF717" s="3" t="s">
        <v>127</v>
      </c>
      <c r="AG717" s="3"/>
      <c r="AH717" s="3" t="s">
        <v>56</v>
      </c>
      <c r="AI717" s="3"/>
      <c r="AJ717" s="3"/>
      <c r="AK717" s="3" t="str">
        <f>HYPERLINK("https://knigipp.ru/api/getInfo/item/03431e4f-1f23-11ee-a23c-00155d82e902")</f>
        <v>https://knigipp.ru/api/getInfo/item/03431e4f-1f23-11ee-a23c-00155d82e902</v>
      </c>
      <c r="AL717" s="3" t="s">
        <v>3161</v>
      </c>
    </row>
    <row r="718" spans="1:38" ht="21" customHeight="1" outlineLevel="4" x14ac:dyDescent="0.2">
      <c r="A718" s="2">
        <v>538</v>
      </c>
      <c r="B718" s="3" t="s">
        <v>3162</v>
      </c>
      <c r="C718" s="49" t="s">
        <v>3163</v>
      </c>
      <c r="D718" s="49"/>
      <c r="E718" s="49"/>
      <c r="F718" s="49"/>
      <c r="G718" s="4" t="s">
        <v>3164</v>
      </c>
      <c r="H718" s="8"/>
      <c r="I718" s="9" t="s">
        <v>3159</v>
      </c>
      <c r="J718" s="10"/>
      <c r="K718" s="11">
        <v>20</v>
      </c>
      <c r="L718" s="10"/>
      <c r="M718" s="10" t="s">
        <v>47</v>
      </c>
      <c r="N718" s="10"/>
      <c r="O718" s="2">
        <v>5</v>
      </c>
      <c r="P718" s="17">
        <f>197*(1-S3/100)</f>
        <v>197</v>
      </c>
      <c r="Q718" s="18"/>
      <c r="R718" s="10">
        <f t="shared" si="33"/>
        <v>0</v>
      </c>
      <c r="S718" s="19">
        <f t="shared" si="34"/>
        <v>0</v>
      </c>
      <c r="T718" s="20">
        <f t="shared" si="35"/>
        <v>0</v>
      </c>
      <c r="U718" s="21"/>
      <c r="V718" s="22" t="s">
        <v>3165</v>
      </c>
      <c r="W718" s="22" t="s">
        <v>191</v>
      </c>
      <c r="X718" s="3"/>
      <c r="Y718" s="3"/>
      <c r="Z718" s="3" t="s">
        <v>52</v>
      </c>
      <c r="AA718" s="3"/>
      <c r="AB718" s="3"/>
      <c r="AC718" s="3" t="str">
        <f>HYPERLINK("https://knigipp.ru/api/getInfo/image/5e847ff5-2ab4-11ed-a216-ac1f6b442185")</f>
        <v>https://knigipp.ru/api/getInfo/image/5e847ff5-2ab4-11ed-a216-ac1f6b442185</v>
      </c>
      <c r="AD718" s="32">
        <v>96</v>
      </c>
      <c r="AE718" s="3" t="s">
        <v>355</v>
      </c>
      <c r="AF718" s="3" t="s">
        <v>127</v>
      </c>
      <c r="AG718" s="3"/>
      <c r="AH718" s="3" t="s">
        <v>56</v>
      </c>
      <c r="AI718" s="3"/>
      <c r="AJ718" s="3"/>
      <c r="AK718" s="3" t="str">
        <f>HYPERLINK("https://knigipp.ru/api/getInfo/item/5e847ff5-2ab4-11ed-a216-ac1f6b442185")</f>
        <v>https://knigipp.ru/api/getInfo/item/5e847ff5-2ab4-11ed-a216-ac1f6b442185</v>
      </c>
      <c r="AL718" s="3" t="s">
        <v>3161</v>
      </c>
    </row>
    <row r="719" spans="1:38" ht="21" customHeight="1" outlineLevel="4" x14ac:dyDescent="0.2">
      <c r="A719" s="2">
        <v>539</v>
      </c>
      <c r="B719" s="3" t="s">
        <v>3166</v>
      </c>
      <c r="C719" s="49" t="s">
        <v>3167</v>
      </c>
      <c r="D719" s="49"/>
      <c r="E719" s="49"/>
      <c r="F719" s="49"/>
      <c r="G719" s="4" t="s">
        <v>3168</v>
      </c>
      <c r="H719" s="8"/>
      <c r="I719" s="9" t="s">
        <v>3159</v>
      </c>
      <c r="J719" s="10"/>
      <c r="K719" s="11">
        <v>20</v>
      </c>
      <c r="L719" s="10"/>
      <c r="M719" s="10" t="s">
        <v>47</v>
      </c>
      <c r="N719" s="10"/>
      <c r="O719" s="2">
        <v>5</v>
      </c>
      <c r="P719" s="17">
        <f>197*(1-S3/100)</f>
        <v>197</v>
      </c>
      <c r="Q719" s="18"/>
      <c r="R719" s="10">
        <f t="shared" si="33"/>
        <v>0</v>
      </c>
      <c r="S719" s="19">
        <f t="shared" si="34"/>
        <v>0</v>
      </c>
      <c r="T719" s="20">
        <f t="shared" si="35"/>
        <v>0</v>
      </c>
      <c r="U719" s="21"/>
      <c r="V719" s="22" t="s">
        <v>3169</v>
      </c>
      <c r="W719" s="22" t="s">
        <v>191</v>
      </c>
      <c r="X719" s="3"/>
      <c r="Y719" s="3"/>
      <c r="Z719" s="3" t="s">
        <v>52</v>
      </c>
      <c r="AA719" s="3"/>
      <c r="AB719" s="3"/>
      <c r="AC719" s="3" t="str">
        <f>HYPERLINK("https://knigipp.ru/api/getInfo/image/4720d223-2ab5-11ed-a216-ac1f6b442185")</f>
        <v>https://knigipp.ru/api/getInfo/image/4720d223-2ab5-11ed-a216-ac1f6b442185</v>
      </c>
      <c r="AD719" s="32">
        <v>96</v>
      </c>
      <c r="AE719" s="3" t="s">
        <v>355</v>
      </c>
      <c r="AF719" s="3" t="s">
        <v>127</v>
      </c>
      <c r="AG719" s="3"/>
      <c r="AH719" s="3" t="s">
        <v>56</v>
      </c>
      <c r="AI719" s="3"/>
      <c r="AJ719" s="3"/>
      <c r="AK719" s="3" t="str">
        <f>HYPERLINK("https://knigipp.ru/api/getInfo/item/4720d223-2ab5-11ed-a216-ac1f6b442185")</f>
        <v>https://knigipp.ru/api/getInfo/item/4720d223-2ab5-11ed-a216-ac1f6b442185</v>
      </c>
      <c r="AL719" s="3" t="s">
        <v>3161</v>
      </c>
    </row>
    <row r="720" spans="1:38" ht="21" customHeight="1" outlineLevel="4" x14ac:dyDescent="0.2">
      <c r="A720" s="2">
        <v>540</v>
      </c>
      <c r="B720" s="3" t="s">
        <v>3170</v>
      </c>
      <c r="C720" s="49" t="s">
        <v>3171</v>
      </c>
      <c r="D720" s="49"/>
      <c r="E720" s="49"/>
      <c r="F720" s="49"/>
      <c r="G720" s="4" t="s">
        <v>3172</v>
      </c>
      <c r="H720" s="8"/>
      <c r="I720" s="9" t="s">
        <v>3159</v>
      </c>
      <c r="J720" s="10"/>
      <c r="K720" s="11">
        <v>20</v>
      </c>
      <c r="L720" s="10"/>
      <c r="M720" s="10" t="s">
        <v>304</v>
      </c>
      <c r="N720" s="10"/>
      <c r="O720" s="2">
        <v>5</v>
      </c>
      <c r="P720" s="17">
        <f>197*(1-S3/100)</f>
        <v>197</v>
      </c>
      <c r="Q720" s="18"/>
      <c r="R720" s="10">
        <f t="shared" si="33"/>
        <v>0</v>
      </c>
      <c r="S720" s="19">
        <f t="shared" si="34"/>
        <v>0</v>
      </c>
      <c r="T720" s="20">
        <f t="shared" si="35"/>
        <v>0</v>
      </c>
      <c r="U720" s="21"/>
      <c r="V720" s="22" t="s">
        <v>3173</v>
      </c>
      <c r="W720" s="22" t="s">
        <v>191</v>
      </c>
      <c r="X720" s="3"/>
      <c r="Y720" s="3"/>
      <c r="Z720" s="3" t="s">
        <v>52</v>
      </c>
      <c r="AA720" s="3"/>
      <c r="AB720" s="3"/>
      <c r="AC720" s="3" t="str">
        <f>HYPERLINK("https://knigipp.ru/api/getInfo/image/95f48814-2ab4-11ed-a216-ac1f6b442185")</f>
        <v>https://knigipp.ru/api/getInfo/image/95f48814-2ab4-11ed-a216-ac1f6b442185</v>
      </c>
      <c r="AD720" s="32">
        <v>96</v>
      </c>
      <c r="AE720" s="3" t="s">
        <v>355</v>
      </c>
      <c r="AF720" s="3" t="s">
        <v>127</v>
      </c>
      <c r="AG720" s="3"/>
      <c r="AH720" s="3" t="s">
        <v>56</v>
      </c>
      <c r="AI720" s="3"/>
      <c r="AJ720" s="3"/>
      <c r="AK720" s="3" t="str">
        <f>HYPERLINK("https://knigipp.ru/api/getInfo/item/95f48814-2ab4-11ed-a216-ac1f6b442185")</f>
        <v>https://knigipp.ru/api/getInfo/item/95f48814-2ab4-11ed-a216-ac1f6b442185</v>
      </c>
      <c r="AL720" s="3" t="s">
        <v>3161</v>
      </c>
    </row>
    <row r="721" spans="1:38" ht="21" customHeight="1" outlineLevel="4" x14ac:dyDescent="0.2">
      <c r="A721" s="2">
        <v>541</v>
      </c>
      <c r="B721" s="3" t="s">
        <v>3174</v>
      </c>
      <c r="C721" s="49" t="s">
        <v>3175</v>
      </c>
      <c r="D721" s="49"/>
      <c r="E721" s="49"/>
      <c r="F721" s="49"/>
      <c r="G721" s="4" t="s">
        <v>3176</v>
      </c>
      <c r="H721" s="8"/>
      <c r="I721" s="9" t="s">
        <v>3159</v>
      </c>
      <c r="J721" s="10"/>
      <c r="K721" s="11">
        <v>20</v>
      </c>
      <c r="L721" s="10"/>
      <c r="M721" s="10" t="s">
        <v>304</v>
      </c>
      <c r="N721" s="10"/>
      <c r="O721" s="2">
        <v>5</v>
      </c>
      <c r="P721" s="17">
        <f>197*(1-S3/100)</f>
        <v>197</v>
      </c>
      <c r="Q721" s="18"/>
      <c r="R721" s="10">
        <f t="shared" si="33"/>
        <v>0</v>
      </c>
      <c r="S721" s="19">
        <f t="shared" si="34"/>
        <v>0</v>
      </c>
      <c r="T721" s="20">
        <f t="shared" si="35"/>
        <v>0</v>
      </c>
      <c r="U721" s="21"/>
      <c r="V721" s="22" t="s">
        <v>3177</v>
      </c>
      <c r="W721" s="22" t="s">
        <v>191</v>
      </c>
      <c r="X721" s="3"/>
      <c r="Y721" s="3"/>
      <c r="Z721" s="3" t="s">
        <v>52</v>
      </c>
      <c r="AA721" s="3"/>
      <c r="AB721" s="3"/>
      <c r="AC721" s="3" t="str">
        <f>HYPERLINK("https://knigipp.ru/api/getInfo/image/ed499851-1f23-11ee-a23c-00155d82e902")</f>
        <v>https://knigipp.ru/api/getInfo/image/ed499851-1f23-11ee-a23c-00155d82e902</v>
      </c>
      <c r="AD721" s="32">
        <v>96</v>
      </c>
      <c r="AE721" s="3" t="s">
        <v>355</v>
      </c>
      <c r="AF721" s="3" t="s">
        <v>127</v>
      </c>
      <c r="AG721" s="3"/>
      <c r="AH721" s="3" t="s">
        <v>56</v>
      </c>
      <c r="AI721" s="3"/>
      <c r="AJ721" s="3"/>
      <c r="AK721" s="3" t="str">
        <f>HYPERLINK("https://knigipp.ru/api/getInfo/item/ed499851-1f23-11ee-a23c-00155d82e902")</f>
        <v>https://knigipp.ru/api/getInfo/item/ed499851-1f23-11ee-a23c-00155d82e902</v>
      </c>
      <c r="AL721" s="3" t="s">
        <v>3161</v>
      </c>
    </row>
    <row r="722" spans="1:38" ht="21" customHeight="1" outlineLevel="4" x14ac:dyDescent="0.2">
      <c r="A722" s="2">
        <v>542</v>
      </c>
      <c r="B722" s="3" t="s">
        <v>3178</v>
      </c>
      <c r="C722" s="49" t="s">
        <v>3179</v>
      </c>
      <c r="D722" s="49"/>
      <c r="E722" s="49"/>
      <c r="F722" s="49"/>
      <c r="G722" s="4" t="s">
        <v>3180</v>
      </c>
      <c r="H722" s="8"/>
      <c r="I722" s="9" t="s">
        <v>3159</v>
      </c>
      <c r="J722" s="10"/>
      <c r="K722" s="11">
        <v>20</v>
      </c>
      <c r="L722" s="10"/>
      <c r="M722" s="10" t="s">
        <v>78</v>
      </c>
      <c r="N722" s="10"/>
      <c r="O722" s="2">
        <v>5</v>
      </c>
      <c r="P722" s="17">
        <f>197*(1-S3/100)</f>
        <v>197</v>
      </c>
      <c r="Q722" s="18"/>
      <c r="R722" s="10">
        <f t="shared" si="33"/>
        <v>0</v>
      </c>
      <c r="S722" s="19">
        <f t="shared" si="34"/>
        <v>0</v>
      </c>
      <c r="T722" s="20">
        <f t="shared" si="35"/>
        <v>0</v>
      </c>
      <c r="U722" s="21"/>
      <c r="V722" s="22" t="s">
        <v>3181</v>
      </c>
      <c r="W722" s="22" t="s">
        <v>191</v>
      </c>
      <c r="X722" s="3"/>
      <c r="Y722" s="3"/>
      <c r="Z722" s="3" t="s">
        <v>52</v>
      </c>
      <c r="AA722" s="3"/>
      <c r="AB722" s="3"/>
      <c r="AC722" s="3" t="str">
        <f>HYPERLINK("https://knigipp.ru/api/getInfo/image/6b222b75-1f23-11ee-a23c-00155d82e902")</f>
        <v>https://knigipp.ru/api/getInfo/image/6b222b75-1f23-11ee-a23c-00155d82e902</v>
      </c>
      <c r="AD722" s="32">
        <v>96</v>
      </c>
      <c r="AE722" s="3" t="s">
        <v>355</v>
      </c>
      <c r="AF722" s="3" t="s">
        <v>127</v>
      </c>
      <c r="AG722" s="3"/>
      <c r="AH722" s="3" t="s">
        <v>56</v>
      </c>
      <c r="AI722" s="3"/>
      <c r="AJ722" s="3"/>
      <c r="AK722" s="3" t="str">
        <f>HYPERLINK("https://knigipp.ru/api/getInfo/item/6b222b75-1f23-11ee-a23c-00155d82e902")</f>
        <v>https://knigipp.ru/api/getInfo/item/6b222b75-1f23-11ee-a23c-00155d82e902</v>
      </c>
      <c r="AL722" s="3" t="s">
        <v>3161</v>
      </c>
    </row>
    <row r="723" spans="1:38" ht="23.1" customHeight="1" outlineLevel="3" x14ac:dyDescent="0.2">
      <c r="A723" s="48" t="s">
        <v>3182</v>
      </c>
      <c r="B723" s="48"/>
      <c r="C723" s="48"/>
      <c r="D723" s="48"/>
      <c r="E723" s="48"/>
      <c r="F723" s="48"/>
    </row>
    <row r="724" spans="1:38" ht="21" customHeight="1" outlineLevel="4" x14ac:dyDescent="0.2">
      <c r="A724" s="2">
        <v>543</v>
      </c>
      <c r="B724" s="3" t="s">
        <v>3183</v>
      </c>
      <c r="C724" s="49" t="s">
        <v>3184</v>
      </c>
      <c r="D724" s="49"/>
      <c r="E724" s="49"/>
      <c r="F724" s="49"/>
      <c r="G724" s="4" t="s">
        <v>3185</v>
      </c>
      <c r="H724" s="8"/>
      <c r="I724" s="9" t="s">
        <v>3186</v>
      </c>
      <c r="J724" s="10"/>
      <c r="K724" s="11">
        <v>10</v>
      </c>
      <c r="L724" s="10"/>
      <c r="M724" s="10" t="s">
        <v>78</v>
      </c>
      <c r="N724" s="10"/>
      <c r="O724" s="2">
        <v>3</v>
      </c>
      <c r="P724" s="17">
        <f>249.91*(1-S3/100)</f>
        <v>249.91</v>
      </c>
      <c r="Q724" s="18"/>
      <c r="R724" s="10">
        <f>P724*Q724</f>
        <v>0</v>
      </c>
      <c r="S724" s="28">
        <f>0.28*Q724</f>
        <v>0</v>
      </c>
      <c r="T724" s="20">
        <f>0.00037*Q724</f>
        <v>0</v>
      </c>
      <c r="U724" s="21"/>
      <c r="V724" s="22" t="s">
        <v>3187</v>
      </c>
      <c r="W724" s="22" t="s">
        <v>191</v>
      </c>
      <c r="X724" s="3"/>
      <c r="Y724" s="3"/>
      <c r="Z724" s="3"/>
      <c r="AA724" s="3"/>
      <c r="AB724" s="3"/>
      <c r="AC724" s="3" t="str">
        <f>HYPERLINK("https://knigipp.ru/api/getInfo/image/04c59f53-49e6-11eb-a25e-ac1f6b442184")</f>
        <v>https://knigipp.ru/api/getInfo/image/04c59f53-49e6-11eb-a25e-ac1f6b442184</v>
      </c>
      <c r="AD724" s="32">
        <v>144</v>
      </c>
      <c r="AE724" s="3"/>
      <c r="AF724" s="3" t="s">
        <v>127</v>
      </c>
      <c r="AG724" s="32">
        <v>100</v>
      </c>
      <c r="AH724" s="3" t="s">
        <v>56</v>
      </c>
      <c r="AI724" s="3"/>
      <c r="AJ724" s="3"/>
      <c r="AK724" s="3" t="str">
        <f>HYPERLINK("https://knigipp.ru/api/getInfo/item/04c59f53-49e6-11eb-a25e-ac1f6b442184")</f>
        <v>https://knigipp.ru/api/getInfo/item/04c59f53-49e6-11eb-a25e-ac1f6b442184</v>
      </c>
      <c r="AL724" s="3" t="s">
        <v>2576</v>
      </c>
    </row>
    <row r="725" spans="1:38" ht="23.1" customHeight="1" outlineLevel="3" x14ac:dyDescent="0.2">
      <c r="A725" s="48" t="s">
        <v>3188</v>
      </c>
      <c r="B725" s="48"/>
      <c r="C725" s="48"/>
      <c r="D725" s="48"/>
      <c r="E725" s="48"/>
      <c r="F725" s="48"/>
    </row>
    <row r="726" spans="1:38" ht="21" customHeight="1" outlineLevel="4" x14ac:dyDescent="0.2">
      <c r="A726" s="2">
        <v>544</v>
      </c>
      <c r="B726" s="3" t="s">
        <v>3189</v>
      </c>
      <c r="C726" s="49" t="s">
        <v>3190</v>
      </c>
      <c r="D726" s="49"/>
      <c r="E726" s="49"/>
      <c r="F726" s="49"/>
      <c r="G726" s="4" t="s">
        <v>3191</v>
      </c>
      <c r="H726" s="8"/>
      <c r="I726" s="9" t="s">
        <v>3192</v>
      </c>
      <c r="J726" s="10"/>
      <c r="K726" s="11">
        <v>20</v>
      </c>
      <c r="L726" s="10"/>
      <c r="M726" s="10" t="s">
        <v>304</v>
      </c>
      <c r="N726" s="10"/>
      <c r="O726" s="2">
        <v>1</v>
      </c>
      <c r="P726" s="17">
        <f>142.28*(1-S3/100)</f>
        <v>142.28</v>
      </c>
      <c r="Q726" s="18"/>
      <c r="R726" s="10">
        <f>P726*Q726</f>
        <v>0</v>
      </c>
      <c r="S726" s="28">
        <f>0.19*Q726</f>
        <v>0</v>
      </c>
      <c r="T726" s="20">
        <f>0.00028*Q726</f>
        <v>0</v>
      </c>
      <c r="U726" s="21"/>
      <c r="V726" s="22" t="s">
        <v>3193</v>
      </c>
      <c r="W726" s="22" t="s">
        <v>191</v>
      </c>
      <c r="X726" s="3"/>
      <c r="Y726" s="3"/>
      <c r="Z726" s="3" t="s">
        <v>52</v>
      </c>
      <c r="AA726" s="3"/>
      <c r="AB726" s="3"/>
      <c r="AC726" s="3" t="str">
        <f>HYPERLINK("https://knigipp.ru/api/getInfo/image/ceaa4ec7-0261-11eb-a255-ac1f6b442184")</f>
        <v>https://knigipp.ru/api/getInfo/image/ceaa4ec7-0261-11eb-a255-ac1f6b442184</v>
      </c>
      <c r="AD726" s="32">
        <v>104</v>
      </c>
      <c r="AE726" s="3"/>
      <c r="AF726" s="3" t="s">
        <v>55</v>
      </c>
      <c r="AG726" s="32">
        <v>70</v>
      </c>
      <c r="AH726" s="3" t="s">
        <v>56</v>
      </c>
      <c r="AI726" s="3"/>
      <c r="AJ726" s="3"/>
      <c r="AK726" s="3" t="str">
        <f>HYPERLINK("https://knigipp.ru/api/getInfo/item/ceaa4ec7-0261-11eb-a255-ac1f6b442184")</f>
        <v>https://knigipp.ru/api/getInfo/item/ceaa4ec7-0261-11eb-a255-ac1f6b442184</v>
      </c>
      <c r="AL726" s="3" t="s">
        <v>3194</v>
      </c>
    </row>
    <row r="727" spans="1:38" ht="21" customHeight="1" outlineLevel="4" x14ac:dyDescent="0.2">
      <c r="A727" s="2">
        <v>545</v>
      </c>
      <c r="B727" s="3" t="s">
        <v>3195</v>
      </c>
      <c r="C727" s="49" t="s">
        <v>3196</v>
      </c>
      <c r="D727" s="49"/>
      <c r="E727" s="49"/>
      <c r="F727" s="49"/>
      <c r="G727" s="4" t="s">
        <v>3197</v>
      </c>
      <c r="H727" s="8"/>
      <c r="I727" s="9" t="s">
        <v>3198</v>
      </c>
      <c r="J727" s="10"/>
      <c r="K727" s="11">
        <v>20</v>
      </c>
      <c r="L727" s="10"/>
      <c r="M727" s="10" t="s">
        <v>47</v>
      </c>
      <c r="N727" s="10"/>
      <c r="O727" s="2">
        <v>1</v>
      </c>
      <c r="P727" s="17">
        <f>107*(1-S3/100)</f>
        <v>107</v>
      </c>
      <c r="Q727" s="18"/>
      <c r="R727" s="10">
        <f>P727*Q727</f>
        <v>0</v>
      </c>
      <c r="S727" s="19">
        <f>0.105*Q727</f>
        <v>0</v>
      </c>
      <c r="T727" s="20">
        <f>0.00014*Q727</f>
        <v>0</v>
      </c>
      <c r="U727" s="21"/>
      <c r="V727" s="22" t="s">
        <v>3199</v>
      </c>
      <c r="W727" s="22" t="s">
        <v>191</v>
      </c>
      <c r="X727" s="3"/>
      <c r="Y727" s="3"/>
      <c r="Z727" s="3" t="s">
        <v>52</v>
      </c>
      <c r="AA727" s="3"/>
      <c r="AB727" s="3"/>
      <c r="AC727" s="3" t="str">
        <f>HYPERLINK("https://knigipp.ru/api/getInfo/image/5b1941c7-e899-11ec-a213-ac1f6b442185")</f>
        <v>https://knigipp.ru/api/getInfo/image/5b1941c7-e899-11ec-a213-ac1f6b442185</v>
      </c>
      <c r="AD727" s="32">
        <v>96</v>
      </c>
      <c r="AE727" s="3"/>
      <c r="AF727" s="3" t="s">
        <v>55</v>
      </c>
      <c r="AG727" s="32">
        <v>70</v>
      </c>
      <c r="AH727" s="3" t="s">
        <v>56</v>
      </c>
      <c r="AI727" s="3"/>
      <c r="AJ727" s="3"/>
      <c r="AK727" s="3" t="str">
        <f>HYPERLINK("https://knigipp.ru/api/getInfo/item/5b1941c7-e899-11ec-a213-ac1f6b442185")</f>
        <v>https://knigipp.ru/api/getInfo/item/5b1941c7-e899-11ec-a213-ac1f6b442185</v>
      </c>
      <c r="AL727" s="3" t="s">
        <v>3200</v>
      </c>
    </row>
    <row r="728" spans="1:38" ht="23.1" customHeight="1" outlineLevel="3" x14ac:dyDescent="0.2">
      <c r="A728" s="48" t="s">
        <v>3201</v>
      </c>
      <c r="B728" s="48"/>
      <c r="C728" s="48"/>
      <c r="D728" s="48"/>
      <c r="E728" s="48"/>
      <c r="F728" s="48"/>
    </row>
    <row r="729" spans="1:38" ht="21" customHeight="1" outlineLevel="4" x14ac:dyDescent="0.2">
      <c r="A729" s="2">
        <v>546</v>
      </c>
      <c r="B729" s="3" t="s">
        <v>3202</v>
      </c>
      <c r="C729" s="49" t="s">
        <v>3203</v>
      </c>
      <c r="D729" s="49"/>
      <c r="E729" s="49"/>
      <c r="F729" s="49"/>
      <c r="G729" s="4" t="s">
        <v>3204</v>
      </c>
      <c r="H729" s="8"/>
      <c r="I729" s="9" t="s">
        <v>3205</v>
      </c>
      <c r="J729" s="10"/>
      <c r="K729" s="11">
        <v>10</v>
      </c>
      <c r="L729" s="10"/>
      <c r="M729" s="10" t="s">
        <v>304</v>
      </c>
      <c r="N729" s="10"/>
      <c r="O729" s="2">
        <v>5</v>
      </c>
      <c r="P729" s="17">
        <f>167.58*(1-S3/100)</f>
        <v>167.58</v>
      </c>
      <c r="Q729" s="18"/>
      <c r="R729" s="10">
        <f>P729*Q729</f>
        <v>0</v>
      </c>
      <c r="S729" s="19">
        <f>0.248*Q729</f>
        <v>0</v>
      </c>
      <c r="T729" s="20">
        <f>0.00035*Q729</f>
        <v>0</v>
      </c>
      <c r="U729" s="21"/>
      <c r="V729" s="22" t="s">
        <v>3206</v>
      </c>
      <c r="W729" s="22" t="s">
        <v>191</v>
      </c>
      <c r="X729" s="3"/>
      <c r="Y729" s="3"/>
      <c r="Z729" s="3" t="s">
        <v>52</v>
      </c>
      <c r="AA729" s="3"/>
      <c r="AB729" s="3"/>
      <c r="AC729" s="3" t="str">
        <f>HYPERLINK("https://knigipp.ru/api/getInfo/image/6f9156bd-3be6-11ec-a20f-ac1f6b442185")</f>
        <v>https://knigipp.ru/api/getInfo/image/6f9156bd-3be6-11ec-a20f-ac1f6b442185</v>
      </c>
      <c r="AD729" s="32">
        <v>128</v>
      </c>
      <c r="AE729" s="3"/>
      <c r="AF729" s="3" t="s">
        <v>127</v>
      </c>
      <c r="AG729" s="32">
        <v>100</v>
      </c>
      <c r="AH729" s="3" t="s">
        <v>56</v>
      </c>
      <c r="AI729" s="3"/>
      <c r="AJ729" s="3"/>
      <c r="AK729" s="3" t="str">
        <f>HYPERLINK("https://knigipp.ru/api/getInfo/item/6f9156bd-3be6-11ec-a20f-ac1f6b442185")</f>
        <v>https://knigipp.ru/api/getInfo/item/6f9156bd-3be6-11ec-a20f-ac1f6b442185</v>
      </c>
      <c r="AL729" s="3" t="s">
        <v>3207</v>
      </c>
    </row>
    <row r="730" spans="1:38" ht="23.1" customHeight="1" outlineLevel="3" x14ac:dyDescent="0.2">
      <c r="A730" s="48" t="s">
        <v>3208</v>
      </c>
      <c r="B730" s="48"/>
      <c r="C730" s="48"/>
      <c r="D730" s="48"/>
      <c r="E730" s="48"/>
      <c r="F730" s="48"/>
    </row>
    <row r="731" spans="1:38" ht="21" customHeight="1" outlineLevel="4" x14ac:dyDescent="0.2">
      <c r="A731" s="2">
        <v>547</v>
      </c>
      <c r="B731" s="3" t="s">
        <v>3209</v>
      </c>
      <c r="C731" s="49" t="s">
        <v>3210</v>
      </c>
      <c r="D731" s="49"/>
      <c r="E731" s="49"/>
      <c r="F731" s="49"/>
      <c r="G731" s="4" t="s">
        <v>3211</v>
      </c>
      <c r="H731" s="8"/>
      <c r="I731" s="9" t="s">
        <v>3212</v>
      </c>
      <c r="J731" s="10"/>
      <c r="K731" s="11">
        <v>15</v>
      </c>
      <c r="L731" s="10"/>
      <c r="M731" s="10" t="s">
        <v>47</v>
      </c>
      <c r="N731" s="10"/>
      <c r="O731" s="2">
        <v>7</v>
      </c>
      <c r="P731" s="17">
        <f>99.86*(1-S3/100)</f>
        <v>99.86</v>
      </c>
      <c r="Q731" s="18"/>
      <c r="R731" s="10">
        <f>P731*Q731</f>
        <v>0</v>
      </c>
      <c r="S731" s="19">
        <f>0.153*Q731</f>
        <v>0</v>
      </c>
      <c r="T731" s="30">
        <f>0.0001*Q731</f>
        <v>0</v>
      </c>
      <c r="U731" s="21"/>
      <c r="V731" s="22" t="s">
        <v>3213</v>
      </c>
      <c r="W731" s="22" t="s">
        <v>191</v>
      </c>
      <c r="X731" s="3"/>
      <c r="Y731" s="3"/>
      <c r="Z731" s="3" t="s">
        <v>52</v>
      </c>
      <c r="AA731" s="3"/>
      <c r="AB731" s="3"/>
      <c r="AC731" s="3" t="str">
        <f>HYPERLINK("https://knigipp.ru/api/getInfo/image/8639a3e9-2a42-11eb-a25d-ac1f6b442184")</f>
        <v>https://knigipp.ru/api/getInfo/image/8639a3e9-2a42-11eb-a25d-ac1f6b442184</v>
      </c>
      <c r="AD731" s="32">
        <v>80</v>
      </c>
      <c r="AE731" s="3"/>
      <c r="AF731" s="3" t="s">
        <v>3214</v>
      </c>
      <c r="AG731" s="32">
        <v>70</v>
      </c>
      <c r="AH731" s="3" t="s">
        <v>56</v>
      </c>
      <c r="AI731" s="3"/>
      <c r="AJ731" s="3"/>
      <c r="AK731" s="3" t="str">
        <f>HYPERLINK("https://knigipp.ru/api/getInfo/item/8639a3e9-2a42-11eb-a25d-ac1f6b442184")</f>
        <v>https://knigipp.ru/api/getInfo/item/8639a3e9-2a42-11eb-a25d-ac1f6b442184</v>
      </c>
      <c r="AL731" s="3" t="s">
        <v>3215</v>
      </c>
    </row>
    <row r="732" spans="1:38" ht="21" customHeight="1" outlineLevel="4" x14ac:dyDescent="0.2">
      <c r="A732" s="2">
        <v>548</v>
      </c>
      <c r="B732" s="3" t="s">
        <v>3216</v>
      </c>
      <c r="C732" s="49" t="s">
        <v>3217</v>
      </c>
      <c r="D732" s="49"/>
      <c r="E732" s="49"/>
      <c r="F732" s="49"/>
      <c r="G732" s="4" t="s">
        <v>3218</v>
      </c>
      <c r="H732" s="8"/>
      <c r="I732" s="9" t="s">
        <v>3212</v>
      </c>
      <c r="J732" s="10"/>
      <c r="K732" s="11">
        <v>15</v>
      </c>
      <c r="L732" s="10"/>
      <c r="M732" s="10" t="s">
        <v>47</v>
      </c>
      <c r="N732" s="10"/>
      <c r="O732" s="2">
        <v>7</v>
      </c>
      <c r="P732" s="17">
        <f>99.86*(1-S3/100)</f>
        <v>99.86</v>
      </c>
      <c r="Q732" s="18"/>
      <c r="R732" s="10">
        <f>P732*Q732</f>
        <v>0</v>
      </c>
      <c r="S732" s="19">
        <f>0.153*Q732</f>
        <v>0</v>
      </c>
      <c r="T732" s="30">
        <f>0.0001*Q732</f>
        <v>0</v>
      </c>
      <c r="U732" s="21"/>
      <c r="V732" s="22" t="s">
        <v>3219</v>
      </c>
      <c r="W732" s="22" t="s">
        <v>191</v>
      </c>
      <c r="X732" s="3"/>
      <c r="Y732" s="3"/>
      <c r="Z732" s="3" t="s">
        <v>52</v>
      </c>
      <c r="AA732" s="3"/>
      <c r="AB732" s="3"/>
      <c r="AC732" s="3" t="str">
        <f>HYPERLINK("https://knigipp.ru/api/getInfo/image/53ced3b1-2a42-11eb-a25d-ac1f6b442184")</f>
        <v>https://knigipp.ru/api/getInfo/image/53ced3b1-2a42-11eb-a25d-ac1f6b442184</v>
      </c>
      <c r="AD732" s="32">
        <v>80</v>
      </c>
      <c r="AE732" s="3"/>
      <c r="AF732" s="3" t="s">
        <v>3214</v>
      </c>
      <c r="AG732" s="32">
        <v>70</v>
      </c>
      <c r="AH732" s="3" t="s">
        <v>56</v>
      </c>
      <c r="AI732" s="3"/>
      <c r="AJ732" s="3"/>
      <c r="AK732" s="3" t="str">
        <f>HYPERLINK("https://knigipp.ru/api/getInfo/item/53ced3b1-2a42-11eb-a25d-ac1f6b442184")</f>
        <v>https://knigipp.ru/api/getInfo/item/53ced3b1-2a42-11eb-a25d-ac1f6b442184</v>
      </c>
      <c r="AL732" s="3" t="s">
        <v>3215</v>
      </c>
    </row>
    <row r="733" spans="1:38" ht="23.1" customHeight="1" outlineLevel="3" x14ac:dyDescent="0.2">
      <c r="A733" s="48" t="s">
        <v>3220</v>
      </c>
      <c r="B733" s="48"/>
      <c r="C733" s="48"/>
      <c r="D733" s="48"/>
      <c r="E733" s="48"/>
      <c r="F733" s="48"/>
    </row>
    <row r="734" spans="1:38" ht="21" customHeight="1" outlineLevel="4" x14ac:dyDescent="0.2">
      <c r="A734" s="2">
        <v>549</v>
      </c>
      <c r="B734" s="3" t="s">
        <v>3221</v>
      </c>
      <c r="C734" s="49" t="s">
        <v>3222</v>
      </c>
      <c r="D734" s="49"/>
      <c r="E734" s="49"/>
      <c r="F734" s="49"/>
      <c r="G734" s="4" t="s">
        <v>3223</v>
      </c>
      <c r="H734" s="8"/>
      <c r="I734" s="9" t="s">
        <v>3224</v>
      </c>
      <c r="J734" s="10"/>
      <c r="K734" s="11">
        <v>10</v>
      </c>
      <c r="L734" s="10"/>
      <c r="M734" s="10" t="s">
        <v>304</v>
      </c>
      <c r="N734" s="10"/>
      <c r="O734" s="2">
        <v>3</v>
      </c>
      <c r="P734" s="17">
        <f>220.34*(1-S3/100)</f>
        <v>220.34</v>
      </c>
      <c r="Q734" s="18"/>
      <c r="R734" s="10">
        <f>P734*Q734</f>
        <v>0</v>
      </c>
      <c r="S734" s="28">
        <f>0.28*Q734</f>
        <v>0</v>
      </c>
      <c r="T734" s="20">
        <f>0.00015*Q734</f>
        <v>0</v>
      </c>
      <c r="U734" s="21"/>
      <c r="V734" s="22" t="s">
        <v>3225</v>
      </c>
      <c r="W734" s="22" t="s">
        <v>191</v>
      </c>
      <c r="X734" s="3"/>
      <c r="Y734" s="3"/>
      <c r="Z734" s="3" t="s">
        <v>52</v>
      </c>
      <c r="AA734" s="3"/>
      <c r="AB734" s="3"/>
      <c r="AC734" s="3" t="str">
        <f>HYPERLINK("https://knigipp.ru/api/getInfo/image/47e1d34f-9227-11eb-a233-0cc47a2bbb49")</f>
        <v>https://knigipp.ru/api/getInfo/image/47e1d34f-9227-11eb-a233-0cc47a2bbb49</v>
      </c>
      <c r="AD734" s="32">
        <v>144</v>
      </c>
      <c r="AE734" s="3"/>
      <c r="AF734" s="3" t="s">
        <v>127</v>
      </c>
      <c r="AG734" s="32">
        <v>100</v>
      </c>
      <c r="AH734" s="3" t="s">
        <v>56</v>
      </c>
      <c r="AI734" s="3"/>
      <c r="AJ734" s="3"/>
      <c r="AK734" s="3" t="str">
        <f>HYPERLINK("https://knigipp.ru/api/getInfo/item/47e1d34f-9227-11eb-a233-0cc47a2bbb49")</f>
        <v>https://knigipp.ru/api/getInfo/item/47e1d34f-9227-11eb-a233-0cc47a2bbb49</v>
      </c>
      <c r="AL734" s="3" t="s">
        <v>2859</v>
      </c>
    </row>
    <row r="735" spans="1:38" ht="23.1" customHeight="1" outlineLevel="3" x14ac:dyDescent="0.2">
      <c r="A735" s="48" t="s">
        <v>3226</v>
      </c>
      <c r="B735" s="48"/>
      <c r="C735" s="48"/>
      <c r="D735" s="48"/>
      <c r="E735" s="48"/>
      <c r="F735" s="48"/>
    </row>
    <row r="736" spans="1:38" ht="21" customHeight="1" outlineLevel="4" x14ac:dyDescent="0.2">
      <c r="A736" s="2">
        <v>550</v>
      </c>
      <c r="B736" s="3" t="s">
        <v>3227</v>
      </c>
      <c r="C736" s="49" t="s">
        <v>3228</v>
      </c>
      <c r="D736" s="49"/>
      <c r="E736" s="49"/>
      <c r="F736" s="49"/>
      <c r="G736" s="4" t="s">
        <v>3229</v>
      </c>
      <c r="H736" s="8"/>
      <c r="I736" s="9" t="s">
        <v>3230</v>
      </c>
      <c r="J736" s="10"/>
      <c r="K736" s="11">
        <v>20</v>
      </c>
      <c r="L736" s="10"/>
      <c r="M736" s="10" t="s">
        <v>304</v>
      </c>
      <c r="N736" s="10"/>
      <c r="O736" s="2">
        <v>5</v>
      </c>
      <c r="P736" s="17">
        <f>163*(1-S3/100)</f>
        <v>163</v>
      </c>
      <c r="Q736" s="18"/>
      <c r="R736" s="10">
        <f>P736*Q736</f>
        <v>0</v>
      </c>
      <c r="S736" s="28">
        <f>0.22*Q736</f>
        <v>0</v>
      </c>
      <c r="T736" s="20">
        <f>0.00028*Q736</f>
        <v>0</v>
      </c>
      <c r="U736" s="21"/>
      <c r="V736" s="22" t="s">
        <v>3231</v>
      </c>
      <c r="W736" s="22" t="s">
        <v>191</v>
      </c>
      <c r="X736" s="3"/>
      <c r="Y736" s="3"/>
      <c r="Z736" s="3" t="s">
        <v>52</v>
      </c>
      <c r="AA736" s="3"/>
      <c r="AB736" s="3"/>
      <c r="AC736" s="3" t="str">
        <f>HYPERLINK("https://knigipp.ru/api/getInfo/image/970b3c79-eb7b-11ea-a254-ac1f6b442184")</f>
        <v>https://knigipp.ru/api/getInfo/image/970b3c79-eb7b-11ea-a254-ac1f6b442184</v>
      </c>
      <c r="AD736" s="32">
        <v>128</v>
      </c>
      <c r="AE736" s="3"/>
      <c r="AF736" s="3" t="s">
        <v>55</v>
      </c>
      <c r="AG736" s="32">
        <v>100</v>
      </c>
      <c r="AH736" s="3" t="s">
        <v>56</v>
      </c>
      <c r="AI736" s="3"/>
      <c r="AJ736" s="3"/>
      <c r="AK736" s="3" t="str">
        <f>HYPERLINK("https://knigipp.ru/api/getInfo/item/970b3c79-eb7b-11ea-a254-ac1f6b442184")</f>
        <v>https://knigipp.ru/api/getInfo/item/970b3c79-eb7b-11ea-a254-ac1f6b442184</v>
      </c>
      <c r="AL736" s="3" t="s">
        <v>3232</v>
      </c>
    </row>
    <row r="737" spans="1:38" ht="23.1" customHeight="1" outlineLevel="3" x14ac:dyDescent="0.2">
      <c r="A737" s="48" t="s">
        <v>3233</v>
      </c>
      <c r="B737" s="48"/>
      <c r="C737" s="48"/>
      <c r="D737" s="48"/>
      <c r="E737" s="48"/>
      <c r="F737" s="48"/>
    </row>
    <row r="738" spans="1:38" ht="21" customHeight="1" outlineLevel="4" x14ac:dyDescent="0.2">
      <c r="A738" s="2">
        <v>551</v>
      </c>
      <c r="B738" s="3" t="s">
        <v>3234</v>
      </c>
      <c r="C738" s="49" t="s">
        <v>3235</v>
      </c>
      <c r="D738" s="49"/>
      <c r="E738" s="49"/>
      <c r="F738" s="49"/>
      <c r="G738" s="4" t="s">
        <v>3236</v>
      </c>
      <c r="H738" s="8"/>
      <c r="I738" s="9" t="s">
        <v>3237</v>
      </c>
      <c r="J738" s="10"/>
      <c r="K738" s="11">
        <v>20</v>
      </c>
      <c r="L738" s="10"/>
      <c r="M738" s="10" t="s">
        <v>304</v>
      </c>
      <c r="N738" s="10"/>
      <c r="O738" s="2">
        <v>3</v>
      </c>
      <c r="P738" s="17">
        <f>284.66*(1-S3/100)</f>
        <v>284.66000000000003</v>
      </c>
      <c r="Q738" s="18"/>
      <c r="R738" s="10">
        <f>P738*Q738</f>
        <v>0</v>
      </c>
      <c r="S738" s="28">
        <f>0.33*Q738</f>
        <v>0</v>
      </c>
      <c r="T738" s="20">
        <f>0.00066*Q738</f>
        <v>0</v>
      </c>
      <c r="U738" s="21"/>
      <c r="V738" s="22" t="s">
        <v>3238</v>
      </c>
      <c r="W738" s="22" t="s">
        <v>191</v>
      </c>
      <c r="X738" s="3"/>
      <c r="Y738" s="3"/>
      <c r="Z738" s="3" t="s">
        <v>52</v>
      </c>
      <c r="AA738" s="3"/>
      <c r="AB738" s="3"/>
      <c r="AC738" s="3" t="str">
        <f>HYPERLINK("https://knigipp.ru/api/getInfo/image/71592b8c-5360-11ec-a20f-ac1f6b442185")</f>
        <v>https://knigipp.ru/api/getInfo/image/71592b8c-5360-11ec-a20f-ac1f6b442185</v>
      </c>
      <c r="AD738" s="32">
        <v>192</v>
      </c>
      <c r="AE738" s="3"/>
      <c r="AF738" s="3" t="s">
        <v>127</v>
      </c>
      <c r="AG738" s="32">
        <v>70</v>
      </c>
      <c r="AH738" s="3" t="s">
        <v>56</v>
      </c>
      <c r="AI738" s="3"/>
      <c r="AJ738" s="3"/>
      <c r="AK738" s="3" t="str">
        <f>HYPERLINK("https://knigipp.ru/api/getInfo/item/71592b8c-5360-11ec-a20f-ac1f6b442185")</f>
        <v>https://knigipp.ru/api/getInfo/item/71592b8c-5360-11ec-a20f-ac1f6b442185</v>
      </c>
      <c r="AL738" s="3" t="s">
        <v>3239</v>
      </c>
    </row>
    <row r="739" spans="1:38" ht="21" customHeight="1" outlineLevel="4" x14ac:dyDescent="0.2">
      <c r="A739" s="2">
        <v>552</v>
      </c>
      <c r="B739" s="3" t="s">
        <v>3240</v>
      </c>
      <c r="C739" s="49" t="s">
        <v>3241</v>
      </c>
      <c r="D739" s="49"/>
      <c r="E739" s="49"/>
      <c r="F739" s="49"/>
      <c r="G739" s="4" t="s">
        <v>3242</v>
      </c>
      <c r="H739" s="8"/>
      <c r="I739" s="9" t="s">
        <v>3237</v>
      </c>
      <c r="J739" s="10"/>
      <c r="K739" s="11">
        <v>20</v>
      </c>
      <c r="L739" s="10"/>
      <c r="M739" s="10" t="s">
        <v>304</v>
      </c>
      <c r="N739" s="10"/>
      <c r="O739" s="2">
        <v>3</v>
      </c>
      <c r="P739" s="17">
        <f>284.66*(1-S3/100)</f>
        <v>284.66000000000003</v>
      </c>
      <c r="Q739" s="18"/>
      <c r="R739" s="10">
        <f>P739*Q739</f>
        <v>0</v>
      </c>
      <c r="S739" s="10">
        <v>0</v>
      </c>
      <c r="T739" s="10">
        <v>0</v>
      </c>
      <c r="U739" s="21"/>
      <c r="V739" s="22" t="s">
        <v>3243</v>
      </c>
      <c r="W739" s="22" t="s">
        <v>191</v>
      </c>
      <c r="X739" s="3"/>
      <c r="Y739" s="3"/>
      <c r="Z739" s="3" t="s">
        <v>52</v>
      </c>
      <c r="AA739" s="3"/>
      <c r="AB739" s="3"/>
      <c r="AC739" s="3" t="str">
        <f>HYPERLINK("https://knigipp.ru/api/getInfo/image/4dee041b-5360-11ec-a20f-ac1f6b442185")</f>
        <v>https://knigipp.ru/api/getInfo/image/4dee041b-5360-11ec-a20f-ac1f6b442185</v>
      </c>
      <c r="AD739" s="32">
        <v>192</v>
      </c>
      <c r="AE739" s="3"/>
      <c r="AF739" s="3" t="s">
        <v>127</v>
      </c>
      <c r="AG739" s="32">
        <v>70</v>
      </c>
      <c r="AH739" s="3" t="s">
        <v>56</v>
      </c>
      <c r="AI739" s="3"/>
      <c r="AJ739" s="3"/>
      <c r="AK739" s="3" t="str">
        <f>HYPERLINK("https://knigipp.ru/api/getInfo/item/4dee041b-5360-11ec-a20f-ac1f6b442185")</f>
        <v>https://knigipp.ru/api/getInfo/item/4dee041b-5360-11ec-a20f-ac1f6b442185</v>
      </c>
      <c r="AL739" s="3" t="s">
        <v>3239</v>
      </c>
    </row>
    <row r="740" spans="1:38" ht="23.1" customHeight="1" outlineLevel="2" x14ac:dyDescent="0.2">
      <c r="A740" s="47" t="s">
        <v>3244</v>
      </c>
      <c r="B740" s="47"/>
      <c r="C740" s="47"/>
      <c r="D740" s="47"/>
      <c r="E740" s="47"/>
      <c r="F740" s="47"/>
    </row>
    <row r="741" spans="1:38" ht="23.1" customHeight="1" outlineLevel="3" x14ac:dyDescent="0.2">
      <c r="A741" s="48" t="s">
        <v>3245</v>
      </c>
      <c r="B741" s="48"/>
      <c r="C741" s="48"/>
      <c r="D741" s="48"/>
      <c r="E741" s="48"/>
      <c r="F741" s="48"/>
    </row>
    <row r="742" spans="1:38" ht="21" customHeight="1" outlineLevel="4" x14ac:dyDescent="0.2">
      <c r="A742" s="2">
        <v>553</v>
      </c>
      <c r="B742" s="3" t="s">
        <v>3246</v>
      </c>
      <c r="C742" s="49" t="s">
        <v>3247</v>
      </c>
      <c r="D742" s="49"/>
      <c r="E742" s="49"/>
      <c r="F742" s="49"/>
      <c r="G742" s="4" t="s">
        <v>3248</v>
      </c>
      <c r="H742" s="8"/>
      <c r="I742" s="9" t="s">
        <v>3249</v>
      </c>
      <c r="J742" s="10"/>
      <c r="K742" s="11">
        <v>12</v>
      </c>
      <c r="L742" s="10"/>
      <c r="M742" s="10" t="s">
        <v>47</v>
      </c>
      <c r="N742" s="10"/>
      <c r="O742" s="2">
        <v>2</v>
      </c>
      <c r="P742" s="17">
        <f>299*(1-S3/100)</f>
        <v>299</v>
      </c>
      <c r="Q742" s="18"/>
      <c r="R742" s="10">
        <f>P742*Q742</f>
        <v>0</v>
      </c>
      <c r="S742" s="19">
        <f>4.527*Q742</f>
        <v>0</v>
      </c>
      <c r="T742" s="20">
        <f>0.04438*Q742</f>
        <v>0</v>
      </c>
      <c r="U742" s="21"/>
      <c r="V742" s="22" t="s">
        <v>3250</v>
      </c>
      <c r="W742" s="22" t="s">
        <v>49</v>
      </c>
      <c r="X742" s="3"/>
      <c r="Y742" s="3"/>
      <c r="Z742" s="3" t="s">
        <v>52</v>
      </c>
      <c r="AA742" s="3" t="s">
        <v>3251</v>
      </c>
      <c r="AB742" s="3"/>
      <c r="AC742" s="3" t="str">
        <f>HYPERLINK("https://knigipp.ru/api/getInfo/image/b6008dac-cc08-11e2-b085-003048670413")</f>
        <v>https://knigipp.ru/api/getInfo/image/b6008dac-cc08-11e2-b085-003048670413</v>
      </c>
      <c r="AD742" s="32">
        <v>32</v>
      </c>
      <c r="AE742" s="3"/>
      <c r="AF742" s="3" t="s">
        <v>127</v>
      </c>
      <c r="AG742" s="3"/>
      <c r="AH742" s="3" t="s">
        <v>56</v>
      </c>
      <c r="AI742" s="3"/>
      <c r="AJ742" s="3" t="s">
        <v>3252</v>
      </c>
      <c r="AK742" s="3" t="str">
        <f>HYPERLINK("https://knigipp.ru/api/getInfo/item/b6008dac-cc08-11e2-b085-003048670413")</f>
        <v>https://knigipp.ru/api/getInfo/item/b6008dac-cc08-11e2-b085-003048670413</v>
      </c>
      <c r="AL742" s="3" t="s">
        <v>3253</v>
      </c>
    </row>
    <row r="743" spans="1:38" ht="21" customHeight="1" outlineLevel="4" x14ac:dyDescent="0.2">
      <c r="A743" s="2">
        <v>554</v>
      </c>
      <c r="B743" s="3" t="s">
        <v>3254</v>
      </c>
      <c r="C743" s="49" t="s">
        <v>3255</v>
      </c>
      <c r="D743" s="49"/>
      <c r="E743" s="49"/>
      <c r="F743" s="49"/>
      <c r="G743" s="4" t="s">
        <v>3256</v>
      </c>
      <c r="H743" s="8"/>
      <c r="I743" s="9" t="s">
        <v>3249</v>
      </c>
      <c r="J743" s="10"/>
      <c r="K743" s="11">
        <v>12</v>
      </c>
      <c r="L743" s="10"/>
      <c r="M743" s="10" t="s">
        <v>47</v>
      </c>
      <c r="N743" s="10"/>
      <c r="O743" s="2">
        <v>2</v>
      </c>
      <c r="P743" s="17">
        <f>299*(1-S3/100)</f>
        <v>299</v>
      </c>
      <c r="Q743" s="18"/>
      <c r="R743" s="10">
        <f>P743*Q743</f>
        <v>0</v>
      </c>
      <c r="S743" s="28">
        <f>0.27*Q743</f>
        <v>0</v>
      </c>
      <c r="T743" s="20">
        <f>0.00052*Q743</f>
        <v>0</v>
      </c>
      <c r="U743" s="21"/>
      <c r="V743" s="22" t="s">
        <v>3257</v>
      </c>
      <c r="W743" s="22" t="s">
        <v>49</v>
      </c>
      <c r="X743" s="3"/>
      <c r="Y743" s="3"/>
      <c r="Z743" s="3" t="s">
        <v>52</v>
      </c>
      <c r="AA743" s="3" t="s">
        <v>3251</v>
      </c>
      <c r="AB743" s="3"/>
      <c r="AC743" s="3" t="str">
        <f>HYPERLINK("https://knigipp.ru/api/getInfo/image/717d426c-cd9a-11e2-b085-003048670413")</f>
        <v>https://knigipp.ru/api/getInfo/image/717d426c-cd9a-11e2-b085-003048670413</v>
      </c>
      <c r="AD743" s="32">
        <v>32</v>
      </c>
      <c r="AE743" s="3"/>
      <c r="AF743" s="3" t="s">
        <v>127</v>
      </c>
      <c r="AG743" s="3"/>
      <c r="AH743" s="3" t="s">
        <v>56</v>
      </c>
      <c r="AI743" s="3"/>
      <c r="AJ743" s="3" t="s">
        <v>3252</v>
      </c>
      <c r="AK743" s="3" t="str">
        <f>HYPERLINK("https://knigipp.ru/api/getInfo/item/717d426c-cd9a-11e2-b085-003048670413")</f>
        <v>https://knigipp.ru/api/getInfo/item/717d426c-cd9a-11e2-b085-003048670413</v>
      </c>
      <c r="AL743" s="3" t="s">
        <v>3253</v>
      </c>
    </row>
    <row r="744" spans="1:38" ht="21" customHeight="1" outlineLevel="4" x14ac:dyDescent="0.2">
      <c r="A744" s="2">
        <v>555</v>
      </c>
      <c r="B744" s="3" t="s">
        <v>3258</v>
      </c>
      <c r="C744" s="49" t="s">
        <v>3259</v>
      </c>
      <c r="D744" s="49"/>
      <c r="E744" s="49"/>
      <c r="F744" s="49"/>
      <c r="G744" s="4" t="s">
        <v>3260</v>
      </c>
      <c r="H744" s="8"/>
      <c r="I744" s="9" t="s">
        <v>3249</v>
      </c>
      <c r="J744" s="10"/>
      <c r="K744" s="11">
        <v>12</v>
      </c>
      <c r="L744" s="10"/>
      <c r="M744" s="10" t="s">
        <v>78</v>
      </c>
      <c r="N744" s="10"/>
      <c r="O744" s="2">
        <v>2</v>
      </c>
      <c r="P744" s="17">
        <f>349*(1-S3/100)</f>
        <v>349</v>
      </c>
      <c r="Q744" s="18"/>
      <c r="R744" s="10">
        <f>P744*Q744</f>
        <v>0</v>
      </c>
      <c r="S744" s="19">
        <f>0.383*Q744</f>
        <v>0</v>
      </c>
      <c r="T744" s="20">
        <f>0.00044*Q744</f>
        <v>0</v>
      </c>
      <c r="U744" s="21"/>
      <c r="V744" s="22" t="s">
        <v>3261</v>
      </c>
      <c r="W744" s="22" t="s">
        <v>49</v>
      </c>
      <c r="X744" s="3"/>
      <c r="Y744" s="3"/>
      <c r="Z744" s="3" t="s">
        <v>52</v>
      </c>
      <c r="AA744" s="3" t="s">
        <v>3262</v>
      </c>
      <c r="AB744" s="3"/>
      <c r="AC744" s="3" t="str">
        <f>HYPERLINK("https://knigipp.ru/api/getInfo/image/3400da9f-34c8-11e3-8b8b-5cf3fc4a2490")</f>
        <v>https://knigipp.ru/api/getInfo/image/3400da9f-34c8-11e3-8b8b-5cf3fc4a2490</v>
      </c>
      <c r="AD744" s="32">
        <v>48</v>
      </c>
      <c r="AE744" s="3"/>
      <c r="AF744" s="3" t="s">
        <v>127</v>
      </c>
      <c r="AG744" s="3"/>
      <c r="AH744" s="3" t="s">
        <v>56</v>
      </c>
      <c r="AI744" s="3"/>
      <c r="AJ744" s="3" t="s">
        <v>3252</v>
      </c>
      <c r="AK744" s="3" t="str">
        <f>HYPERLINK("https://knigipp.ru/api/getInfo/item/3400da9f-34c8-11e3-8b8b-5cf3fc4a2490")</f>
        <v>https://knigipp.ru/api/getInfo/item/3400da9f-34c8-11e3-8b8b-5cf3fc4a2490</v>
      </c>
      <c r="AL744" s="3" t="s">
        <v>3253</v>
      </c>
    </row>
    <row r="745" spans="1:38" ht="23.1" customHeight="1" outlineLevel="3" x14ac:dyDescent="0.2">
      <c r="A745" s="48" t="s">
        <v>3263</v>
      </c>
      <c r="B745" s="48"/>
      <c r="C745" s="48"/>
      <c r="D745" s="48"/>
      <c r="E745" s="48"/>
      <c r="F745" s="48"/>
    </row>
    <row r="746" spans="1:38" ht="21" customHeight="1" outlineLevel="4" x14ac:dyDescent="0.2">
      <c r="A746" s="2">
        <v>556</v>
      </c>
      <c r="B746" s="3" t="s">
        <v>3264</v>
      </c>
      <c r="C746" s="49" t="s">
        <v>3265</v>
      </c>
      <c r="D746" s="49"/>
      <c r="E746" s="49"/>
      <c r="F746" s="49"/>
      <c r="G746" s="4" t="s">
        <v>3266</v>
      </c>
      <c r="H746" s="8"/>
      <c r="I746" s="9" t="s">
        <v>3267</v>
      </c>
      <c r="J746" s="10"/>
      <c r="K746" s="11">
        <v>10</v>
      </c>
      <c r="L746" s="10"/>
      <c r="M746" s="10" t="s">
        <v>47</v>
      </c>
      <c r="N746" s="10"/>
      <c r="O746" s="2">
        <v>2</v>
      </c>
      <c r="P746" s="17">
        <f>449*(1-S3/100)</f>
        <v>449</v>
      </c>
      <c r="Q746" s="18"/>
      <c r="R746" s="10">
        <f>P746*Q746</f>
        <v>0</v>
      </c>
      <c r="S746" s="19">
        <f>0.381*Q746</f>
        <v>0</v>
      </c>
      <c r="T746" s="20">
        <f>0.00082*Q746</f>
        <v>0</v>
      </c>
      <c r="U746" s="21"/>
      <c r="V746" s="22" t="s">
        <v>3268</v>
      </c>
      <c r="W746" s="22" t="s">
        <v>49</v>
      </c>
      <c r="X746" s="3"/>
      <c r="Y746" s="3"/>
      <c r="Z746" s="3" t="s">
        <v>52</v>
      </c>
      <c r="AA746" s="3"/>
      <c r="AB746" s="3"/>
      <c r="AC746" s="3" t="str">
        <f>HYPERLINK("https://knigipp.ru/api/getInfo/image/23ed4ec1-3b17-11ec-a20f-ac1f6b442185")</f>
        <v>https://knigipp.ru/api/getInfo/image/23ed4ec1-3b17-11ec-a20f-ac1f6b442185</v>
      </c>
      <c r="AD746" s="32">
        <v>48</v>
      </c>
      <c r="AE746" s="3"/>
      <c r="AF746" s="3" t="s">
        <v>127</v>
      </c>
      <c r="AG746" s="3"/>
      <c r="AH746" s="3" t="s">
        <v>56</v>
      </c>
      <c r="AI746" s="3"/>
      <c r="AJ746" s="3"/>
      <c r="AK746" s="3" t="str">
        <f>HYPERLINK("https://knigipp.ru/api/getInfo/item/23ed4ec1-3b17-11ec-a20f-ac1f6b442185")</f>
        <v>https://knigipp.ru/api/getInfo/item/23ed4ec1-3b17-11ec-a20f-ac1f6b442185</v>
      </c>
      <c r="AL746" s="3" t="s">
        <v>3269</v>
      </c>
    </row>
    <row r="747" spans="1:38" ht="21" customHeight="1" outlineLevel="4" x14ac:dyDescent="0.2">
      <c r="A747" s="2">
        <v>557</v>
      </c>
      <c r="B747" s="3" t="s">
        <v>3270</v>
      </c>
      <c r="C747" s="49" t="s">
        <v>3271</v>
      </c>
      <c r="D747" s="49"/>
      <c r="E747" s="49"/>
      <c r="F747" s="49"/>
      <c r="G747" s="4" t="s">
        <v>3272</v>
      </c>
      <c r="H747" s="8"/>
      <c r="I747" s="9" t="s">
        <v>3267</v>
      </c>
      <c r="J747" s="10"/>
      <c r="K747" s="11">
        <v>10</v>
      </c>
      <c r="L747" s="10"/>
      <c r="M747" s="10" t="s">
        <v>47</v>
      </c>
      <c r="N747" s="10"/>
      <c r="O747" s="2">
        <v>1</v>
      </c>
      <c r="P747" s="17">
        <f>547*(1-S3/100)</f>
        <v>547</v>
      </c>
      <c r="Q747" s="18"/>
      <c r="R747" s="10">
        <f>P747*Q747</f>
        <v>0</v>
      </c>
      <c r="S747" s="19">
        <f>0.395*Q747</f>
        <v>0</v>
      </c>
      <c r="T747" s="30">
        <f>0.0011*Q747</f>
        <v>0</v>
      </c>
      <c r="U747" s="21"/>
      <c r="V747" s="22" t="s">
        <v>3273</v>
      </c>
      <c r="W747" s="22" t="s">
        <v>49</v>
      </c>
      <c r="X747" s="3"/>
      <c r="Y747" s="3"/>
      <c r="Z747" s="3" t="s">
        <v>52</v>
      </c>
      <c r="AA747" s="3"/>
      <c r="AB747" s="3"/>
      <c r="AC747" s="3" t="str">
        <f>HYPERLINK("https://knigipp.ru/api/getInfo/image/c055e651-3b17-11ec-a20f-ac1f6b442185")</f>
        <v>https://knigipp.ru/api/getInfo/image/c055e651-3b17-11ec-a20f-ac1f6b442185</v>
      </c>
      <c r="AD747" s="32">
        <v>48</v>
      </c>
      <c r="AE747" s="3"/>
      <c r="AF747" s="3" t="s">
        <v>127</v>
      </c>
      <c r="AG747" s="3"/>
      <c r="AH747" s="3" t="s">
        <v>56</v>
      </c>
      <c r="AI747" s="3"/>
      <c r="AJ747" s="3"/>
      <c r="AK747" s="3" t="str">
        <f>HYPERLINK("https://knigipp.ru/api/getInfo/item/c055e651-3b17-11ec-a20f-ac1f6b442185")</f>
        <v>https://knigipp.ru/api/getInfo/item/c055e651-3b17-11ec-a20f-ac1f6b442185</v>
      </c>
      <c r="AL747" s="3" t="s">
        <v>3269</v>
      </c>
    </row>
    <row r="748" spans="1:38" ht="23.1" customHeight="1" outlineLevel="3" x14ac:dyDescent="0.2">
      <c r="A748" s="48" t="s">
        <v>3274</v>
      </c>
      <c r="B748" s="48"/>
      <c r="C748" s="48"/>
      <c r="D748" s="48"/>
      <c r="E748" s="48"/>
      <c r="F748" s="48"/>
    </row>
    <row r="749" spans="1:38" ht="21" customHeight="1" outlineLevel="4" x14ac:dyDescent="0.2">
      <c r="A749" s="2">
        <v>558</v>
      </c>
      <c r="B749" s="3" t="s">
        <v>3275</v>
      </c>
      <c r="C749" s="49" t="s">
        <v>3276</v>
      </c>
      <c r="D749" s="49"/>
      <c r="E749" s="49"/>
      <c r="F749" s="49"/>
      <c r="G749" s="4" t="s">
        <v>3277</v>
      </c>
      <c r="H749" s="8"/>
      <c r="I749" s="9" t="s">
        <v>3278</v>
      </c>
      <c r="J749" s="10"/>
      <c r="K749" s="11">
        <v>10</v>
      </c>
      <c r="L749" s="10"/>
      <c r="M749" s="10" t="s">
        <v>78</v>
      </c>
      <c r="N749" s="10"/>
      <c r="O749" s="2">
        <v>1</v>
      </c>
      <c r="P749" s="17">
        <f>499*(1-S3/100)</f>
        <v>499</v>
      </c>
      <c r="Q749" s="18"/>
      <c r="R749" s="10">
        <f>P749*Q749</f>
        <v>0</v>
      </c>
      <c r="S749" s="19">
        <f>0.205*Q749</f>
        <v>0</v>
      </c>
      <c r="T749" s="20">
        <f>0.00029*Q749</f>
        <v>0</v>
      </c>
      <c r="U749" s="21"/>
      <c r="V749" s="22" t="s">
        <v>3279</v>
      </c>
      <c r="W749" s="22" t="s">
        <v>191</v>
      </c>
      <c r="X749" s="3"/>
      <c r="Y749" s="3" t="s">
        <v>3280</v>
      </c>
      <c r="Z749" s="3" t="s">
        <v>52</v>
      </c>
      <c r="AA749" s="3"/>
      <c r="AB749" s="3"/>
      <c r="AC749" s="3" t="str">
        <f>HYPERLINK("https://knigipp.ru/api/getInfo/image/6dced12a-e552-11f0-a28c-00155d82e908")</f>
        <v>https://knigipp.ru/api/getInfo/image/6dced12a-e552-11f0-a28c-00155d82e908</v>
      </c>
      <c r="AD749" s="32">
        <v>48</v>
      </c>
      <c r="AE749" s="3" t="s">
        <v>1406</v>
      </c>
      <c r="AF749" s="3" t="s">
        <v>127</v>
      </c>
      <c r="AG749" s="3"/>
      <c r="AH749" s="3" t="s">
        <v>56</v>
      </c>
      <c r="AI749" s="3"/>
      <c r="AJ749" s="3"/>
      <c r="AK749" s="3" t="str">
        <f>HYPERLINK("https://knigipp.ru/api/getInfo/item/6dced12a-e552-11f0-a28c-00155d82e908")</f>
        <v>https://knigipp.ru/api/getInfo/item/6dced12a-e552-11f0-a28c-00155d82e908</v>
      </c>
      <c r="AL749" s="3" t="s">
        <v>3281</v>
      </c>
    </row>
    <row r="750" spans="1:38" ht="21" customHeight="1" outlineLevel="4" x14ac:dyDescent="0.2">
      <c r="A750" s="2">
        <v>559</v>
      </c>
      <c r="B750" s="3" t="s">
        <v>3282</v>
      </c>
      <c r="C750" s="49" t="s">
        <v>3283</v>
      </c>
      <c r="D750" s="49"/>
      <c r="E750" s="49"/>
      <c r="F750" s="49"/>
      <c r="G750" s="4" t="s">
        <v>3284</v>
      </c>
      <c r="H750" s="8"/>
      <c r="I750" s="9" t="s">
        <v>3278</v>
      </c>
      <c r="J750" s="10"/>
      <c r="K750" s="11">
        <v>10</v>
      </c>
      <c r="L750" s="10"/>
      <c r="M750" s="10" t="s">
        <v>78</v>
      </c>
      <c r="N750" s="10"/>
      <c r="O750" s="2">
        <v>1</v>
      </c>
      <c r="P750" s="17">
        <f>499*(1-S3/100)</f>
        <v>499</v>
      </c>
      <c r="Q750" s="18"/>
      <c r="R750" s="10">
        <f>P750*Q750</f>
        <v>0</v>
      </c>
      <c r="S750" s="19">
        <f>0.209*Q750</f>
        <v>0</v>
      </c>
      <c r="T750" s="30">
        <f>0.0003*Q750</f>
        <v>0</v>
      </c>
      <c r="U750" s="21"/>
      <c r="V750" s="22" t="s">
        <v>3285</v>
      </c>
      <c r="W750" s="22" t="s">
        <v>191</v>
      </c>
      <c r="X750" s="3"/>
      <c r="Y750" s="3" t="s">
        <v>3280</v>
      </c>
      <c r="Z750" s="3" t="s">
        <v>52</v>
      </c>
      <c r="AA750" s="3"/>
      <c r="AB750" s="3"/>
      <c r="AC750" s="3" t="str">
        <f>HYPERLINK("https://knigipp.ru/api/getInfo/image/cb0daa72-e552-11f0-a28c-00155d82e908")</f>
        <v>https://knigipp.ru/api/getInfo/image/cb0daa72-e552-11f0-a28c-00155d82e908</v>
      </c>
      <c r="AD750" s="32">
        <v>48</v>
      </c>
      <c r="AE750" s="3" t="s">
        <v>1406</v>
      </c>
      <c r="AF750" s="3" t="s">
        <v>127</v>
      </c>
      <c r="AG750" s="3"/>
      <c r="AH750" s="3" t="s">
        <v>56</v>
      </c>
      <c r="AI750" s="3"/>
      <c r="AJ750" s="3"/>
      <c r="AK750" s="3" t="str">
        <f>HYPERLINK("https://knigipp.ru/api/getInfo/item/cb0daa72-e552-11f0-a28c-00155d82e908")</f>
        <v>https://knigipp.ru/api/getInfo/item/cb0daa72-e552-11f0-a28c-00155d82e908</v>
      </c>
      <c r="AL750" s="3" t="s">
        <v>3281</v>
      </c>
    </row>
    <row r="751" spans="1:38" ht="23.1" customHeight="1" outlineLevel="3" x14ac:dyDescent="0.2">
      <c r="A751" s="48" t="s">
        <v>3286</v>
      </c>
      <c r="B751" s="48"/>
      <c r="C751" s="48"/>
      <c r="D751" s="48"/>
      <c r="E751" s="48"/>
      <c r="F751" s="48"/>
    </row>
    <row r="752" spans="1:38" ht="21" customHeight="1" outlineLevel="4" x14ac:dyDescent="0.2">
      <c r="A752" s="2">
        <v>560</v>
      </c>
      <c r="B752" s="3" t="s">
        <v>3287</v>
      </c>
      <c r="C752" s="49" t="s">
        <v>3288</v>
      </c>
      <c r="D752" s="49"/>
      <c r="E752" s="49"/>
      <c r="F752" s="49"/>
      <c r="G752" s="4" t="s">
        <v>3289</v>
      </c>
      <c r="H752" s="8"/>
      <c r="I752" s="9" t="s">
        <v>3290</v>
      </c>
      <c r="J752" s="10"/>
      <c r="K752" s="11">
        <v>10</v>
      </c>
      <c r="L752" s="10"/>
      <c r="M752" s="10" t="s">
        <v>47</v>
      </c>
      <c r="N752" s="10"/>
      <c r="O752" s="2">
        <v>1</v>
      </c>
      <c r="P752" s="17">
        <f>499*(1-S3/100)</f>
        <v>499</v>
      </c>
      <c r="Q752" s="18"/>
      <c r="R752" s="10">
        <f>P752*Q752</f>
        <v>0</v>
      </c>
      <c r="S752" s="19">
        <f>0.221*Q752</f>
        <v>0</v>
      </c>
      <c r="T752" s="30">
        <f>0.0003*Q752</f>
        <v>0</v>
      </c>
      <c r="U752" s="21"/>
      <c r="V752" s="22" t="s">
        <v>3291</v>
      </c>
      <c r="W752" s="22" t="s">
        <v>191</v>
      </c>
      <c r="X752" s="3"/>
      <c r="Y752" s="3" t="s">
        <v>3292</v>
      </c>
      <c r="Z752" s="3" t="s">
        <v>52</v>
      </c>
      <c r="AA752" s="3"/>
      <c r="AB752" s="3"/>
      <c r="AC752" s="3" t="str">
        <f>HYPERLINK("https://knigipp.ru/api/getInfo/image/9c855de7-cc69-11f0-a28a-00155d82e908")</f>
        <v>https://knigipp.ru/api/getInfo/image/9c855de7-cc69-11f0-a28a-00155d82e908</v>
      </c>
      <c r="AD752" s="32">
        <v>48</v>
      </c>
      <c r="AE752" s="3" t="s">
        <v>1406</v>
      </c>
      <c r="AF752" s="3" t="s">
        <v>127</v>
      </c>
      <c r="AG752" s="3"/>
      <c r="AH752" s="3" t="s">
        <v>56</v>
      </c>
      <c r="AI752" s="3"/>
      <c r="AJ752" s="3"/>
      <c r="AK752" s="3" t="str">
        <f>HYPERLINK("https://knigipp.ru/api/getInfo/item/9c855de7-cc69-11f0-a28a-00155d82e908")</f>
        <v>https://knigipp.ru/api/getInfo/item/9c855de7-cc69-11f0-a28a-00155d82e908</v>
      </c>
      <c r="AL752" s="3" t="s">
        <v>3281</v>
      </c>
    </row>
    <row r="753" spans="1:38" ht="23.1" customHeight="1" outlineLevel="3" x14ac:dyDescent="0.2">
      <c r="A753" s="48" t="s">
        <v>3293</v>
      </c>
      <c r="B753" s="48"/>
      <c r="C753" s="48"/>
      <c r="D753" s="48"/>
      <c r="E753" s="48"/>
      <c r="F753" s="48"/>
    </row>
    <row r="754" spans="1:38" ht="21" customHeight="1" outlineLevel="4" x14ac:dyDescent="0.2">
      <c r="A754" s="2">
        <v>561</v>
      </c>
      <c r="B754" s="3" t="s">
        <v>3294</v>
      </c>
      <c r="C754" s="49" t="s">
        <v>3295</v>
      </c>
      <c r="D754" s="49"/>
      <c r="E754" s="49"/>
      <c r="F754" s="49"/>
      <c r="G754" s="4" t="s">
        <v>3296</v>
      </c>
      <c r="H754" s="8"/>
      <c r="I754" s="9" t="s">
        <v>3297</v>
      </c>
      <c r="J754" s="10"/>
      <c r="K754" s="11">
        <v>16</v>
      </c>
      <c r="L754" s="10"/>
      <c r="M754" s="10" t="s">
        <v>47</v>
      </c>
      <c r="N754" s="10"/>
      <c r="O754" s="2">
        <v>5</v>
      </c>
      <c r="P754" s="17">
        <f>183.68*(1-S3/100)</f>
        <v>183.68</v>
      </c>
      <c r="Q754" s="18"/>
      <c r="R754" s="10">
        <f>P754*Q754</f>
        <v>0</v>
      </c>
      <c r="S754" s="35">
        <f>0.2*Q754</f>
        <v>0</v>
      </c>
      <c r="T754" s="20">
        <f>0.00034*Q754</f>
        <v>0</v>
      </c>
      <c r="U754" s="21"/>
      <c r="V754" s="22" t="s">
        <v>3298</v>
      </c>
      <c r="W754" s="22" t="s">
        <v>49</v>
      </c>
      <c r="X754" s="3"/>
      <c r="Y754" s="3"/>
      <c r="Z754" s="3" t="s">
        <v>52</v>
      </c>
      <c r="AA754" s="3"/>
      <c r="AB754" s="3"/>
      <c r="AC754" s="3" t="str">
        <f>HYPERLINK("https://knigipp.ru/api/getInfo/image/fa83fa81-4437-11ea-a240-ac1f6b442184")</f>
        <v>https://knigipp.ru/api/getInfo/image/fa83fa81-4437-11ea-a240-ac1f6b442184</v>
      </c>
      <c r="AD754" s="32">
        <v>32</v>
      </c>
      <c r="AE754" s="3"/>
      <c r="AF754" s="3" t="s">
        <v>127</v>
      </c>
      <c r="AG754" s="3"/>
      <c r="AH754" s="3" t="s">
        <v>56</v>
      </c>
      <c r="AI754" s="3"/>
      <c r="AJ754" s="3"/>
      <c r="AK754" s="3" t="str">
        <f>HYPERLINK("https://knigipp.ru/api/getInfo/item/fa83fa81-4437-11ea-a240-ac1f6b442184")</f>
        <v>https://knigipp.ru/api/getInfo/item/fa83fa81-4437-11ea-a240-ac1f6b442184</v>
      </c>
      <c r="AL754" s="3" t="s">
        <v>3299</v>
      </c>
    </row>
    <row r="755" spans="1:38" ht="21" customHeight="1" outlineLevel="4" x14ac:dyDescent="0.2">
      <c r="A755" s="2">
        <v>562</v>
      </c>
      <c r="B755" s="3" t="s">
        <v>3300</v>
      </c>
      <c r="C755" s="49" t="s">
        <v>3301</v>
      </c>
      <c r="D755" s="49"/>
      <c r="E755" s="49"/>
      <c r="F755" s="49"/>
      <c r="G755" s="4" t="s">
        <v>3302</v>
      </c>
      <c r="H755" s="8"/>
      <c r="I755" s="9" t="s">
        <v>3297</v>
      </c>
      <c r="J755" s="10"/>
      <c r="K755" s="11">
        <v>16</v>
      </c>
      <c r="L755" s="10"/>
      <c r="M755" s="10" t="s">
        <v>47</v>
      </c>
      <c r="N755" s="10"/>
      <c r="O755" s="2">
        <v>5</v>
      </c>
      <c r="P755" s="17">
        <f>183.68*(1-S3/100)</f>
        <v>183.68</v>
      </c>
      <c r="Q755" s="18"/>
      <c r="R755" s="10">
        <f>P755*Q755</f>
        <v>0</v>
      </c>
      <c r="S755" s="19">
        <f>0.197*Q755</f>
        <v>0</v>
      </c>
      <c r="T755" s="20">
        <f>0.00049*Q755</f>
        <v>0</v>
      </c>
      <c r="U755" s="21"/>
      <c r="V755" s="22" t="s">
        <v>3303</v>
      </c>
      <c r="W755" s="22" t="s">
        <v>49</v>
      </c>
      <c r="X755" s="3"/>
      <c r="Y755" s="3"/>
      <c r="Z755" s="3" t="s">
        <v>52</v>
      </c>
      <c r="AA755" s="3"/>
      <c r="AB755" s="3"/>
      <c r="AC755" s="3" t="str">
        <f>HYPERLINK("https://knigipp.ru/api/getInfo/image/1dd03070-4438-11ea-a240-ac1f6b442184")</f>
        <v>https://knigipp.ru/api/getInfo/image/1dd03070-4438-11ea-a240-ac1f6b442184</v>
      </c>
      <c r="AD755" s="32">
        <v>32</v>
      </c>
      <c r="AE755" s="3"/>
      <c r="AF755" s="3" t="s">
        <v>127</v>
      </c>
      <c r="AG755" s="3"/>
      <c r="AH755" s="3" t="s">
        <v>56</v>
      </c>
      <c r="AI755" s="3"/>
      <c r="AJ755" s="3"/>
      <c r="AK755" s="3" t="str">
        <f>HYPERLINK("https://knigipp.ru/api/getInfo/item/1dd03070-4438-11ea-a240-ac1f6b442184")</f>
        <v>https://knigipp.ru/api/getInfo/item/1dd03070-4438-11ea-a240-ac1f6b442184</v>
      </c>
      <c r="AL755" s="3" t="s">
        <v>3299</v>
      </c>
    </row>
    <row r="756" spans="1:38" ht="23.1" customHeight="1" outlineLevel="3" x14ac:dyDescent="0.2">
      <c r="A756" s="48" t="s">
        <v>3304</v>
      </c>
      <c r="B756" s="48"/>
      <c r="C756" s="48"/>
      <c r="D756" s="48"/>
      <c r="E756" s="48"/>
      <c r="F756" s="48"/>
    </row>
    <row r="757" spans="1:38" ht="21" customHeight="1" outlineLevel="4" x14ac:dyDescent="0.2">
      <c r="A757" s="2">
        <v>563</v>
      </c>
      <c r="B757" s="3" t="s">
        <v>3305</v>
      </c>
      <c r="C757" s="49" t="s">
        <v>3306</v>
      </c>
      <c r="D757" s="49"/>
      <c r="E757" s="49"/>
      <c r="F757" s="49"/>
      <c r="G757" s="4" t="s">
        <v>3307</v>
      </c>
      <c r="H757" s="8"/>
      <c r="I757" s="9" t="s">
        <v>3308</v>
      </c>
      <c r="J757" s="10"/>
      <c r="K757" s="11">
        <v>14</v>
      </c>
      <c r="L757" s="10"/>
      <c r="M757" s="10" t="s">
        <v>47</v>
      </c>
      <c r="N757" s="10"/>
      <c r="O757" s="2">
        <v>1</v>
      </c>
      <c r="P757" s="17">
        <f>462.67*(1-S3/100)</f>
        <v>462.67</v>
      </c>
      <c r="Q757" s="18"/>
      <c r="R757" s="10">
        <f>P757*Q757</f>
        <v>0</v>
      </c>
      <c r="S757" s="19">
        <f>0.564*Q757</f>
        <v>0</v>
      </c>
      <c r="T757" s="20">
        <f>0.00086*Q757</f>
        <v>0</v>
      </c>
      <c r="U757" s="21"/>
      <c r="V757" s="22" t="s">
        <v>3309</v>
      </c>
      <c r="W757" s="22" t="s">
        <v>49</v>
      </c>
      <c r="X757" s="3"/>
      <c r="Y757" s="3"/>
      <c r="Z757" s="3" t="s">
        <v>52</v>
      </c>
      <c r="AA757" s="3"/>
      <c r="AB757" s="3"/>
      <c r="AC757" s="3" t="str">
        <f>HYPERLINK("https://knigipp.ru/api/getInfo/image/724dd701-bade-11ea-a249-ac1f6b442184")</f>
        <v>https://knigipp.ru/api/getInfo/image/724dd701-bade-11ea-a249-ac1f6b442184</v>
      </c>
      <c r="AD757" s="32">
        <v>48</v>
      </c>
      <c r="AE757" s="3"/>
      <c r="AF757" s="3" t="s">
        <v>127</v>
      </c>
      <c r="AG757" s="3"/>
      <c r="AH757" s="3" t="s">
        <v>56</v>
      </c>
      <c r="AI757" s="3"/>
      <c r="AJ757" s="3"/>
      <c r="AK757" s="3" t="str">
        <f>HYPERLINK("https://knigipp.ru/api/getInfo/item/724dd701-bade-11ea-a249-ac1f6b442184")</f>
        <v>https://knigipp.ru/api/getInfo/item/724dd701-bade-11ea-a249-ac1f6b442184</v>
      </c>
      <c r="AL757" s="3" t="s">
        <v>3310</v>
      </c>
    </row>
    <row r="758" spans="1:38" ht="21" customHeight="1" outlineLevel="4" x14ac:dyDescent="0.2">
      <c r="A758" s="2">
        <v>564</v>
      </c>
      <c r="B758" s="3" t="s">
        <v>3311</v>
      </c>
      <c r="C758" s="49" t="s">
        <v>3312</v>
      </c>
      <c r="D758" s="49"/>
      <c r="E758" s="49"/>
      <c r="F758" s="49"/>
      <c r="G758" s="4" t="s">
        <v>3313</v>
      </c>
      <c r="H758" s="8"/>
      <c r="I758" s="9" t="s">
        <v>3314</v>
      </c>
      <c r="J758" s="10"/>
      <c r="K758" s="11">
        <v>14</v>
      </c>
      <c r="L758" s="10"/>
      <c r="M758" s="10" t="s">
        <v>47</v>
      </c>
      <c r="N758" s="10"/>
      <c r="O758" s="2">
        <v>1</v>
      </c>
      <c r="P758" s="17">
        <f>556.64*(1-S3/100)</f>
        <v>556.64</v>
      </c>
      <c r="Q758" s="18"/>
      <c r="R758" s="10">
        <f>P758*Q758</f>
        <v>0</v>
      </c>
      <c r="S758" s="19">
        <f>0.564*Q758</f>
        <v>0</v>
      </c>
      <c r="T758" s="20">
        <f>0.00086*Q758</f>
        <v>0</v>
      </c>
      <c r="U758" s="21"/>
      <c r="V758" s="22" t="s">
        <v>3315</v>
      </c>
      <c r="W758" s="22" t="s">
        <v>49</v>
      </c>
      <c r="X758" s="3"/>
      <c r="Y758" s="3"/>
      <c r="Z758" s="3" t="s">
        <v>52</v>
      </c>
      <c r="AA758" s="3"/>
      <c r="AB758" s="3"/>
      <c r="AC758" s="3" t="str">
        <f>HYPERLINK("https://knigipp.ru/api/getInfo/image/acc98871-bade-11ea-a249-ac1f6b442184")</f>
        <v>https://knigipp.ru/api/getInfo/image/acc98871-bade-11ea-a249-ac1f6b442184</v>
      </c>
      <c r="AD758" s="32">
        <v>48</v>
      </c>
      <c r="AE758" s="3"/>
      <c r="AF758" s="3" t="s">
        <v>127</v>
      </c>
      <c r="AG758" s="3"/>
      <c r="AH758" s="3" t="s">
        <v>56</v>
      </c>
      <c r="AI758" s="3"/>
      <c r="AJ758" s="3"/>
      <c r="AK758" s="3" t="str">
        <f>HYPERLINK("https://knigipp.ru/api/getInfo/item/acc98871-bade-11ea-a249-ac1f6b442184")</f>
        <v>https://knigipp.ru/api/getInfo/item/acc98871-bade-11ea-a249-ac1f6b442184</v>
      </c>
      <c r="AL758" s="3" t="s">
        <v>3310</v>
      </c>
    </row>
    <row r="759" spans="1:38" ht="23.1" customHeight="1" outlineLevel="2" x14ac:dyDescent="0.2">
      <c r="A759" s="47" t="s">
        <v>3316</v>
      </c>
      <c r="B759" s="47"/>
      <c r="C759" s="47"/>
      <c r="D759" s="47"/>
      <c r="E759" s="47"/>
      <c r="F759" s="47"/>
    </row>
    <row r="760" spans="1:38" ht="23.1" customHeight="1" outlineLevel="3" x14ac:dyDescent="0.2">
      <c r="A760" s="48" t="s">
        <v>3317</v>
      </c>
      <c r="B760" s="48"/>
      <c r="C760" s="48"/>
      <c r="D760" s="48"/>
      <c r="E760" s="48"/>
      <c r="F760" s="48"/>
    </row>
    <row r="761" spans="1:38" ht="21" customHeight="1" outlineLevel="4" x14ac:dyDescent="0.2">
      <c r="A761" s="2">
        <v>565</v>
      </c>
      <c r="B761" s="3" t="s">
        <v>3318</v>
      </c>
      <c r="C761" s="49" t="s">
        <v>3319</v>
      </c>
      <c r="D761" s="49"/>
      <c r="E761" s="49"/>
      <c r="F761" s="49"/>
      <c r="G761" s="4" t="s">
        <v>3320</v>
      </c>
      <c r="H761" s="8"/>
      <c r="I761" s="9" t="s">
        <v>3321</v>
      </c>
      <c r="J761" s="10"/>
      <c r="K761" s="11">
        <v>20</v>
      </c>
      <c r="L761" s="10"/>
      <c r="M761" s="10" t="s">
        <v>78</v>
      </c>
      <c r="N761" s="10"/>
      <c r="O761" s="2">
        <v>4</v>
      </c>
      <c r="P761" s="17">
        <f>179*(1-S3/100)</f>
        <v>179</v>
      </c>
      <c r="Q761" s="18"/>
      <c r="R761" s="10">
        <f>P761*Q761</f>
        <v>0</v>
      </c>
      <c r="S761" s="19">
        <f>0.177*Q761</f>
        <v>0</v>
      </c>
      <c r="T761" s="20">
        <f>0.00033*Q761</f>
        <v>0</v>
      </c>
      <c r="U761" s="21"/>
      <c r="V761" s="22" t="s">
        <v>3322</v>
      </c>
      <c r="W761" s="22" t="s">
        <v>191</v>
      </c>
      <c r="X761" s="3"/>
      <c r="Y761" s="3"/>
      <c r="Z761" s="3" t="s">
        <v>52</v>
      </c>
      <c r="AA761" s="3"/>
      <c r="AB761" s="3"/>
      <c r="AC761" s="3" t="str">
        <f>HYPERLINK("https://knigipp.ru/api/getInfo/image/3a7ffe77-a3c6-11ed-a22f-00155d82e902")</f>
        <v>https://knigipp.ru/api/getInfo/image/3a7ffe77-a3c6-11ed-a22f-00155d82e902</v>
      </c>
      <c r="AD761" s="32">
        <v>80</v>
      </c>
      <c r="AE761" s="3" t="s">
        <v>355</v>
      </c>
      <c r="AF761" s="3" t="s">
        <v>55</v>
      </c>
      <c r="AG761" s="3"/>
      <c r="AH761" s="3" t="s">
        <v>56</v>
      </c>
      <c r="AI761" s="3"/>
      <c r="AJ761" s="3"/>
      <c r="AK761" s="3" t="str">
        <f>HYPERLINK("https://knigipp.ru/api/getInfo/item/3a7ffe77-a3c6-11ed-a22f-00155d82e902")</f>
        <v>https://knigipp.ru/api/getInfo/item/3a7ffe77-a3c6-11ed-a22f-00155d82e902</v>
      </c>
      <c r="AL761" s="3" t="s">
        <v>3323</v>
      </c>
    </row>
    <row r="762" spans="1:38" ht="21" customHeight="1" outlineLevel="4" x14ac:dyDescent="0.2">
      <c r="A762" s="2">
        <v>566</v>
      </c>
      <c r="B762" s="3" t="s">
        <v>3324</v>
      </c>
      <c r="C762" s="49" t="s">
        <v>3325</v>
      </c>
      <c r="D762" s="49"/>
      <c r="E762" s="49"/>
      <c r="F762" s="49"/>
      <c r="G762" s="4" t="s">
        <v>3326</v>
      </c>
      <c r="H762" s="8"/>
      <c r="I762" s="9" t="s">
        <v>3327</v>
      </c>
      <c r="J762" s="10"/>
      <c r="K762" s="11">
        <v>20</v>
      </c>
      <c r="L762" s="10"/>
      <c r="M762" s="10" t="s">
        <v>78</v>
      </c>
      <c r="N762" s="10"/>
      <c r="O762" s="2">
        <v>4</v>
      </c>
      <c r="P762" s="17">
        <f>179*(1-S3/100)</f>
        <v>179</v>
      </c>
      <c r="Q762" s="18"/>
      <c r="R762" s="10">
        <f>P762*Q762</f>
        <v>0</v>
      </c>
      <c r="S762" s="19">
        <f>0.178*Q762</f>
        <v>0</v>
      </c>
      <c r="T762" s="20">
        <f>0.00029*Q762</f>
        <v>0</v>
      </c>
      <c r="U762" s="21"/>
      <c r="V762" s="22" t="s">
        <v>3328</v>
      </c>
      <c r="W762" s="22" t="s">
        <v>191</v>
      </c>
      <c r="X762" s="3"/>
      <c r="Y762" s="3"/>
      <c r="Z762" s="3" t="s">
        <v>3329</v>
      </c>
      <c r="AA762" s="3"/>
      <c r="AB762" s="3"/>
      <c r="AC762" s="3" t="str">
        <f>HYPERLINK("https://knigipp.ru/api/getInfo/image/88fde9f1-a3c6-11ed-a22f-00155d82e902")</f>
        <v>https://knigipp.ru/api/getInfo/image/88fde9f1-a3c6-11ed-a22f-00155d82e902</v>
      </c>
      <c r="AD762" s="32">
        <v>80</v>
      </c>
      <c r="AE762" s="3" t="s">
        <v>355</v>
      </c>
      <c r="AF762" s="3" t="s">
        <v>55</v>
      </c>
      <c r="AG762" s="3"/>
      <c r="AH762" s="3" t="s">
        <v>56</v>
      </c>
      <c r="AI762" s="3"/>
      <c r="AJ762" s="3"/>
      <c r="AK762" s="3" t="str">
        <f>HYPERLINK("https://knigipp.ru/api/getInfo/item/88fde9f1-a3c6-11ed-a22f-00155d82e902")</f>
        <v>https://knigipp.ru/api/getInfo/item/88fde9f1-a3c6-11ed-a22f-00155d82e902</v>
      </c>
      <c r="AL762" s="3" t="s">
        <v>3323</v>
      </c>
    </row>
    <row r="763" spans="1:38" ht="21" customHeight="1" outlineLevel="4" x14ac:dyDescent="0.2">
      <c r="A763" s="2">
        <v>567</v>
      </c>
      <c r="B763" s="3" t="s">
        <v>3330</v>
      </c>
      <c r="C763" s="49" t="s">
        <v>3331</v>
      </c>
      <c r="D763" s="49"/>
      <c r="E763" s="49"/>
      <c r="F763" s="49"/>
      <c r="G763" s="4" t="s">
        <v>3332</v>
      </c>
      <c r="H763" s="8"/>
      <c r="I763" s="9" t="s">
        <v>3327</v>
      </c>
      <c r="J763" s="10"/>
      <c r="K763" s="11">
        <v>20</v>
      </c>
      <c r="L763" s="10"/>
      <c r="M763" s="10" t="s">
        <v>78</v>
      </c>
      <c r="N763" s="10"/>
      <c r="O763" s="2">
        <v>4</v>
      </c>
      <c r="P763" s="17">
        <f>179*(1-S3/100)</f>
        <v>179</v>
      </c>
      <c r="Q763" s="18"/>
      <c r="R763" s="10">
        <f>P763*Q763</f>
        <v>0</v>
      </c>
      <c r="S763" s="19">
        <f>0.176*Q763</f>
        <v>0</v>
      </c>
      <c r="T763" s="20">
        <f>0.00038*Q763</f>
        <v>0</v>
      </c>
      <c r="U763" s="21"/>
      <c r="V763" s="22" t="s">
        <v>3333</v>
      </c>
      <c r="W763" s="22" t="s">
        <v>191</v>
      </c>
      <c r="X763" s="3"/>
      <c r="Y763" s="3"/>
      <c r="Z763" s="3" t="s">
        <v>3329</v>
      </c>
      <c r="AA763" s="3"/>
      <c r="AB763" s="3"/>
      <c r="AC763" s="3" t="str">
        <f>HYPERLINK("https://knigipp.ru/api/getInfo/image/c59a310c-a3c6-11ed-a22f-00155d82e902")</f>
        <v>https://knigipp.ru/api/getInfo/image/c59a310c-a3c6-11ed-a22f-00155d82e902</v>
      </c>
      <c r="AD763" s="32">
        <v>80</v>
      </c>
      <c r="AE763" s="3" t="s">
        <v>355</v>
      </c>
      <c r="AF763" s="3" t="s">
        <v>55</v>
      </c>
      <c r="AG763" s="3"/>
      <c r="AH763" s="3" t="s">
        <v>56</v>
      </c>
      <c r="AI763" s="3"/>
      <c r="AJ763" s="3"/>
      <c r="AK763" s="3" t="str">
        <f>HYPERLINK("https://knigipp.ru/api/getInfo/item/c59a310c-a3c6-11ed-a22f-00155d82e902")</f>
        <v>https://knigipp.ru/api/getInfo/item/c59a310c-a3c6-11ed-a22f-00155d82e902</v>
      </c>
      <c r="AL763" s="3" t="s">
        <v>3323</v>
      </c>
    </row>
    <row r="764" spans="1:38" ht="23.1" customHeight="1" outlineLevel="3" x14ac:dyDescent="0.2">
      <c r="A764" s="48" t="s">
        <v>3334</v>
      </c>
      <c r="B764" s="48"/>
      <c r="C764" s="48"/>
      <c r="D764" s="48"/>
      <c r="E764" s="48"/>
      <c r="F764" s="48"/>
    </row>
    <row r="765" spans="1:38" ht="21" customHeight="1" outlineLevel="4" x14ac:dyDescent="0.2">
      <c r="A765" s="2">
        <v>568</v>
      </c>
      <c r="B765" s="3" t="s">
        <v>3335</v>
      </c>
      <c r="C765" s="49" t="s">
        <v>3336</v>
      </c>
      <c r="D765" s="49"/>
      <c r="E765" s="49"/>
      <c r="F765" s="49"/>
      <c r="G765" s="4" t="s">
        <v>3337</v>
      </c>
      <c r="H765" s="8"/>
      <c r="I765" s="9" t="s">
        <v>3338</v>
      </c>
      <c r="J765" s="10"/>
      <c r="K765" s="11">
        <v>10</v>
      </c>
      <c r="L765" s="10"/>
      <c r="M765" s="10" t="s">
        <v>47</v>
      </c>
      <c r="N765" s="10"/>
      <c r="O765" s="2">
        <v>3</v>
      </c>
      <c r="P765" s="17">
        <f>237*(1-S3/100)</f>
        <v>237</v>
      </c>
      <c r="Q765" s="18"/>
      <c r="R765" s="10">
        <f>P765*Q765</f>
        <v>0</v>
      </c>
      <c r="S765" s="19">
        <f>0.128*Q765</f>
        <v>0</v>
      </c>
      <c r="T765" s="20">
        <f>0.00021*Q765</f>
        <v>0</v>
      </c>
      <c r="U765" s="21"/>
      <c r="V765" s="22" t="s">
        <v>3339</v>
      </c>
      <c r="W765" s="22" t="s">
        <v>191</v>
      </c>
      <c r="X765" s="3"/>
      <c r="Y765" s="3" t="s">
        <v>3340</v>
      </c>
      <c r="Z765" s="3" t="s">
        <v>52</v>
      </c>
      <c r="AA765" s="3"/>
      <c r="AB765" s="3"/>
      <c r="AC765" s="3" t="str">
        <f>HYPERLINK("https://knigipp.ru/api/getInfo/image/4129e055-1cb5-11ef-a25e-00155d82e908")</f>
        <v>https://knigipp.ru/api/getInfo/image/4129e055-1cb5-11ef-a25e-00155d82e908</v>
      </c>
      <c r="AD765" s="32">
        <v>80</v>
      </c>
      <c r="AE765" s="3" t="s">
        <v>54</v>
      </c>
      <c r="AF765" s="3" t="s">
        <v>55</v>
      </c>
      <c r="AG765" s="3"/>
      <c r="AH765" s="3" t="s">
        <v>56</v>
      </c>
      <c r="AI765" s="3"/>
      <c r="AJ765" s="3"/>
      <c r="AK765" s="3" t="str">
        <f>HYPERLINK("https://knigipp.ru/api/getInfo/item/4129e055-1cb5-11ef-a25e-00155d82e908")</f>
        <v>https://knigipp.ru/api/getInfo/item/4129e055-1cb5-11ef-a25e-00155d82e908</v>
      </c>
      <c r="AL765" s="3" t="s">
        <v>3341</v>
      </c>
    </row>
    <row r="766" spans="1:38" ht="21" customHeight="1" outlineLevel="4" x14ac:dyDescent="0.2">
      <c r="A766" s="2">
        <v>569</v>
      </c>
      <c r="B766" s="3" t="s">
        <v>3342</v>
      </c>
      <c r="C766" s="49" t="s">
        <v>3343</v>
      </c>
      <c r="D766" s="49"/>
      <c r="E766" s="49"/>
      <c r="F766" s="49"/>
      <c r="G766" s="4" t="s">
        <v>3344</v>
      </c>
      <c r="H766" s="8"/>
      <c r="I766" s="9" t="s">
        <v>3338</v>
      </c>
      <c r="J766" s="10"/>
      <c r="K766" s="11">
        <v>10</v>
      </c>
      <c r="L766" s="10"/>
      <c r="M766" s="10" t="s">
        <v>47</v>
      </c>
      <c r="N766" s="10"/>
      <c r="O766" s="2">
        <v>3</v>
      </c>
      <c r="P766" s="17">
        <f>237*(1-S3/100)</f>
        <v>237</v>
      </c>
      <c r="Q766" s="18"/>
      <c r="R766" s="10">
        <f>P766*Q766</f>
        <v>0</v>
      </c>
      <c r="S766" s="19">
        <f>0.128*Q766</f>
        <v>0</v>
      </c>
      <c r="T766" s="20">
        <f>0.00021*Q766</f>
        <v>0</v>
      </c>
      <c r="U766" s="21"/>
      <c r="V766" s="22" t="s">
        <v>3345</v>
      </c>
      <c r="W766" s="22" t="s">
        <v>191</v>
      </c>
      <c r="X766" s="3"/>
      <c r="Y766" s="3" t="s">
        <v>3346</v>
      </c>
      <c r="Z766" s="3" t="s">
        <v>52</v>
      </c>
      <c r="AA766" s="3"/>
      <c r="AB766" s="3"/>
      <c r="AC766" s="3" t="str">
        <f>HYPERLINK("https://knigipp.ru/api/getInfo/image/932f0226-1cb4-11ef-a25e-00155d82e908")</f>
        <v>https://knigipp.ru/api/getInfo/image/932f0226-1cb4-11ef-a25e-00155d82e908</v>
      </c>
      <c r="AD766" s="32">
        <v>80</v>
      </c>
      <c r="AE766" s="3" t="s">
        <v>54</v>
      </c>
      <c r="AF766" s="3" t="s">
        <v>55</v>
      </c>
      <c r="AG766" s="3"/>
      <c r="AH766" s="3" t="s">
        <v>56</v>
      </c>
      <c r="AI766" s="3"/>
      <c r="AJ766" s="3"/>
      <c r="AK766" s="3" t="str">
        <f>HYPERLINK("https://knigipp.ru/api/getInfo/item/932f0226-1cb4-11ef-a25e-00155d82e908")</f>
        <v>https://knigipp.ru/api/getInfo/item/932f0226-1cb4-11ef-a25e-00155d82e908</v>
      </c>
      <c r="AL766" s="3" t="s">
        <v>3341</v>
      </c>
    </row>
    <row r="767" spans="1:38" ht="21" customHeight="1" outlineLevel="4" x14ac:dyDescent="0.2">
      <c r="A767" s="2">
        <v>570</v>
      </c>
      <c r="B767" s="3" t="s">
        <v>3347</v>
      </c>
      <c r="C767" s="49" t="s">
        <v>3348</v>
      </c>
      <c r="D767" s="49"/>
      <c r="E767" s="49"/>
      <c r="F767" s="49"/>
      <c r="G767" s="4" t="s">
        <v>3349</v>
      </c>
      <c r="H767" s="8"/>
      <c r="I767" s="9" t="s">
        <v>3338</v>
      </c>
      <c r="J767" s="10"/>
      <c r="K767" s="11">
        <v>10</v>
      </c>
      <c r="L767" s="10"/>
      <c r="M767" s="10" t="s">
        <v>47</v>
      </c>
      <c r="N767" s="10"/>
      <c r="O767" s="2">
        <v>3</v>
      </c>
      <c r="P767" s="17">
        <f>237*(1-S3/100)</f>
        <v>237</v>
      </c>
      <c r="Q767" s="18"/>
      <c r="R767" s="10">
        <f>P767*Q767</f>
        <v>0</v>
      </c>
      <c r="S767" s="19">
        <f>0.126*Q767</f>
        <v>0</v>
      </c>
      <c r="T767" s="20">
        <f>0.00018*Q767</f>
        <v>0</v>
      </c>
      <c r="U767" s="21"/>
      <c r="V767" s="22" t="s">
        <v>3350</v>
      </c>
      <c r="W767" s="22" t="s">
        <v>191</v>
      </c>
      <c r="X767" s="3"/>
      <c r="Y767" s="3" t="s">
        <v>3351</v>
      </c>
      <c r="Z767" s="3" t="s">
        <v>52</v>
      </c>
      <c r="AA767" s="3"/>
      <c r="AB767" s="3"/>
      <c r="AC767" s="3" t="str">
        <f>HYPERLINK("https://knigipp.ru/api/getInfo/image/17ecc4ef-1cb5-11ef-a25e-00155d82e908")</f>
        <v>https://knigipp.ru/api/getInfo/image/17ecc4ef-1cb5-11ef-a25e-00155d82e908</v>
      </c>
      <c r="AD767" s="32">
        <v>80</v>
      </c>
      <c r="AE767" s="3" t="s">
        <v>54</v>
      </c>
      <c r="AF767" s="3" t="s">
        <v>55</v>
      </c>
      <c r="AG767" s="3"/>
      <c r="AH767" s="3" t="s">
        <v>56</v>
      </c>
      <c r="AI767" s="3"/>
      <c r="AJ767" s="3"/>
      <c r="AK767" s="3" t="str">
        <f>HYPERLINK("https://knigipp.ru/api/getInfo/item/17ecc4ef-1cb5-11ef-a25e-00155d82e908")</f>
        <v>https://knigipp.ru/api/getInfo/item/17ecc4ef-1cb5-11ef-a25e-00155d82e908</v>
      </c>
      <c r="AL767" s="3" t="s">
        <v>3341</v>
      </c>
    </row>
    <row r="768" spans="1:38" ht="23.1" customHeight="1" outlineLevel="3" x14ac:dyDescent="0.2">
      <c r="A768" s="48" t="s">
        <v>3352</v>
      </c>
      <c r="B768" s="48"/>
      <c r="C768" s="48"/>
      <c r="D768" s="48"/>
      <c r="E768" s="48"/>
      <c r="F768" s="48"/>
    </row>
    <row r="769" spans="1:38" ht="21" customHeight="1" outlineLevel="4" x14ac:dyDescent="0.2">
      <c r="A769" s="2">
        <v>571</v>
      </c>
      <c r="B769" s="3" t="s">
        <v>3353</v>
      </c>
      <c r="C769" s="49" t="s">
        <v>3354</v>
      </c>
      <c r="D769" s="49"/>
      <c r="E769" s="49"/>
      <c r="F769" s="49"/>
      <c r="G769" s="4" t="s">
        <v>3355</v>
      </c>
      <c r="H769" s="8"/>
      <c r="I769" s="9" t="s">
        <v>3356</v>
      </c>
      <c r="J769" s="10"/>
      <c r="K769" s="11">
        <v>16</v>
      </c>
      <c r="L769" s="10"/>
      <c r="M769" s="10" t="s">
        <v>47</v>
      </c>
      <c r="N769" s="10"/>
      <c r="O769" s="2">
        <v>2</v>
      </c>
      <c r="P769" s="17">
        <f>437*(1-S3/100)</f>
        <v>437</v>
      </c>
      <c r="Q769" s="18"/>
      <c r="R769" s="10">
        <f>P769*Q769</f>
        <v>0</v>
      </c>
      <c r="S769" s="19">
        <f>0.145*Q769</f>
        <v>0</v>
      </c>
      <c r="T769" s="20">
        <f>0.00007*Q769</f>
        <v>0</v>
      </c>
      <c r="U769" s="21"/>
      <c r="V769" s="22" t="s">
        <v>3357</v>
      </c>
      <c r="W769" s="22" t="s">
        <v>191</v>
      </c>
      <c r="X769" s="3"/>
      <c r="Y769" s="3" t="s">
        <v>3358</v>
      </c>
      <c r="Z769" s="3" t="s">
        <v>52</v>
      </c>
      <c r="AA769" s="3"/>
      <c r="AB769" s="3"/>
      <c r="AC769" s="3" t="str">
        <f>HYPERLINK("https://knigipp.ru/api/getInfo/image/d48539db-977b-11ef-a267-00155d82e908")</f>
        <v>https://knigipp.ru/api/getInfo/image/d48539db-977b-11ef-a267-00155d82e908</v>
      </c>
      <c r="AD769" s="32">
        <v>96</v>
      </c>
      <c r="AE769" s="3" t="s">
        <v>54</v>
      </c>
      <c r="AF769" s="3" t="s">
        <v>741</v>
      </c>
      <c r="AG769" s="3"/>
      <c r="AH769" s="3" t="s">
        <v>56</v>
      </c>
      <c r="AI769" s="3"/>
      <c r="AJ769" s="3"/>
      <c r="AK769" s="3" t="str">
        <f>HYPERLINK("https://knigipp.ru/api/getInfo/item/d48539db-977b-11ef-a267-00155d82e908")</f>
        <v>https://knigipp.ru/api/getInfo/item/d48539db-977b-11ef-a267-00155d82e908</v>
      </c>
      <c r="AL769" s="3" t="s">
        <v>3359</v>
      </c>
    </row>
    <row r="770" spans="1:38" ht="21" customHeight="1" outlineLevel="4" x14ac:dyDescent="0.2">
      <c r="A770" s="2">
        <v>572</v>
      </c>
      <c r="B770" s="3" t="s">
        <v>3360</v>
      </c>
      <c r="C770" s="49" t="s">
        <v>3361</v>
      </c>
      <c r="D770" s="49"/>
      <c r="E770" s="49"/>
      <c r="F770" s="49"/>
      <c r="G770" s="4" t="s">
        <v>3362</v>
      </c>
      <c r="H770" s="8"/>
      <c r="I770" s="9" t="s">
        <v>3356</v>
      </c>
      <c r="J770" s="10"/>
      <c r="K770" s="11">
        <v>16</v>
      </c>
      <c r="L770" s="10"/>
      <c r="M770" s="10" t="s">
        <v>47</v>
      </c>
      <c r="N770" s="10"/>
      <c r="O770" s="2">
        <v>2</v>
      </c>
      <c r="P770" s="17">
        <f>437*(1-S3/100)</f>
        <v>437</v>
      </c>
      <c r="Q770" s="18"/>
      <c r="R770" s="10">
        <f>P770*Q770</f>
        <v>0</v>
      </c>
      <c r="S770" s="19">
        <f>0.149*Q770</f>
        <v>0</v>
      </c>
      <c r="T770" s="20">
        <f>0.00025*Q770</f>
        <v>0</v>
      </c>
      <c r="U770" s="21"/>
      <c r="V770" s="22" t="s">
        <v>3363</v>
      </c>
      <c r="W770" s="22" t="s">
        <v>191</v>
      </c>
      <c r="X770" s="3"/>
      <c r="Y770" s="3" t="s">
        <v>3364</v>
      </c>
      <c r="Z770" s="3" t="s">
        <v>52</v>
      </c>
      <c r="AA770" s="3"/>
      <c r="AB770" s="3"/>
      <c r="AC770" s="3" t="str">
        <f>HYPERLINK("https://knigipp.ru/api/getInfo/image/261de0af-977c-11ef-a267-00155d82e908")</f>
        <v>https://knigipp.ru/api/getInfo/image/261de0af-977c-11ef-a267-00155d82e908</v>
      </c>
      <c r="AD770" s="32">
        <v>96</v>
      </c>
      <c r="AE770" s="3" t="s">
        <v>54</v>
      </c>
      <c r="AF770" s="3" t="s">
        <v>741</v>
      </c>
      <c r="AG770" s="3"/>
      <c r="AH770" s="3" t="s">
        <v>56</v>
      </c>
      <c r="AI770" s="3"/>
      <c r="AJ770" s="3"/>
      <c r="AK770" s="3" t="str">
        <f>HYPERLINK("https://knigipp.ru/api/getInfo/item/261de0af-977c-11ef-a267-00155d82e908")</f>
        <v>https://knigipp.ru/api/getInfo/item/261de0af-977c-11ef-a267-00155d82e908</v>
      </c>
      <c r="AL770" s="3" t="s">
        <v>3359</v>
      </c>
    </row>
    <row r="771" spans="1:38" ht="21" customHeight="1" outlineLevel="4" x14ac:dyDescent="0.2">
      <c r="A771" s="2">
        <v>573</v>
      </c>
      <c r="B771" s="3" t="s">
        <v>3365</v>
      </c>
      <c r="C771" s="49" t="s">
        <v>3366</v>
      </c>
      <c r="D771" s="49"/>
      <c r="E771" s="49"/>
      <c r="F771" s="49"/>
      <c r="G771" s="4" t="s">
        <v>3367</v>
      </c>
      <c r="H771" s="8"/>
      <c r="I771" s="9" t="s">
        <v>3356</v>
      </c>
      <c r="J771" s="10"/>
      <c r="K771" s="11">
        <v>16</v>
      </c>
      <c r="L771" s="10"/>
      <c r="M771" s="10" t="s">
        <v>47</v>
      </c>
      <c r="N771" s="10"/>
      <c r="O771" s="2">
        <v>2</v>
      </c>
      <c r="P771" s="17">
        <f>437*(1-S3/100)</f>
        <v>437</v>
      </c>
      <c r="Q771" s="18"/>
      <c r="R771" s="10">
        <f>P771*Q771</f>
        <v>0</v>
      </c>
      <c r="S771" s="19">
        <f>0.152*Q771</f>
        <v>0</v>
      </c>
      <c r="T771" s="20">
        <f>0.00015*Q771</f>
        <v>0</v>
      </c>
      <c r="U771" s="21"/>
      <c r="V771" s="22" t="s">
        <v>3368</v>
      </c>
      <c r="W771" s="22" t="s">
        <v>191</v>
      </c>
      <c r="X771" s="3"/>
      <c r="Y771" s="3" t="s">
        <v>3369</v>
      </c>
      <c r="Z771" s="3" t="s">
        <v>52</v>
      </c>
      <c r="AA771" s="3"/>
      <c r="AB771" s="3"/>
      <c r="AC771" s="3" t="str">
        <f>HYPERLINK("https://knigipp.ru/api/getInfo/image/4e97a4b3-977c-11ef-a267-00155d82e908")</f>
        <v>https://knigipp.ru/api/getInfo/image/4e97a4b3-977c-11ef-a267-00155d82e908</v>
      </c>
      <c r="AD771" s="32">
        <v>96</v>
      </c>
      <c r="AE771" s="3" t="s">
        <v>54</v>
      </c>
      <c r="AF771" s="3" t="s">
        <v>741</v>
      </c>
      <c r="AG771" s="3"/>
      <c r="AH771" s="3" t="s">
        <v>56</v>
      </c>
      <c r="AI771" s="3"/>
      <c r="AJ771" s="3"/>
      <c r="AK771" s="3" t="str">
        <f>HYPERLINK("https://knigipp.ru/api/getInfo/item/4e97a4b3-977c-11ef-a267-00155d82e908")</f>
        <v>https://knigipp.ru/api/getInfo/item/4e97a4b3-977c-11ef-a267-00155d82e908</v>
      </c>
      <c r="AL771" s="3" t="s">
        <v>3359</v>
      </c>
    </row>
    <row r="772" spans="1:38" ht="23.1" customHeight="1" outlineLevel="3" x14ac:dyDescent="0.2">
      <c r="A772" s="48" t="s">
        <v>3370</v>
      </c>
      <c r="B772" s="48"/>
      <c r="C772" s="48"/>
      <c r="D772" s="48"/>
      <c r="E772" s="48"/>
      <c r="F772" s="48"/>
    </row>
    <row r="773" spans="1:38" ht="21" customHeight="1" outlineLevel="4" x14ac:dyDescent="0.2">
      <c r="A773" s="2">
        <v>574</v>
      </c>
      <c r="B773" s="3" t="s">
        <v>3371</v>
      </c>
      <c r="C773" s="49" t="s">
        <v>3372</v>
      </c>
      <c r="D773" s="49"/>
      <c r="E773" s="49"/>
      <c r="F773" s="49"/>
      <c r="G773" s="4" t="s">
        <v>3373</v>
      </c>
      <c r="H773" s="8"/>
      <c r="I773" s="9" t="s">
        <v>3374</v>
      </c>
      <c r="J773" s="10"/>
      <c r="K773" s="11">
        <v>50</v>
      </c>
      <c r="L773" s="10"/>
      <c r="M773" s="10" t="s">
        <v>47</v>
      </c>
      <c r="N773" s="10"/>
      <c r="O773" s="2">
        <v>4</v>
      </c>
      <c r="P773" s="17">
        <f>177*(1-S3/100)</f>
        <v>177</v>
      </c>
      <c r="Q773" s="18"/>
      <c r="R773" s="10">
        <f>P773*Q773</f>
        <v>0</v>
      </c>
      <c r="S773" s="19">
        <f>0.072*Q773</f>
        <v>0</v>
      </c>
      <c r="T773" s="20">
        <f>0.00009*Q773</f>
        <v>0</v>
      </c>
      <c r="U773" s="21"/>
      <c r="V773" s="22" t="s">
        <v>3375</v>
      </c>
      <c r="W773" s="22" t="s">
        <v>191</v>
      </c>
      <c r="X773" s="3"/>
      <c r="Y773" s="3" t="s">
        <v>3376</v>
      </c>
      <c r="Z773" s="3" t="s">
        <v>52</v>
      </c>
      <c r="AA773" s="3"/>
      <c r="AB773" s="3"/>
      <c r="AC773" s="3" t="str">
        <f>HYPERLINK("https://knigipp.ru/api/getInfo/image/bf84bd4f-3066-11ee-a23e-00155d82e902")</f>
        <v>https://knigipp.ru/api/getInfo/image/bf84bd4f-3066-11ee-a23e-00155d82e902</v>
      </c>
      <c r="AD773" s="32">
        <v>32</v>
      </c>
      <c r="AE773" s="3" t="s">
        <v>54</v>
      </c>
      <c r="AF773" s="3" t="s">
        <v>136</v>
      </c>
      <c r="AG773" s="3"/>
      <c r="AH773" s="3" t="s">
        <v>56</v>
      </c>
      <c r="AI773" s="3"/>
      <c r="AJ773" s="3"/>
      <c r="AK773" s="3" t="str">
        <f>HYPERLINK("https://knigipp.ru/api/getInfo/item/bf84bd4f-3066-11ee-a23e-00155d82e902")</f>
        <v>https://knigipp.ru/api/getInfo/item/bf84bd4f-3066-11ee-a23e-00155d82e902</v>
      </c>
      <c r="AL773" s="3" t="s">
        <v>2744</v>
      </c>
    </row>
    <row r="774" spans="1:38" ht="21" customHeight="1" outlineLevel="4" x14ac:dyDescent="0.2">
      <c r="A774" s="2">
        <v>575</v>
      </c>
      <c r="B774" s="3" t="s">
        <v>3377</v>
      </c>
      <c r="C774" s="49" t="s">
        <v>3378</v>
      </c>
      <c r="D774" s="49"/>
      <c r="E774" s="49"/>
      <c r="F774" s="49"/>
      <c r="G774" s="4" t="s">
        <v>3379</v>
      </c>
      <c r="H774" s="8"/>
      <c r="I774" s="9" t="s">
        <v>3374</v>
      </c>
      <c r="J774" s="10"/>
      <c r="K774" s="11">
        <v>50</v>
      </c>
      <c r="L774" s="10"/>
      <c r="M774" s="10" t="s">
        <v>47</v>
      </c>
      <c r="N774" s="10"/>
      <c r="O774" s="2">
        <v>4</v>
      </c>
      <c r="P774" s="17">
        <f>177*(1-S3/100)</f>
        <v>177</v>
      </c>
      <c r="Q774" s="18"/>
      <c r="R774" s="10">
        <f>P774*Q774</f>
        <v>0</v>
      </c>
      <c r="S774" s="19">
        <f>0.072*Q774</f>
        <v>0</v>
      </c>
      <c r="T774" s="20">
        <f>0.00009*Q774</f>
        <v>0</v>
      </c>
      <c r="U774" s="21"/>
      <c r="V774" s="22" t="s">
        <v>3380</v>
      </c>
      <c r="W774" s="22" t="s">
        <v>191</v>
      </c>
      <c r="X774" s="3"/>
      <c r="Y774" s="3" t="s">
        <v>3381</v>
      </c>
      <c r="Z774" s="3" t="s">
        <v>52</v>
      </c>
      <c r="AA774" s="3"/>
      <c r="AB774" s="3"/>
      <c r="AC774" s="3" t="str">
        <f>HYPERLINK("https://knigipp.ru/api/getInfo/image/2d3c10de-3066-11ee-a23e-00155d82e902")</f>
        <v>https://knigipp.ru/api/getInfo/image/2d3c10de-3066-11ee-a23e-00155d82e902</v>
      </c>
      <c r="AD774" s="32">
        <v>32</v>
      </c>
      <c r="AE774" s="3" t="s">
        <v>54</v>
      </c>
      <c r="AF774" s="3" t="s">
        <v>136</v>
      </c>
      <c r="AG774" s="3"/>
      <c r="AH774" s="3" t="s">
        <v>56</v>
      </c>
      <c r="AI774" s="3"/>
      <c r="AJ774" s="3"/>
      <c r="AK774" s="3" t="str">
        <f>HYPERLINK("https://knigipp.ru/api/getInfo/item/2d3c10de-3066-11ee-a23e-00155d82e902")</f>
        <v>https://knigipp.ru/api/getInfo/item/2d3c10de-3066-11ee-a23e-00155d82e902</v>
      </c>
      <c r="AL774" s="3" t="s">
        <v>2744</v>
      </c>
    </row>
    <row r="775" spans="1:38" ht="21" customHeight="1" outlineLevel="4" x14ac:dyDescent="0.2">
      <c r="A775" s="2">
        <v>576</v>
      </c>
      <c r="B775" s="3" t="s">
        <v>3382</v>
      </c>
      <c r="C775" s="49" t="s">
        <v>3383</v>
      </c>
      <c r="D775" s="49"/>
      <c r="E775" s="49"/>
      <c r="F775" s="49"/>
      <c r="G775" s="4" t="s">
        <v>3384</v>
      </c>
      <c r="H775" s="8"/>
      <c r="I775" s="9" t="s">
        <v>3374</v>
      </c>
      <c r="J775" s="10"/>
      <c r="K775" s="11">
        <v>50</v>
      </c>
      <c r="L775" s="10"/>
      <c r="M775" s="10" t="s">
        <v>47</v>
      </c>
      <c r="N775" s="10"/>
      <c r="O775" s="2">
        <v>4</v>
      </c>
      <c r="P775" s="17">
        <f>177*(1-S3/100)</f>
        <v>177</v>
      </c>
      <c r="Q775" s="18"/>
      <c r="R775" s="10">
        <f>P775*Q775</f>
        <v>0</v>
      </c>
      <c r="S775" s="19">
        <f>0.072*Q775</f>
        <v>0</v>
      </c>
      <c r="T775" s="20">
        <f>0.00009*Q775</f>
        <v>0</v>
      </c>
      <c r="U775" s="21"/>
      <c r="V775" s="22" t="s">
        <v>3385</v>
      </c>
      <c r="W775" s="22" t="s">
        <v>191</v>
      </c>
      <c r="X775" s="3"/>
      <c r="Y775" s="3" t="s">
        <v>3386</v>
      </c>
      <c r="Z775" s="3" t="s">
        <v>52</v>
      </c>
      <c r="AA775" s="3"/>
      <c r="AB775" s="3"/>
      <c r="AC775" s="3" t="str">
        <f>HYPERLINK("https://knigipp.ru/api/getInfo/image/eda0ffa1-3066-11ee-a23e-00155d82e902")</f>
        <v>https://knigipp.ru/api/getInfo/image/eda0ffa1-3066-11ee-a23e-00155d82e902</v>
      </c>
      <c r="AD775" s="32">
        <v>32</v>
      </c>
      <c r="AE775" s="3" t="s">
        <v>54</v>
      </c>
      <c r="AF775" s="3" t="s">
        <v>136</v>
      </c>
      <c r="AG775" s="3"/>
      <c r="AH775" s="3" t="s">
        <v>56</v>
      </c>
      <c r="AI775" s="3"/>
      <c r="AJ775" s="3"/>
      <c r="AK775" s="3" t="str">
        <f>HYPERLINK("https://knigipp.ru/api/getInfo/item/eda0ffa1-3066-11ee-a23e-00155d82e902")</f>
        <v>https://knigipp.ru/api/getInfo/item/eda0ffa1-3066-11ee-a23e-00155d82e902</v>
      </c>
      <c r="AL775" s="3" t="s">
        <v>2744</v>
      </c>
    </row>
    <row r="776" spans="1:38" ht="21" customHeight="1" outlineLevel="4" x14ac:dyDescent="0.2">
      <c r="A776" s="2">
        <v>577</v>
      </c>
      <c r="B776" s="3" t="s">
        <v>3387</v>
      </c>
      <c r="C776" s="49" t="s">
        <v>3388</v>
      </c>
      <c r="D776" s="49"/>
      <c r="E776" s="49"/>
      <c r="F776" s="49"/>
      <c r="G776" s="4" t="s">
        <v>3389</v>
      </c>
      <c r="H776" s="8"/>
      <c r="I776" s="9" t="s">
        <v>3374</v>
      </c>
      <c r="J776" s="10"/>
      <c r="K776" s="11">
        <v>50</v>
      </c>
      <c r="L776" s="10"/>
      <c r="M776" s="10" t="s">
        <v>47</v>
      </c>
      <c r="N776" s="10"/>
      <c r="O776" s="2">
        <v>4</v>
      </c>
      <c r="P776" s="17">
        <f>177*(1-S3/100)</f>
        <v>177</v>
      </c>
      <c r="Q776" s="18"/>
      <c r="R776" s="10">
        <f>P776*Q776</f>
        <v>0</v>
      </c>
      <c r="S776" s="19">
        <f>0.072*Q776</f>
        <v>0</v>
      </c>
      <c r="T776" s="20">
        <f>0.00065*Q776</f>
        <v>0</v>
      </c>
      <c r="U776" s="21"/>
      <c r="V776" s="22" t="s">
        <v>3390</v>
      </c>
      <c r="W776" s="22" t="s">
        <v>191</v>
      </c>
      <c r="X776" s="3"/>
      <c r="Y776" s="3" t="s">
        <v>3391</v>
      </c>
      <c r="Z776" s="3" t="s">
        <v>52</v>
      </c>
      <c r="AA776" s="3"/>
      <c r="AB776" s="3"/>
      <c r="AC776" s="3" t="str">
        <f>HYPERLINK("https://knigipp.ru/api/getInfo/image/2c3f4806-3068-11ee-a23e-00155d82e902")</f>
        <v>https://knigipp.ru/api/getInfo/image/2c3f4806-3068-11ee-a23e-00155d82e902</v>
      </c>
      <c r="AD776" s="32">
        <v>32</v>
      </c>
      <c r="AE776" s="3" t="s">
        <v>54</v>
      </c>
      <c r="AF776" s="3" t="s">
        <v>136</v>
      </c>
      <c r="AG776" s="3"/>
      <c r="AH776" s="3" t="s">
        <v>56</v>
      </c>
      <c r="AI776" s="3"/>
      <c r="AJ776" s="3"/>
      <c r="AK776" s="3" t="str">
        <f>HYPERLINK("https://knigipp.ru/api/getInfo/item/2c3f4806-3068-11ee-a23e-00155d82e902")</f>
        <v>https://knigipp.ru/api/getInfo/item/2c3f4806-3068-11ee-a23e-00155d82e902</v>
      </c>
      <c r="AL776" s="3" t="s">
        <v>2744</v>
      </c>
    </row>
    <row r="777" spans="1:38" ht="23.1" customHeight="1" outlineLevel="3" x14ac:dyDescent="0.2">
      <c r="A777" s="48" t="s">
        <v>3392</v>
      </c>
      <c r="B777" s="48"/>
      <c r="C777" s="48"/>
      <c r="D777" s="48"/>
      <c r="E777" s="48"/>
      <c r="F777" s="48"/>
    </row>
    <row r="778" spans="1:38" ht="21" customHeight="1" outlineLevel="4" x14ac:dyDescent="0.2">
      <c r="A778" s="2">
        <v>578</v>
      </c>
      <c r="B778" s="3" t="s">
        <v>3393</v>
      </c>
      <c r="C778" s="49" t="s">
        <v>3394</v>
      </c>
      <c r="D778" s="49"/>
      <c r="E778" s="49"/>
      <c r="F778" s="49"/>
      <c r="G778" s="4" t="s">
        <v>3395</v>
      </c>
      <c r="H778" s="8"/>
      <c r="I778" s="9" t="s">
        <v>3396</v>
      </c>
      <c r="J778" s="10"/>
      <c r="K778" s="11">
        <v>10</v>
      </c>
      <c r="L778" s="10"/>
      <c r="M778" s="10" t="s">
        <v>78</v>
      </c>
      <c r="N778" s="10"/>
      <c r="O778" s="2">
        <v>4</v>
      </c>
      <c r="P778" s="17">
        <f>169*(1-S3/100)</f>
        <v>169</v>
      </c>
      <c r="Q778" s="18"/>
      <c r="R778" s="10">
        <f>P778*Q778</f>
        <v>0</v>
      </c>
      <c r="S778" s="19">
        <f>0.187*Q778</f>
        <v>0</v>
      </c>
      <c r="T778" s="20">
        <f>0.00031*Q778</f>
        <v>0</v>
      </c>
      <c r="U778" s="21"/>
      <c r="V778" s="22" t="s">
        <v>3397</v>
      </c>
      <c r="W778" s="22" t="s">
        <v>49</v>
      </c>
      <c r="X778" s="3"/>
      <c r="Y778" s="3" t="s">
        <v>3398</v>
      </c>
      <c r="Z778" s="3" t="s">
        <v>52</v>
      </c>
      <c r="AA778" s="3"/>
      <c r="AB778" s="3"/>
      <c r="AC778" s="3" t="str">
        <f>HYPERLINK("https://knigipp.ru/api/getInfo/image/e4e23cbf-3b4e-11ee-a241-00155d82e902")</f>
        <v>https://knigipp.ru/api/getInfo/image/e4e23cbf-3b4e-11ee-a241-00155d82e902</v>
      </c>
      <c r="AD778" s="32">
        <v>96</v>
      </c>
      <c r="AE778" s="3" t="s">
        <v>481</v>
      </c>
      <c r="AF778" s="3" t="s">
        <v>741</v>
      </c>
      <c r="AG778" s="3"/>
      <c r="AH778" s="3" t="s">
        <v>56</v>
      </c>
      <c r="AI778" s="3"/>
      <c r="AJ778" s="3"/>
      <c r="AK778" s="3" t="str">
        <f>HYPERLINK("https://knigipp.ru/api/getInfo/item/e4e23cbf-3b4e-11ee-a241-00155d82e902")</f>
        <v>https://knigipp.ru/api/getInfo/item/e4e23cbf-3b4e-11ee-a241-00155d82e902</v>
      </c>
      <c r="AL778" s="3" t="s">
        <v>3399</v>
      </c>
    </row>
    <row r="779" spans="1:38" ht="23.1" customHeight="1" outlineLevel="3" x14ac:dyDescent="0.2">
      <c r="A779" s="48" t="s">
        <v>3400</v>
      </c>
      <c r="B779" s="48"/>
      <c r="C779" s="48"/>
      <c r="D779" s="48"/>
      <c r="E779" s="48"/>
      <c r="F779" s="48"/>
    </row>
    <row r="780" spans="1:38" ht="21" customHeight="1" outlineLevel="4" x14ac:dyDescent="0.2">
      <c r="A780" s="2">
        <v>579</v>
      </c>
      <c r="B780" s="3" t="s">
        <v>3401</v>
      </c>
      <c r="C780" s="49" t="s">
        <v>3402</v>
      </c>
      <c r="D780" s="49"/>
      <c r="E780" s="49"/>
      <c r="F780" s="49"/>
      <c r="G780" s="4" t="s">
        <v>3403</v>
      </c>
      <c r="H780" s="8"/>
      <c r="I780" s="9" t="s">
        <v>3404</v>
      </c>
      <c r="J780" s="10"/>
      <c r="K780" s="11">
        <v>10</v>
      </c>
      <c r="L780" s="10"/>
      <c r="M780" s="10" t="s">
        <v>47</v>
      </c>
      <c r="N780" s="10"/>
      <c r="O780" s="2">
        <v>3</v>
      </c>
      <c r="P780" s="17">
        <f>239*(1-S3/100)</f>
        <v>239</v>
      </c>
      <c r="Q780" s="18"/>
      <c r="R780" s="10">
        <f>P780*Q780</f>
        <v>0</v>
      </c>
      <c r="S780" s="19">
        <f>0.293*Q780</f>
        <v>0</v>
      </c>
      <c r="T780" s="20">
        <f>0.00042*Q780</f>
        <v>0</v>
      </c>
      <c r="U780" s="21"/>
      <c r="V780" s="22" t="s">
        <v>3405</v>
      </c>
      <c r="W780" s="22" t="s">
        <v>191</v>
      </c>
      <c r="X780" s="3"/>
      <c r="Y780" s="3"/>
      <c r="Z780" s="3" t="s">
        <v>52</v>
      </c>
      <c r="AA780" s="3" t="s">
        <v>3406</v>
      </c>
      <c r="AB780" s="3"/>
      <c r="AC780" s="3" t="str">
        <f>HYPERLINK("https://knigipp.ru/api/getInfo/image/97747a82-3b4c-11ee-a241-00155d82e902")</f>
        <v>https://knigipp.ru/api/getInfo/image/97747a82-3b4c-11ee-a241-00155d82e902</v>
      </c>
      <c r="AD780" s="32">
        <v>96</v>
      </c>
      <c r="AE780" s="3"/>
      <c r="AF780" s="3" t="s">
        <v>55</v>
      </c>
      <c r="AG780" s="3"/>
      <c r="AH780" s="3" t="s">
        <v>56</v>
      </c>
      <c r="AI780" s="3"/>
      <c r="AJ780" s="3"/>
      <c r="AK780" s="3" t="str">
        <f>HYPERLINK("https://knigipp.ru/api/getInfo/item/97747a82-3b4c-11ee-a241-00155d82e902")</f>
        <v>https://knigipp.ru/api/getInfo/item/97747a82-3b4c-11ee-a241-00155d82e902</v>
      </c>
      <c r="AL780" s="3" t="s">
        <v>3407</v>
      </c>
    </row>
    <row r="781" spans="1:38" ht="21" customHeight="1" outlineLevel="4" x14ac:dyDescent="0.2">
      <c r="A781" s="2">
        <v>580</v>
      </c>
      <c r="B781" s="3" t="s">
        <v>3408</v>
      </c>
      <c r="C781" s="49" t="s">
        <v>3409</v>
      </c>
      <c r="D781" s="49"/>
      <c r="E781" s="49"/>
      <c r="F781" s="49"/>
      <c r="G781" s="4" t="s">
        <v>3410</v>
      </c>
      <c r="H781" s="8"/>
      <c r="I781" s="9" t="s">
        <v>3411</v>
      </c>
      <c r="J781" s="10"/>
      <c r="K781" s="11">
        <v>10</v>
      </c>
      <c r="L781" s="10"/>
      <c r="M781" s="10" t="s">
        <v>47</v>
      </c>
      <c r="N781" s="10"/>
      <c r="O781" s="2">
        <v>3</v>
      </c>
      <c r="P781" s="17">
        <f>239*(1-S3/100)</f>
        <v>239</v>
      </c>
      <c r="Q781" s="18"/>
      <c r="R781" s="10">
        <f>P781*Q781</f>
        <v>0</v>
      </c>
      <c r="S781" s="19">
        <f>0.293*Q781</f>
        <v>0</v>
      </c>
      <c r="T781" s="20">
        <f>0.00042*Q781</f>
        <v>0</v>
      </c>
      <c r="U781" s="21"/>
      <c r="V781" s="22" t="s">
        <v>3412</v>
      </c>
      <c r="W781" s="22" t="s">
        <v>191</v>
      </c>
      <c r="X781" s="3"/>
      <c r="Y781" s="3" t="s">
        <v>3413</v>
      </c>
      <c r="Z781" s="3" t="s">
        <v>52</v>
      </c>
      <c r="AA781" s="3" t="s">
        <v>3406</v>
      </c>
      <c r="AB781" s="3"/>
      <c r="AC781" s="3" t="str">
        <f>HYPERLINK("https://knigipp.ru/api/getInfo/image/b8acfc1b-3b4c-11ee-a241-00155d82e902")</f>
        <v>https://knigipp.ru/api/getInfo/image/b8acfc1b-3b4c-11ee-a241-00155d82e902</v>
      </c>
      <c r="AD781" s="32">
        <v>96</v>
      </c>
      <c r="AE781" s="3"/>
      <c r="AF781" s="3" t="s">
        <v>55</v>
      </c>
      <c r="AG781" s="3"/>
      <c r="AH781" s="3" t="s">
        <v>56</v>
      </c>
      <c r="AI781" s="3"/>
      <c r="AJ781" s="3"/>
      <c r="AK781" s="3" t="str">
        <f>HYPERLINK("https://knigipp.ru/api/getInfo/item/b8acfc1b-3b4c-11ee-a241-00155d82e902")</f>
        <v>https://knigipp.ru/api/getInfo/item/b8acfc1b-3b4c-11ee-a241-00155d82e902</v>
      </c>
      <c r="AL781" s="3" t="s">
        <v>3407</v>
      </c>
    </row>
    <row r="782" spans="1:38" ht="21" customHeight="1" outlineLevel="4" x14ac:dyDescent="0.2">
      <c r="A782" s="2">
        <v>581</v>
      </c>
      <c r="B782" s="3" t="s">
        <v>3414</v>
      </c>
      <c r="C782" s="49" t="s">
        <v>3415</v>
      </c>
      <c r="D782" s="49"/>
      <c r="E782" s="49"/>
      <c r="F782" s="49"/>
      <c r="G782" s="4" t="s">
        <v>3416</v>
      </c>
      <c r="H782" s="8"/>
      <c r="I782" s="9" t="s">
        <v>3417</v>
      </c>
      <c r="J782" s="10"/>
      <c r="K782" s="11">
        <v>10</v>
      </c>
      <c r="L782" s="10"/>
      <c r="M782" s="10" t="s">
        <v>47</v>
      </c>
      <c r="N782" s="10"/>
      <c r="O782" s="2">
        <v>3</v>
      </c>
      <c r="P782" s="17">
        <f>239*(1-S3/100)</f>
        <v>239</v>
      </c>
      <c r="Q782" s="18"/>
      <c r="R782" s="10">
        <f>P782*Q782</f>
        <v>0</v>
      </c>
      <c r="S782" s="19">
        <f>0.293*Q782</f>
        <v>0</v>
      </c>
      <c r="T782" s="20">
        <f>0.00042*Q782</f>
        <v>0</v>
      </c>
      <c r="U782" s="21"/>
      <c r="V782" s="22" t="s">
        <v>3418</v>
      </c>
      <c r="W782" s="22" t="s">
        <v>191</v>
      </c>
      <c r="X782" s="3"/>
      <c r="Y782" s="3"/>
      <c r="Z782" s="3" t="s">
        <v>52</v>
      </c>
      <c r="AA782" s="3" t="s">
        <v>3406</v>
      </c>
      <c r="AB782" s="3"/>
      <c r="AC782" s="3" t="str">
        <f>HYPERLINK("https://knigipp.ru/api/getInfo/image/dab4e807-3b4c-11ee-a241-00155d82e902")</f>
        <v>https://knigipp.ru/api/getInfo/image/dab4e807-3b4c-11ee-a241-00155d82e902</v>
      </c>
      <c r="AD782" s="32">
        <v>96</v>
      </c>
      <c r="AE782" s="3"/>
      <c r="AF782" s="3" t="s">
        <v>55</v>
      </c>
      <c r="AG782" s="3"/>
      <c r="AH782" s="3" t="s">
        <v>56</v>
      </c>
      <c r="AI782" s="3"/>
      <c r="AJ782" s="3"/>
      <c r="AK782" s="3" t="str">
        <f>HYPERLINK("https://knigipp.ru/api/getInfo/item/dab4e807-3b4c-11ee-a241-00155d82e902")</f>
        <v>https://knigipp.ru/api/getInfo/item/dab4e807-3b4c-11ee-a241-00155d82e902</v>
      </c>
      <c r="AL782" s="3" t="s">
        <v>3407</v>
      </c>
    </row>
    <row r="783" spans="1:38" ht="21" customHeight="1" outlineLevel="4" x14ac:dyDescent="0.2">
      <c r="A783" s="2">
        <v>582</v>
      </c>
      <c r="B783" s="3" t="s">
        <v>3419</v>
      </c>
      <c r="C783" s="49" t="s">
        <v>3420</v>
      </c>
      <c r="D783" s="49"/>
      <c r="E783" s="49"/>
      <c r="F783" s="49"/>
      <c r="G783" s="4" t="s">
        <v>3421</v>
      </c>
      <c r="H783" s="8"/>
      <c r="I783" s="9" t="s">
        <v>3422</v>
      </c>
      <c r="J783" s="10"/>
      <c r="K783" s="11">
        <v>10</v>
      </c>
      <c r="L783" s="10"/>
      <c r="M783" s="10" t="s">
        <v>47</v>
      </c>
      <c r="N783" s="10"/>
      <c r="O783" s="2">
        <v>3</v>
      </c>
      <c r="P783" s="17">
        <f>239*(1-S3/100)</f>
        <v>239</v>
      </c>
      <c r="Q783" s="18"/>
      <c r="R783" s="10">
        <f>P783*Q783</f>
        <v>0</v>
      </c>
      <c r="S783" s="19">
        <f>0.293*Q783</f>
        <v>0</v>
      </c>
      <c r="T783" s="20">
        <f>0.00042*Q783</f>
        <v>0</v>
      </c>
      <c r="U783" s="21"/>
      <c r="V783" s="22" t="s">
        <v>3423</v>
      </c>
      <c r="W783" s="22" t="s">
        <v>191</v>
      </c>
      <c r="X783" s="3"/>
      <c r="Y783" s="3"/>
      <c r="Z783" s="3" t="s">
        <v>52</v>
      </c>
      <c r="AA783" s="3"/>
      <c r="AB783" s="3"/>
      <c r="AC783" s="3" t="str">
        <f>HYPERLINK("https://knigipp.ru/api/getInfo/image/a581778e-0944-11ef-a25d-00155d82e908")</f>
        <v>https://knigipp.ru/api/getInfo/image/a581778e-0944-11ef-a25d-00155d82e908</v>
      </c>
      <c r="AD783" s="32">
        <v>96</v>
      </c>
      <c r="AE783" s="3"/>
      <c r="AF783" s="3" t="s">
        <v>55</v>
      </c>
      <c r="AG783" s="3"/>
      <c r="AH783" s="3" t="s">
        <v>56</v>
      </c>
      <c r="AI783" s="3"/>
      <c r="AJ783" s="3"/>
      <c r="AK783" s="3" t="str">
        <f>HYPERLINK("https://knigipp.ru/api/getInfo/item/a581778e-0944-11ef-a25d-00155d82e908")</f>
        <v>https://knigipp.ru/api/getInfo/item/a581778e-0944-11ef-a25d-00155d82e908</v>
      </c>
      <c r="AL783" s="3" t="s">
        <v>3407</v>
      </c>
    </row>
    <row r="784" spans="1:38" ht="23.1" customHeight="1" outlineLevel="2" x14ac:dyDescent="0.2">
      <c r="A784" s="47" t="s">
        <v>3424</v>
      </c>
      <c r="B784" s="47"/>
      <c r="C784" s="47"/>
      <c r="D784" s="47"/>
      <c r="E784" s="47"/>
      <c r="F784" s="47"/>
    </row>
    <row r="785" spans="1:38" ht="23.1" customHeight="1" outlineLevel="3" x14ac:dyDescent="0.2">
      <c r="A785" s="48" t="s">
        <v>3425</v>
      </c>
      <c r="B785" s="48"/>
      <c r="C785" s="48"/>
      <c r="D785" s="48"/>
      <c r="E785" s="48"/>
      <c r="F785" s="48"/>
    </row>
    <row r="786" spans="1:38" ht="21" customHeight="1" outlineLevel="4" x14ac:dyDescent="0.2">
      <c r="A786" s="2">
        <v>583</v>
      </c>
      <c r="B786" s="3" t="s">
        <v>3426</v>
      </c>
      <c r="C786" s="49" t="s">
        <v>3427</v>
      </c>
      <c r="D786" s="49"/>
      <c r="E786" s="49"/>
      <c r="F786" s="49"/>
      <c r="G786" s="4" t="s">
        <v>3428</v>
      </c>
      <c r="H786" s="8"/>
      <c r="I786" s="9" t="s">
        <v>3429</v>
      </c>
      <c r="J786" s="10"/>
      <c r="K786" s="11">
        <v>16</v>
      </c>
      <c r="L786" s="10"/>
      <c r="M786" s="10" t="s">
        <v>47</v>
      </c>
      <c r="N786" s="10"/>
      <c r="O786" s="2">
        <v>3</v>
      </c>
      <c r="P786" s="17">
        <f>347*(1-S3/100)</f>
        <v>347</v>
      </c>
      <c r="Q786" s="18"/>
      <c r="R786" s="10">
        <f>P786*Q786</f>
        <v>0</v>
      </c>
      <c r="S786" s="19">
        <f>0.208*Q786</f>
        <v>0</v>
      </c>
      <c r="T786" s="20">
        <f>0.00045*Q786</f>
        <v>0</v>
      </c>
      <c r="U786" s="21"/>
      <c r="V786" s="22" t="s">
        <v>3430</v>
      </c>
      <c r="W786" s="22" t="s">
        <v>191</v>
      </c>
      <c r="X786" s="3"/>
      <c r="Y786" s="3"/>
      <c r="Z786" s="3" t="s">
        <v>52</v>
      </c>
      <c r="AA786" s="3"/>
      <c r="AB786" s="3"/>
      <c r="AC786" s="3" t="str">
        <f>HYPERLINK("https://knigipp.ru/api/getInfo/image/1ff94417-d872-11ed-a232-00155d82e902")</f>
        <v>https://knigipp.ru/api/getInfo/image/1ff94417-d872-11ed-a232-00155d82e902</v>
      </c>
      <c r="AD786" s="32">
        <v>112</v>
      </c>
      <c r="AE786" s="3" t="s">
        <v>355</v>
      </c>
      <c r="AF786" s="3" t="s">
        <v>127</v>
      </c>
      <c r="AG786" s="3"/>
      <c r="AH786" s="3" t="s">
        <v>56</v>
      </c>
      <c r="AI786" s="3"/>
      <c r="AJ786" s="3"/>
      <c r="AK786" s="3" t="str">
        <f>HYPERLINK("https://knigipp.ru/api/getInfo/item/1ff94417-d872-11ed-a232-00155d82e902")</f>
        <v>https://knigipp.ru/api/getInfo/item/1ff94417-d872-11ed-a232-00155d82e902</v>
      </c>
      <c r="AL786" s="3" t="s">
        <v>2753</v>
      </c>
    </row>
    <row r="787" spans="1:38" ht="21" customHeight="1" outlineLevel="4" x14ac:dyDescent="0.2">
      <c r="A787" s="2">
        <v>584</v>
      </c>
      <c r="B787" s="3" t="s">
        <v>3431</v>
      </c>
      <c r="C787" s="49" t="s">
        <v>3432</v>
      </c>
      <c r="D787" s="49"/>
      <c r="E787" s="49"/>
      <c r="F787" s="49"/>
      <c r="G787" s="4" t="s">
        <v>3433</v>
      </c>
      <c r="H787" s="8"/>
      <c r="I787" s="9" t="s">
        <v>3434</v>
      </c>
      <c r="J787" s="10"/>
      <c r="K787" s="11">
        <v>16</v>
      </c>
      <c r="L787" s="10"/>
      <c r="M787" s="10" t="s">
        <v>47</v>
      </c>
      <c r="N787" s="10"/>
      <c r="O787" s="2">
        <v>3</v>
      </c>
      <c r="P787" s="17">
        <f>347*(1-S3/100)</f>
        <v>347</v>
      </c>
      <c r="Q787" s="18"/>
      <c r="R787" s="10">
        <f>P787*Q787</f>
        <v>0</v>
      </c>
      <c r="S787" s="19">
        <f>4.527*Q787</f>
        <v>0</v>
      </c>
      <c r="T787" s="20">
        <f>0.04438*Q787</f>
        <v>0</v>
      </c>
      <c r="U787" s="21"/>
      <c r="V787" s="22" t="s">
        <v>3435</v>
      </c>
      <c r="W787" s="22" t="s">
        <v>191</v>
      </c>
      <c r="X787" s="3"/>
      <c r="Y787" s="3"/>
      <c r="Z787" s="3" t="s">
        <v>52</v>
      </c>
      <c r="AA787" s="3"/>
      <c r="AB787" s="3"/>
      <c r="AC787" s="3" t="str">
        <f>HYPERLINK("https://knigipp.ru/api/getInfo/image/5b09c583-d872-11ed-a232-00155d82e902")</f>
        <v>https://knigipp.ru/api/getInfo/image/5b09c583-d872-11ed-a232-00155d82e902</v>
      </c>
      <c r="AD787" s="32">
        <v>112</v>
      </c>
      <c r="AE787" s="3" t="s">
        <v>355</v>
      </c>
      <c r="AF787" s="3" t="s">
        <v>127</v>
      </c>
      <c r="AG787" s="3"/>
      <c r="AH787" s="3" t="s">
        <v>56</v>
      </c>
      <c r="AI787" s="3"/>
      <c r="AJ787" s="3"/>
      <c r="AK787" s="3" t="str">
        <f>HYPERLINK("https://knigipp.ru/api/getInfo/item/5b09c583-d872-11ed-a232-00155d82e902")</f>
        <v>https://knigipp.ru/api/getInfo/item/5b09c583-d872-11ed-a232-00155d82e902</v>
      </c>
      <c r="AL787" s="3" t="s">
        <v>2753</v>
      </c>
    </row>
    <row r="788" spans="1:38" ht="23.1" customHeight="1" outlineLevel="3" x14ac:dyDescent="0.2">
      <c r="A788" s="48" t="s">
        <v>3436</v>
      </c>
      <c r="B788" s="48"/>
      <c r="C788" s="48"/>
      <c r="D788" s="48"/>
      <c r="E788" s="48"/>
      <c r="F788" s="48"/>
    </row>
    <row r="789" spans="1:38" ht="21" customHeight="1" outlineLevel="4" x14ac:dyDescent="0.2">
      <c r="A789" s="2">
        <v>585</v>
      </c>
      <c r="B789" s="3" t="s">
        <v>3437</v>
      </c>
      <c r="C789" s="49" t="s">
        <v>3438</v>
      </c>
      <c r="D789" s="49"/>
      <c r="E789" s="49"/>
      <c r="F789" s="49"/>
      <c r="G789" s="4" t="s">
        <v>3439</v>
      </c>
      <c r="H789" s="8"/>
      <c r="I789" s="9" t="s">
        <v>3440</v>
      </c>
      <c r="J789" s="10"/>
      <c r="K789" s="11">
        <v>10</v>
      </c>
      <c r="L789" s="10"/>
      <c r="M789" s="10" t="s">
        <v>47</v>
      </c>
      <c r="N789" s="10"/>
      <c r="O789" s="2">
        <v>2</v>
      </c>
      <c r="P789" s="17">
        <f>299*(1-S3/100)</f>
        <v>299</v>
      </c>
      <c r="Q789" s="18"/>
      <c r="R789" s="10">
        <f>P789*Q789</f>
        <v>0</v>
      </c>
      <c r="S789" s="28">
        <f>0.21*Q789</f>
        <v>0</v>
      </c>
      <c r="T789" s="30">
        <f>0.0002*Q789</f>
        <v>0</v>
      </c>
      <c r="U789" s="21"/>
      <c r="V789" s="22" t="s">
        <v>3441</v>
      </c>
      <c r="W789" s="22" t="s">
        <v>191</v>
      </c>
      <c r="X789" s="3"/>
      <c r="Y789" s="3" t="s">
        <v>3442</v>
      </c>
      <c r="Z789" s="3" t="s">
        <v>384</v>
      </c>
      <c r="AA789" s="3"/>
      <c r="AB789" s="3"/>
      <c r="AC789" s="3" t="str">
        <f>HYPERLINK("https://knigipp.ru/api/getInfo/image/2763a876-78ae-11ee-a248-00155d82e902")</f>
        <v>https://knigipp.ru/api/getInfo/image/2763a876-78ae-11ee-a248-00155d82e902</v>
      </c>
      <c r="AD789" s="32">
        <v>96</v>
      </c>
      <c r="AE789" s="3" t="s">
        <v>355</v>
      </c>
      <c r="AF789" s="3" t="s">
        <v>127</v>
      </c>
      <c r="AG789" s="3"/>
      <c r="AH789" s="3" t="s">
        <v>56</v>
      </c>
      <c r="AI789" s="3"/>
      <c r="AJ789" s="3"/>
      <c r="AK789" s="3" t="str">
        <f>HYPERLINK("https://knigipp.ru/api/getInfo/item/2763a876-78ae-11ee-a248-00155d82e902")</f>
        <v>https://knigipp.ru/api/getInfo/item/2763a876-78ae-11ee-a248-00155d82e902</v>
      </c>
      <c r="AL789" s="3" t="s">
        <v>2859</v>
      </c>
    </row>
    <row r="790" spans="1:38" ht="23.1" customHeight="1" outlineLevel="3" x14ac:dyDescent="0.2">
      <c r="A790" s="48" t="s">
        <v>3443</v>
      </c>
      <c r="B790" s="48"/>
      <c r="C790" s="48"/>
      <c r="D790" s="48"/>
      <c r="E790" s="48"/>
      <c r="F790" s="48"/>
    </row>
    <row r="791" spans="1:38" ht="21" customHeight="1" outlineLevel="4" x14ac:dyDescent="0.2">
      <c r="A791" s="2">
        <v>586</v>
      </c>
      <c r="B791" s="3" t="s">
        <v>3444</v>
      </c>
      <c r="C791" s="49" t="s">
        <v>3445</v>
      </c>
      <c r="D791" s="49"/>
      <c r="E791" s="49"/>
      <c r="F791" s="49"/>
      <c r="G791" s="4" t="s">
        <v>3446</v>
      </c>
      <c r="H791" s="8"/>
      <c r="I791" s="9" t="s">
        <v>3447</v>
      </c>
      <c r="J791" s="10"/>
      <c r="K791" s="11">
        <v>20</v>
      </c>
      <c r="L791" s="10"/>
      <c r="M791" s="10" t="s">
        <v>47</v>
      </c>
      <c r="N791" s="10"/>
      <c r="O791" s="2">
        <v>2</v>
      </c>
      <c r="P791" s="17">
        <f>299*(1-S3/100)</f>
        <v>299</v>
      </c>
      <c r="Q791" s="18"/>
      <c r="R791" s="10">
        <f>P791*Q791</f>
        <v>0</v>
      </c>
      <c r="S791" s="19">
        <f>0.225*Q791</f>
        <v>0</v>
      </c>
      <c r="T791" s="20">
        <f>0.00027*Q791</f>
        <v>0</v>
      </c>
      <c r="U791" s="21"/>
      <c r="V791" s="22" t="s">
        <v>3448</v>
      </c>
      <c r="W791" s="22" t="s">
        <v>191</v>
      </c>
      <c r="X791" s="3"/>
      <c r="Y791" s="3" t="s">
        <v>3449</v>
      </c>
      <c r="Z791" s="3" t="s">
        <v>52</v>
      </c>
      <c r="AA791" s="3"/>
      <c r="AB791" s="3"/>
      <c r="AC791" s="3" t="str">
        <f>HYPERLINK("https://knigipp.ru/api/getInfo/image/a515730a-5e59-11f0-a281-00155d82e908")</f>
        <v>https://knigipp.ru/api/getInfo/image/a515730a-5e59-11f0-a281-00155d82e908</v>
      </c>
      <c r="AD791" s="32">
        <v>112</v>
      </c>
      <c r="AE791" s="3"/>
      <c r="AF791" s="3" t="s">
        <v>127</v>
      </c>
      <c r="AG791" s="3"/>
      <c r="AH791" s="3" t="s">
        <v>56</v>
      </c>
      <c r="AI791" s="3"/>
      <c r="AJ791" s="3"/>
      <c r="AK791" s="3" t="str">
        <f>HYPERLINK("https://knigipp.ru/api/getInfo/item/a515730a-5e59-11f0-a281-00155d82e908")</f>
        <v>https://knigipp.ru/api/getInfo/item/a515730a-5e59-11f0-a281-00155d82e908</v>
      </c>
      <c r="AL791" s="3" t="s">
        <v>3450</v>
      </c>
    </row>
    <row r="792" spans="1:38" ht="21" customHeight="1" outlineLevel="4" x14ac:dyDescent="0.2">
      <c r="A792" s="2">
        <v>587</v>
      </c>
      <c r="B792" s="3" t="s">
        <v>3451</v>
      </c>
      <c r="C792" s="49" t="s">
        <v>3452</v>
      </c>
      <c r="D792" s="49"/>
      <c r="E792" s="49"/>
      <c r="F792" s="49"/>
      <c r="G792" s="4" t="s">
        <v>3453</v>
      </c>
      <c r="H792" s="8"/>
      <c r="I792" s="9" t="s">
        <v>3454</v>
      </c>
      <c r="J792" s="10"/>
      <c r="K792" s="11">
        <v>20</v>
      </c>
      <c r="L792" s="10"/>
      <c r="M792" s="10" t="s">
        <v>47</v>
      </c>
      <c r="N792" s="10"/>
      <c r="O792" s="2">
        <v>2</v>
      </c>
      <c r="P792" s="17">
        <f>299*(1-S3/100)</f>
        <v>299</v>
      </c>
      <c r="Q792" s="18"/>
      <c r="R792" s="10">
        <f>P792*Q792</f>
        <v>0</v>
      </c>
      <c r="S792" s="19">
        <f>0.227*Q792</f>
        <v>0</v>
      </c>
      <c r="T792" s="20">
        <f>0.00035*Q792</f>
        <v>0</v>
      </c>
      <c r="U792" s="21"/>
      <c r="V792" s="22" t="s">
        <v>3455</v>
      </c>
      <c r="W792" s="22" t="s">
        <v>191</v>
      </c>
      <c r="X792" s="3"/>
      <c r="Y792" s="3" t="s">
        <v>3456</v>
      </c>
      <c r="Z792" s="3" t="s">
        <v>52</v>
      </c>
      <c r="AA792" s="3"/>
      <c r="AB792" s="3"/>
      <c r="AC792" s="3" t="str">
        <f>HYPERLINK("https://knigipp.ru/api/getInfo/image/b43fa1b0-d287-11ec-a212-ac1f6b442185")</f>
        <v>https://knigipp.ru/api/getInfo/image/b43fa1b0-d287-11ec-a212-ac1f6b442185</v>
      </c>
      <c r="AD792" s="32">
        <v>112</v>
      </c>
      <c r="AE792" s="3"/>
      <c r="AF792" s="3" t="s">
        <v>127</v>
      </c>
      <c r="AG792" s="3"/>
      <c r="AH792" s="3" t="s">
        <v>56</v>
      </c>
      <c r="AI792" s="3"/>
      <c r="AJ792" s="3"/>
      <c r="AK792" s="3" t="str">
        <f>HYPERLINK("https://knigipp.ru/api/getInfo/item/b43fa1b0-d287-11ec-a212-ac1f6b442185")</f>
        <v>https://knigipp.ru/api/getInfo/item/b43fa1b0-d287-11ec-a212-ac1f6b442185</v>
      </c>
      <c r="AL792" s="3" t="s">
        <v>3450</v>
      </c>
    </row>
    <row r="793" spans="1:38" ht="21" customHeight="1" outlineLevel="4" x14ac:dyDescent="0.2">
      <c r="A793" s="2">
        <v>588</v>
      </c>
      <c r="B793" s="3" t="s">
        <v>3457</v>
      </c>
      <c r="C793" s="49" t="s">
        <v>3458</v>
      </c>
      <c r="D793" s="49"/>
      <c r="E793" s="49"/>
      <c r="F793" s="49"/>
      <c r="G793" s="4" t="s">
        <v>3459</v>
      </c>
      <c r="H793" s="8"/>
      <c r="I793" s="9" t="s">
        <v>3454</v>
      </c>
      <c r="J793" s="10"/>
      <c r="K793" s="11">
        <v>20</v>
      </c>
      <c r="L793" s="10"/>
      <c r="M793" s="10" t="s">
        <v>78</v>
      </c>
      <c r="N793" s="10"/>
      <c r="O793" s="2">
        <v>2</v>
      </c>
      <c r="P793" s="17">
        <f>299*(1-S3/100)</f>
        <v>299</v>
      </c>
      <c r="Q793" s="18"/>
      <c r="R793" s="10">
        <f>P793*Q793</f>
        <v>0</v>
      </c>
      <c r="S793" s="19">
        <f>0.232*Q793</f>
        <v>0</v>
      </c>
      <c r="T793" s="20">
        <f>0.00024*Q793</f>
        <v>0</v>
      </c>
      <c r="U793" s="21"/>
      <c r="V793" s="22" t="s">
        <v>3460</v>
      </c>
      <c r="W793" s="22" t="s">
        <v>191</v>
      </c>
      <c r="X793" s="3"/>
      <c r="Y793" s="3"/>
      <c r="Z793" s="3" t="s">
        <v>52</v>
      </c>
      <c r="AA793" s="3"/>
      <c r="AB793" s="3"/>
      <c r="AC793" s="3" t="str">
        <f>HYPERLINK("https://knigipp.ru/api/getInfo/image/010126fc-d289-11ec-a212-ac1f6b442185")</f>
        <v>https://knigipp.ru/api/getInfo/image/010126fc-d289-11ec-a212-ac1f6b442185</v>
      </c>
      <c r="AD793" s="32">
        <v>112</v>
      </c>
      <c r="AE793" s="3"/>
      <c r="AF793" s="3" t="s">
        <v>127</v>
      </c>
      <c r="AG793" s="3"/>
      <c r="AH793" s="3" t="s">
        <v>56</v>
      </c>
      <c r="AI793" s="3"/>
      <c r="AJ793" s="3"/>
      <c r="AK793" s="3" t="str">
        <f>HYPERLINK("https://knigipp.ru/api/getInfo/item/010126fc-d289-11ec-a212-ac1f6b442185")</f>
        <v>https://knigipp.ru/api/getInfo/item/010126fc-d289-11ec-a212-ac1f6b442185</v>
      </c>
      <c r="AL793" s="3" t="s">
        <v>3450</v>
      </c>
    </row>
    <row r="794" spans="1:38" ht="23.1" customHeight="1" outlineLevel="3" x14ac:dyDescent="0.2">
      <c r="A794" s="48" t="s">
        <v>3461</v>
      </c>
      <c r="B794" s="48"/>
      <c r="C794" s="48"/>
      <c r="D794" s="48"/>
      <c r="E794" s="48"/>
      <c r="F794" s="48"/>
    </row>
    <row r="795" spans="1:38" ht="21" customHeight="1" outlineLevel="4" x14ac:dyDescent="0.2">
      <c r="A795" s="2">
        <v>589</v>
      </c>
      <c r="B795" s="3" t="s">
        <v>3462</v>
      </c>
      <c r="C795" s="49" t="s">
        <v>3463</v>
      </c>
      <c r="D795" s="49"/>
      <c r="E795" s="49"/>
      <c r="F795" s="49"/>
      <c r="G795" s="4" t="s">
        <v>3464</v>
      </c>
      <c r="H795" s="8"/>
      <c r="I795" s="9" t="s">
        <v>3465</v>
      </c>
      <c r="J795" s="10"/>
      <c r="K795" s="11">
        <v>40</v>
      </c>
      <c r="L795" s="10"/>
      <c r="M795" s="10" t="s">
        <v>47</v>
      </c>
      <c r="N795" s="10"/>
      <c r="O795" s="2">
        <v>3</v>
      </c>
      <c r="P795" s="17">
        <f>199*(1-S3/100)</f>
        <v>199</v>
      </c>
      <c r="Q795" s="18"/>
      <c r="R795" s="10">
        <f>P795*Q795</f>
        <v>0</v>
      </c>
      <c r="S795" s="19">
        <f>0.176*Q795</f>
        <v>0</v>
      </c>
      <c r="T795" s="20">
        <f>0.00037*Q795</f>
        <v>0</v>
      </c>
      <c r="U795" s="21"/>
      <c r="V795" s="22" t="s">
        <v>3466</v>
      </c>
      <c r="W795" s="22" t="s">
        <v>191</v>
      </c>
      <c r="X795" s="3"/>
      <c r="Y795" s="3" t="s">
        <v>3467</v>
      </c>
      <c r="Z795" s="3" t="s">
        <v>52</v>
      </c>
      <c r="AA795" s="3"/>
      <c r="AB795" s="3"/>
      <c r="AC795" s="3" t="str">
        <f>HYPERLINK("https://knigipp.ru/api/getInfo/image/d40ace01-78b1-11ee-a248-00155d82e902")</f>
        <v>https://knigipp.ru/api/getInfo/image/d40ace01-78b1-11ee-a248-00155d82e902</v>
      </c>
      <c r="AD795" s="32">
        <v>80</v>
      </c>
      <c r="AE795" s="3" t="s">
        <v>54</v>
      </c>
      <c r="AF795" s="3" t="s">
        <v>55</v>
      </c>
      <c r="AG795" s="3"/>
      <c r="AH795" s="3" t="s">
        <v>56</v>
      </c>
      <c r="AI795" s="3"/>
      <c r="AJ795" s="3"/>
      <c r="AK795" s="3" t="str">
        <f>HYPERLINK("https://knigipp.ru/api/getInfo/item/d40ace01-78b1-11ee-a248-00155d82e902")</f>
        <v>https://knigipp.ru/api/getInfo/item/d40ace01-78b1-11ee-a248-00155d82e902</v>
      </c>
      <c r="AL795" s="3" t="s">
        <v>3323</v>
      </c>
    </row>
    <row r="796" spans="1:38" ht="23.1" customHeight="1" outlineLevel="3" x14ac:dyDescent="0.2">
      <c r="A796" s="48" t="s">
        <v>3468</v>
      </c>
      <c r="B796" s="48"/>
      <c r="C796" s="48"/>
      <c r="D796" s="48"/>
      <c r="E796" s="48"/>
      <c r="F796" s="48"/>
    </row>
    <row r="797" spans="1:38" ht="21" customHeight="1" outlineLevel="4" x14ac:dyDescent="0.2">
      <c r="A797" s="2">
        <v>590</v>
      </c>
      <c r="B797" s="3" t="s">
        <v>3469</v>
      </c>
      <c r="C797" s="49" t="s">
        <v>3470</v>
      </c>
      <c r="D797" s="49"/>
      <c r="E797" s="49"/>
      <c r="F797" s="49"/>
      <c r="G797" s="4" t="s">
        <v>3471</v>
      </c>
      <c r="H797" s="8"/>
      <c r="I797" s="9" t="s">
        <v>3472</v>
      </c>
      <c r="J797" s="10"/>
      <c r="K797" s="11">
        <v>30</v>
      </c>
      <c r="L797" s="10"/>
      <c r="M797" s="10" t="s">
        <v>47</v>
      </c>
      <c r="N797" s="10"/>
      <c r="O797" s="2">
        <v>5</v>
      </c>
      <c r="P797" s="17">
        <f>149*(1-S3/100)</f>
        <v>149</v>
      </c>
      <c r="Q797" s="18"/>
      <c r="R797" s="10">
        <f>P797*Q797</f>
        <v>0</v>
      </c>
      <c r="S797" s="19">
        <f>0.095*Q797</f>
        <v>0</v>
      </c>
      <c r="T797" s="20">
        <f>0.00034*Q797</f>
        <v>0</v>
      </c>
      <c r="U797" s="21"/>
      <c r="V797" s="22" t="s">
        <v>3473</v>
      </c>
      <c r="W797" s="22" t="s">
        <v>49</v>
      </c>
      <c r="X797" s="3"/>
      <c r="Y797" s="3" t="s">
        <v>3474</v>
      </c>
      <c r="Z797" s="3" t="s">
        <v>52</v>
      </c>
      <c r="AA797" s="3"/>
      <c r="AB797" s="3"/>
      <c r="AC797" s="3" t="str">
        <f>HYPERLINK("https://knigipp.ru/api/getInfo/image/b7ba4408-d1f9-11ed-a230-00155d82e902")</f>
        <v>https://knigipp.ru/api/getInfo/image/b7ba4408-d1f9-11ed-a230-00155d82e902</v>
      </c>
      <c r="AD797" s="32">
        <v>96</v>
      </c>
      <c r="AE797" s="3" t="s">
        <v>481</v>
      </c>
      <c r="AF797" s="3" t="s">
        <v>3475</v>
      </c>
      <c r="AG797" s="3"/>
      <c r="AH797" s="3" t="s">
        <v>56</v>
      </c>
      <c r="AI797" s="3"/>
      <c r="AJ797" s="3"/>
      <c r="AK797" s="3" t="str">
        <f>HYPERLINK("https://knigipp.ru/api/getInfo/item/b7ba4408-d1f9-11ed-a230-00155d82e902")</f>
        <v>https://knigipp.ru/api/getInfo/item/b7ba4408-d1f9-11ed-a230-00155d82e902</v>
      </c>
      <c r="AL797" s="3" t="s">
        <v>3476</v>
      </c>
    </row>
    <row r="798" spans="1:38" ht="23.1" customHeight="1" outlineLevel="2" x14ac:dyDescent="0.2">
      <c r="A798" s="47" t="s">
        <v>3477</v>
      </c>
      <c r="B798" s="47"/>
      <c r="C798" s="47"/>
      <c r="D798" s="47"/>
      <c r="E798" s="47"/>
      <c r="F798" s="47"/>
    </row>
    <row r="799" spans="1:38" ht="23.1" customHeight="1" outlineLevel="3" x14ac:dyDescent="0.2">
      <c r="A799" s="48" t="s">
        <v>3478</v>
      </c>
      <c r="B799" s="48"/>
      <c r="C799" s="48"/>
      <c r="D799" s="48"/>
      <c r="E799" s="48"/>
      <c r="F799" s="48"/>
    </row>
    <row r="800" spans="1:38" ht="21" customHeight="1" outlineLevel="4" x14ac:dyDescent="0.2">
      <c r="A800" s="2">
        <v>591</v>
      </c>
      <c r="B800" s="3" t="s">
        <v>3479</v>
      </c>
      <c r="C800" s="49" t="s">
        <v>3480</v>
      </c>
      <c r="D800" s="49"/>
      <c r="E800" s="49"/>
      <c r="F800" s="49"/>
      <c r="G800" s="4" t="s">
        <v>3481</v>
      </c>
      <c r="H800" s="8"/>
      <c r="I800" s="9" t="s">
        <v>3482</v>
      </c>
      <c r="J800" s="10"/>
      <c r="K800" s="11">
        <v>20</v>
      </c>
      <c r="L800" s="10"/>
      <c r="M800" s="10" t="s">
        <v>47</v>
      </c>
      <c r="N800" s="10"/>
      <c r="O800" s="2">
        <v>1</v>
      </c>
      <c r="P800" s="17">
        <f>297*(1-S3/100)</f>
        <v>297</v>
      </c>
      <c r="Q800" s="18"/>
      <c r="R800" s="10">
        <f>P800*Q800</f>
        <v>0</v>
      </c>
      <c r="S800" s="19">
        <f>0.278*Q800</f>
        <v>0</v>
      </c>
      <c r="T800" s="20">
        <f>0.00031*Q800</f>
        <v>0</v>
      </c>
      <c r="U800" s="21"/>
      <c r="V800" s="22" t="s">
        <v>3483</v>
      </c>
      <c r="W800" s="22" t="s">
        <v>191</v>
      </c>
      <c r="X800" s="3"/>
      <c r="Y800" s="3"/>
      <c r="Z800" s="3" t="s">
        <v>52</v>
      </c>
      <c r="AA800" s="3"/>
      <c r="AB800" s="3"/>
      <c r="AC800" s="3" t="str">
        <f>HYPERLINK("https://knigipp.ru/api/getInfo/image/2240e530-734c-11ea-a244-ac1f6b442184")</f>
        <v>https://knigipp.ru/api/getInfo/image/2240e530-734c-11ea-a244-ac1f6b442184</v>
      </c>
      <c r="AD800" s="32">
        <v>80</v>
      </c>
      <c r="AE800" s="3"/>
      <c r="AF800" s="3" t="s">
        <v>55</v>
      </c>
      <c r="AG800" s="3"/>
      <c r="AH800" s="3" t="s">
        <v>56</v>
      </c>
      <c r="AI800" s="3"/>
      <c r="AJ800" s="3"/>
      <c r="AK800" s="3" t="str">
        <f>HYPERLINK("https://knigipp.ru/api/getInfo/item/2240e530-734c-11ea-a244-ac1f6b442184")</f>
        <v>https://knigipp.ru/api/getInfo/item/2240e530-734c-11ea-a244-ac1f6b442184</v>
      </c>
      <c r="AL800" s="3" t="s">
        <v>1548</v>
      </c>
    </row>
    <row r="801" spans="1:38" ht="21" customHeight="1" outlineLevel="4" x14ac:dyDescent="0.2">
      <c r="A801" s="2">
        <v>592</v>
      </c>
      <c r="B801" s="3" t="s">
        <v>3484</v>
      </c>
      <c r="C801" s="49" t="s">
        <v>3485</v>
      </c>
      <c r="D801" s="49"/>
      <c r="E801" s="49"/>
      <c r="F801" s="49"/>
      <c r="G801" s="4" t="s">
        <v>3486</v>
      </c>
      <c r="H801" s="8"/>
      <c r="I801" s="9" t="s">
        <v>3487</v>
      </c>
      <c r="J801" s="10"/>
      <c r="K801" s="11">
        <v>20</v>
      </c>
      <c r="L801" s="10"/>
      <c r="M801" s="10" t="s">
        <v>47</v>
      </c>
      <c r="N801" s="10"/>
      <c r="O801" s="2">
        <v>1</v>
      </c>
      <c r="P801" s="17">
        <f>299*(1-S3/100)</f>
        <v>299</v>
      </c>
      <c r="Q801" s="18"/>
      <c r="R801" s="10">
        <f>P801*Q801</f>
        <v>0</v>
      </c>
      <c r="S801" s="28">
        <f>0.25*Q801</f>
        <v>0</v>
      </c>
      <c r="T801" s="30">
        <f>0.0004*Q801</f>
        <v>0</v>
      </c>
      <c r="U801" s="21"/>
      <c r="V801" s="22" t="s">
        <v>3488</v>
      </c>
      <c r="W801" s="22" t="s">
        <v>191</v>
      </c>
      <c r="X801" s="3"/>
      <c r="Y801" s="3"/>
      <c r="Z801" s="3" t="s">
        <v>52</v>
      </c>
      <c r="AA801" s="3"/>
      <c r="AB801" s="3"/>
      <c r="AC801" s="3" t="str">
        <f>HYPERLINK("https://knigipp.ru/api/getInfo/image/3751ea42-734d-11ea-a244-ac1f6b442184")</f>
        <v>https://knigipp.ru/api/getInfo/image/3751ea42-734d-11ea-a244-ac1f6b442184</v>
      </c>
      <c r="AD801" s="32">
        <v>160</v>
      </c>
      <c r="AE801" s="3"/>
      <c r="AF801" s="3" t="s">
        <v>127</v>
      </c>
      <c r="AG801" s="3"/>
      <c r="AH801" s="3" t="s">
        <v>56</v>
      </c>
      <c r="AI801" s="3"/>
      <c r="AJ801" s="3"/>
      <c r="AK801" s="3" t="str">
        <f>HYPERLINK("https://knigipp.ru/api/getInfo/item/3751ea42-734d-11ea-a244-ac1f6b442184")</f>
        <v>https://knigipp.ru/api/getInfo/item/3751ea42-734d-11ea-a244-ac1f6b442184</v>
      </c>
      <c r="AL801" s="3" t="s">
        <v>1548</v>
      </c>
    </row>
    <row r="802" spans="1:38" ht="21" customHeight="1" outlineLevel="4" x14ac:dyDescent="0.2">
      <c r="A802" s="2">
        <v>593</v>
      </c>
      <c r="B802" s="3" t="s">
        <v>3489</v>
      </c>
      <c r="C802" s="49" t="s">
        <v>3490</v>
      </c>
      <c r="D802" s="49"/>
      <c r="E802" s="49"/>
      <c r="F802" s="49"/>
      <c r="G802" s="4" t="s">
        <v>3491</v>
      </c>
      <c r="H802" s="8"/>
      <c r="I802" s="9" t="s">
        <v>3482</v>
      </c>
      <c r="J802" s="10"/>
      <c r="K802" s="11">
        <v>20</v>
      </c>
      <c r="L802" s="10"/>
      <c r="M802" s="10" t="s">
        <v>78</v>
      </c>
      <c r="N802" s="10"/>
      <c r="O802" s="2">
        <v>1</v>
      </c>
      <c r="P802" s="17">
        <f>251.15*(1-S3/100)</f>
        <v>251.15</v>
      </c>
      <c r="Q802" s="18"/>
      <c r="R802" s="10">
        <f>P802*Q802</f>
        <v>0</v>
      </c>
      <c r="S802" s="28">
        <f>0.27*Q802</f>
        <v>0</v>
      </c>
      <c r="T802" s="20">
        <f>0.00031*Q802</f>
        <v>0</v>
      </c>
      <c r="U802" s="21"/>
      <c r="V802" s="22" t="s">
        <v>3492</v>
      </c>
      <c r="W802" s="22" t="s">
        <v>191</v>
      </c>
      <c r="X802" s="3"/>
      <c r="Y802" s="3"/>
      <c r="Z802" s="3" t="s">
        <v>52</v>
      </c>
      <c r="AA802" s="3"/>
      <c r="AB802" s="3"/>
      <c r="AC802" s="3" t="str">
        <f>HYPERLINK("https://knigipp.ru/api/getInfo/image/021787c9-734c-11ea-a244-ac1f6b442184")</f>
        <v>https://knigipp.ru/api/getInfo/image/021787c9-734c-11ea-a244-ac1f6b442184</v>
      </c>
      <c r="AD802" s="32">
        <v>80</v>
      </c>
      <c r="AE802" s="3"/>
      <c r="AF802" s="3" t="s">
        <v>55</v>
      </c>
      <c r="AG802" s="3"/>
      <c r="AH802" s="3" t="s">
        <v>56</v>
      </c>
      <c r="AI802" s="3"/>
      <c r="AJ802" s="3"/>
      <c r="AK802" s="3" t="str">
        <f>HYPERLINK("https://knigipp.ru/api/getInfo/item/021787c9-734c-11ea-a244-ac1f6b442184")</f>
        <v>https://knigipp.ru/api/getInfo/item/021787c9-734c-11ea-a244-ac1f6b442184</v>
      </c>
      <c r="AL802" s="3" t="s">
        <v>1548</v>
      </c>
    </row>
    <row r="803" spans="1:38" ht="23.1" customHeight="1" outlineLevel="3" x14ac:dyDescent="0.2">
      <c r="A803" s="48" t="s">
        <v>3493</v>
      </c>
      <c r="B803" s="48"/>
      <c r="C803" s="48"/>
      <c r="D803" s="48"/>
      <c r="E803" s="48"/>
      <c r="F803" s="48"/>
    </row>
    <row r="804" spans="1:38" ht="21" customHeight="1" outlineLevel="4" x14ac:dyDescent="0.2">
      <c r="A804" s="2">
        <v>594</v>
      </c>
      <c r="B804" s="3" t="s">
        <v>3494</v>
      </c>
      <c r="C804" s="49" t="s">
        <v>3495</v>
      </c>
      <c r="D804" s="49"/>
      <c r="E804" s="49"/>
      <c r="F804" s="49"/>
      <c r="G804" s="4" t="s">
        <v>3496</v>
      </c>
      <c r="H804" s="8"/>
      <c r="I804" s="9" t="s">
        <v>3497</v>
      </c>
      <c r="J804" s="10"/>
      <c r="K804" s="11">
        <v>25</v>
      </c>
      <c r="L804" s="10"/>
      <c r="M804" s="10" t="s">
        <v>47</v>
      </c>
      <c r="N804" s="10"/>
      <c r="O804" s="2">
        <v>7</v>
      </c>
      <c r="P804" s="17">
        <f>97*(1-S3/100)</f>
        <v>97</v>
      </c>
      <c r="Q804" s="18"/>
      <c r="R804" s="10">
        <f>P804*Q804</f>
        <v>0</v>
      </c>
      <c r="S804" s="19">
        <f>0.106*Q804</f>
        <v>0</v>
      </c>
      <c r="T804" s="20">
        <f>0.00036*Q804</f>
        <v>0</v>
      </c>
      <c r="U804" s="21"/>
      <c r="V804" s="22" t="s">
        <v>3498</v>
      </c>
      <c r="W804" s="22" t="s">
        <v>191</v>
      </c>
      <c r="X804" s="3"/>
      <c r="Y804" s="3"/>
      <c r="Z804" s="3" t="s">
        <v>52</v>
      </c>
      <c r="AA804" s="3"/>
      <c r="AB804" s="3"/>
      <c r="AC804" s="3" t="str">
        <f>HYPERLINK("https://knigipp.ru/api/getInfo/image/6b343ea3-9043-11ee-a250-00155d82e908")</f>
        <v>https://knigipp.ru/api/getInfo/image/6b343ea3-9043-11ee-a250-00155d82e908</v>
      </c>
      <c r="AD804" s="32">
        <v>48</v>
      </c>
      <c r="AE804" s="3" t="s">
        <v>54</v>
      </c>
      <c r="AF804" s="3" t="s">
        <v>136</v>
      </c>
      <c r="AG804" s="3"/>
      <c r="AH804" s="3" t="s">
        <v>56</v>
      </c>
      <c r="AI804" s="3"/>
      <c r="AJ804" s="3"/>
      <c r="AK804" s="3" t="str">
        <f>HYPERLINK("https://knigipp.ru/api/getInfo/item/6b343ea3-9043-11ee-a250-00155d82e908")</f>
        <v>https://knigipp.ru/api/getInfo/item/6b343ea3-9043-11ee-a250-00155d82e908</v>
      </c>
      <c r="AL804" s="3" t="s">
        <v>57</v>
      </c>
    </row>
    <row r="805" spans="1:38" ht="21" customHeight="1" outlineLevel="4" x14ac:dyDescent="0.2">
      <c r="A805" s="2">
        <v>595</v>
      </c>
      <c r="B805" s="3" t="s">
        <v>3499</v>
      </c>
      <c r="C805" s="49" t="s">
        <v>3500</v>
      </c>
      <c r="D805" s="49"/>
      <c r="E805" s="49"/>
      <c r="F805" s="49"/>
      <c r="G805" s="4" t="s">
        <v>3501</v>
      </c>
      <c r="H805" s="8"/>
      <c r="I805" s="9" t="s">
        <v>3497</v>
      </c>
      <c r="J805" s="10"/>
      <c r="K805" s="11">
        <v>25</v>
      </c>
      <c r="L805" s="10"/>
      <c r="M805" s="10" t="s">
        <v>304</v>
      </c>
      <c r="N805" s="10"/>
      <c r="O805" s="2">
        <v>7</v>
      </c>
      <c r="P805" s="17">
        <f>97*(1-S3/100)</f>
        <v>97</v>
      </c>
      <c r="Q805" s="18"/>
      <c r="R805" s="10">
        <f>P805*Q805</f>
        <v>0</v>
      </c>
      <c r="S805" s="19">
        <f>0.106*Q805</f>
        <v>0</v>
      </c>
      <c r="T805" s="20">
        <f>0.00036*Q805</f>
        <v>0</v>
      </c>
      <c r="U805" s="21"/>
      <c r="V805" s="22" t="s">
        <v>3502</v>
      </c>
      <c r="W805" s="22" t="s">
        <v>191</v>
      </c>
      <c r="X805" s="3"/>
      <c r="Y805" s="3"/>
      <c r="Z805" s="3" t="s">
        <v>52</v>
      </c>
      <c r="AA805" s="3"/>
      <c r="AB805" s="3"/>
      <c r="AC805" s="3" t="str">
        <f>HYPERLINK("https://knigipp.ru/api/getInfo/image/1245823a-9043-11ee-a250-00155d82e908")</f>
        <v>https://knigipp.ru/api/getInfo/image/1245823a-9043-11ee-a250-00155d82e908</v>
      </c>
      <c r="AD805" s="32">
        <v>48</v>
      </c>
      <c r="AE805" s="3" t="s">
        <v>54</v>
      </c>
      <c r="AF805" s="3" t="s">
        <v>136</v>
      </c>
      <c r="AG805" s="3"/>
      <c r="AH805" s="3" t="s">
        <v>56</v>
      </c>
      <c r="AI805" s="3"/>
      <c r="AJ805" s="3"/>
      <c r="AK805" s="3" t="str">
        <f>HYPERLINK("https://knigipp.ru/api/getInfo/item/1245823a-9043-11ee-a250-00155d82e908")</f>
        <v>https://knigipp.ru/api/getInfo/item/1245823a-9043-11ee-a250-00155d82e908</v>
      </c>
      <c r="AL805" s="3" t="s">
        <v>57</v>
      </c>
    </row>
    <row r="806" spans="1:38" ht="21" customHeight="1" outlineLevel="4" x14ac:dyDescent="0.2">
      <c r="A806" s="2">
        <v>596</v>
      </c>
      <c r="B806" s="3" t="s">
        <v>3503</v>
      </c>
      <c r="C806" s="49" t="s">
        <v>3504</v>
      </c>
      <c r="D806" s="49"/>
      <c r="E806" s="49"/>
      <c r="F806" s="49"/>
      <c r="G806" s="4" t="s">
        <v>3505</v>
      </c>
      <c r="H806" s="8"/>
      <c r="I806" s="9" t="s">
        <v>3497</v>
      </c>
      <c r="J806" s="10"/>
      <c r="K806" s="11">
        <v>25</v>
      </c>
      <c r="L806" s="10"/>
      <c r="M806" s="10" t="s">
        <v>47</v>
      </c>
      <c r="N806" s="10"/>
      <c r="O806" s="2">
        <v>7</v>
      </c>
      <c r="P806" s="17">
        <f>97*(1-S3/100)</f>
        <v>97</v>
      </c>
      <c r="Q806" s="18"/>
      <c r="R806" s="10">
        <f>P806*Q806</f>
        <v>0</v>
      </c>
      <c r="S806" s="19">
        <f>0.109*Q806</f>
        <v>0</v>
      </c>
      <c r="T806" s="20">
        <f>0.00044*Q806</f>
        <v>0</v>
      </c>
      <c r="U806" s="21"/>
      <c r="V806" s="22" t="s">
        <v>3506</v>
      </c>
      <c r="W806" s="22" t="s">
        <v>191</v>
      </c>
      <c r="X806" s="3"/>
      <c r="Y806" s="3"/>
      <c r="Z806" s="3" t="s">
        <v>52</v>
      </c>
      <c r="AA806" s="3"/>
      <c r="AB806" s="3"/>
      <c r="AC806" s="3" t="str">
        <f>HYPERLINK("https://knigipp.ru/api/getInfo/image/9d42681d-9042-11ee-a250-00155d82e908")</f>
        <v>https://knigipp.ru/api/getInfo/image/9d42681d-9042-11ee-a250-00155d82e908</v>
      </c>
      <c r="AD806" s="32">
        <v>48</v>
      </c>
      <c r="AE806" s="3" t="s">
        <v>54</v>
      </c>
      <c r="AF806" s="3" t="s">
        <v>136</v>
      </c>
      <c r="AG806" s="3"/>
      <c r="AH806" s="3" t="s">
        <v>56</v>
      </c>
      <c r="AI806" s="3"/>
      <c r="AJ806" s="3"/>
      <c r="AK806" s="3" t="str">
        <f>HYPERLINK("https://knigipp.ru/api/getInfo/item/9d42681d-9042-11ee-a250-00155d82e908")</f>
        <v>https://knigipp.ru/api/getInfo/item/9d42681d-9042-11ee-a250-00155d82e908</v>
      </c>
      <c r="AL806" s="3" t="s">
        <v>57</v>
      </c>
    </row>
    <row r="807" spans="1:38" ht="21" customHeight="1" outlineLevel="4" x14ac:dyDescent="0.2">
      <c r="A807" s="2">
        <v>597</v>
      </c>
      <c r="B807" s="3" t="s">
        <v>3507</v>
      </c>
      <c r="C807" s="49" t="s">
        <v>3508</v>
      </c>
      <c r="D807" s="49"/>
      <c r="E807" s="49"/>
      <c r="F807" s="49"/>
      <c r="G807" s="4" t="s">
        <v>3509</v>
      </c>
      <c r="H807" s="8"/>
      <c r="I807" s="9" t="s">
        <v>3497</v>
      </c>
      <c r="J807" s="10"/>
      <c r="K807" s="11">
        <v>25</v>
      </c>
      <c r="L807" s="10"/>
      <c r="M807" s="10" t="s">
        <v>47</v>
      </c>
      <c r="N807" s="10"/>
      <c r="O807" s="2">
        <v>7</v>
      </c>
      <c r="P807" s="17">
        <f>97*(1-S3/100)</f>
        <v>97</v>
      </c>
      <c r="Q807" s="18"/>
      <c r="R807" s="10">
        <f>P807*Q807</f>
        <v>0</v>
      </c>
      <c r="S807" s="19">
        <f>0.106*Q807</f>
        <v>0</v>
      </c>
      <c r="T807" s="20">
        <f>0.00048*Q807</f>
        <v>0</v>
      </c>
      <c r="U807" s="21"/>
      <c r="V807" s="22" t="s">
        <v>3510</v>
      </c>
      <c r="W807" s="22" t="s">
        <v>191</v>
      </c>
      <c r="X807" s="3"/>
      <c r="Y807" s="3"/>
      <c r="Z807" s="3" t="s">
        <v>52</v>
      </c>
      <c r="AA807" s="3"/>
      <c r="AB807" s="3"/>
      <c r="AC807" s="3" t="str">
        <f>HYPERLINK("https://knigipp.ru/api/getInfo/image/c0884b4e-9043-11ee-a250-00155d82e908")</f>
        <v>https://knigipp.ru/api/getInfo/image/c0884b4e-9043-11ee-a250-00155d82e908</v>
      </c>
      <c r="AD807" s="32">
        <v>48</v>
      </c>
      <c r="AE807" s="3" t="s">
        <v>54</v>
      </c>
      <c r="AF807" s="3" t="s">
        <v>136</v>
      </c>
      <c r="AG807" s="3"/>
      <c r="AH807" s="3" t="s">
        <v>56</v>
      </c>
      <c r="AI807" s="3"/>
      <c r="AJ807" s="3"/>
      <c r="AK807" s="3" t="str">
        <f>HYPERLINK("https://knigipp.ru/api/getInfo/item/c0884b4e-9043-11ee-a250-00155d82e908")</f>
        <v>https://knigipp.ru/api/getInfo/item/c0884b4e-9043-11ee-a250-00155d82e908</v>
      </c>
      <c r="AL807" s="3" t="s">
        <v>57</v>
      </c>
    </row>
    <row r="808" spans="1:38" ht="23.1" customHeight="1" outlineLevel="3" x14ac:dyDescent="0.2">
      <c r="A808" s="48" t="s">
        <v>3511</v>
      </c>
      <c r="B808" s="48"/>
      <c r="C808" s="48"/>
      <c r="D808" s="48"/>
      <c r="E808" s="48"/>
      <c r="F808" s="48"/>
    </row>
    <row r="809" spans="1:38" ht="21" customHeight="1" outlineLevel="4" x14ac:dyDescent="0.2">
      <c r="A809" s="2">
        <v>598</v>
      </c>
      <c r="B809" s="3" t="s">
        <v>3512</v>
      </c>
      <c r="C809" s="49" t="s">
        <v>3513</v>
      </c>
      <c r="D809" s="49"/>
      <c r="E809" s="49"/>
      <c r="F809" s="49"/>
      <c r="G809" s="4" t="s">
        <v>3514</v>
      </c>
      <c r="H809" s="8"/>
      <c r="I809" s="9" t="s">
        <v>3515</v>
      </c>
      <c r="J809" s="10"/>
      <c r="K809" s="11">
        <v>20</v>
      </c>
      <c r="L809" s="10"/>
      <c r="M809" s="10" t="s">
        <v>304</v>
      </c>
      <c r="N809" s="10"/>
      <c r="O809" s="2">
        <v>5</v>
      </c>
      <c r="P809" s="17">
        <f>159*(1-S3/100)</f>
        <v>159</v>
      </c>
      <c r="Q809" s="18"/>
      <c r="R809" s="10">
        <f>P809*Q809</f>
        <v>0</v>
      </c>
      <c r="S809" s="28">
        <f>0.23*Q809</f>
        <v>0</v>
      </c>
      <c r="T809" s="20">
        <f>0.00022*Q809</f>
        <v>0</v>
      </c>
      <c r="U809" s="21"/>
      <c r="V809" s="22" t="s">
        <v>3516</v>
      </c>
      <c r="W809" s="22" t="s">
        <v>191</v>
      </c>
      <c r="X809" s="3"/>
      <c r="Y809" s="3"/>
      <c r="Z809" s="3" t="s">
        <v>52</v>
      </c>
      <c r="AA809" s="3"/>
      <c r="AB809" s="3"/>
      <c r="AC809" s="3" t="str">
        <f>HYPERLINK("https://knigipp.ru/api/getInfo/image/ce42ea81-177d-11eb-a25d-ac1f6b442184")</f>
        <v>https://knigipp.ru/api/getInfo/image/ce42ea81-177d-11eb-a25d-ac1f6b442184</v>
      </c>
      <c r="AD809" s="32">
        <v>96</v>
      </c>
      <c r="AE809" s="3"/>
      <c r="AF809" s="3" t="s">
        <v>55</v>
      </c>
      <c r="AG809" s="3"/>
      <c r="AH809" s="3" t="s">
        <v>56</v>
      </c>
      <c r="AI809" s="3"/>
      <c r="AJ809" s="3"/>
      <c r="AK809" s="3" t="str">
        <f>HYPERLINK("https://knigipp.ru/api/getInfo/item/ce42ea81-177d-11eb-a25d-ac1f6b442184")</f>
        <v>https://knigipp.ru/api/getInfo/item/ce42ea81-177d-11eb-a25d-ac1f6b442184</v>
      </c>
      <c r="AL809" s="3" t="s">
        <v>3517</v>
      </c>
    </row>
    <row r="810" spans="1:38" ht="21" customHeight="1" outlineLevel="4" x14ac:dyDescent="0.2">
      <c r="A810" s="2">
        <v>599</v>
      </c>
      <c r="B810" s="3" t="s">
        <v>3518</v>
      </c>
      <c r="C810" s="49" t="s">
        <v>3519</v>
      </c>
      <c r="D810" s="49"/>
      <c r="E810" s="49"/>
      <c r="F810" s="49"/>
      <c r="G810" s="4" t="s">
        <v>3520</v>
      </c>
      <c r="H810" s="8"/>
      <c r="I810" s="9" t="s">
        <v>3515</v>
      </c>
      <c r="J810" s="10"/>
      <c r="K810" s="11">
        <v>20</v>
      </c>
      <c r="L810" s="10"/>
      <c r="M810" s="10" t="s">
        <v>47</v>
      </c>
      <c r="N810" s="10"/>
      <c r="O810" s="2">
        <v>5</v>
      </c>
      <c r="P810" s="17">
        <f>159*(1-S3/100)</f>
        <v>159</v>
      </c>
      <c r="Q810" s="18"/>
      <c r="R810" s="10">
        <f>P810*Q810</f>
        <v>0</v>
      </c>
      <c r="S810" s="28">
        <f>0.23*Q810</f>
        <v>0</v>
      </c>
      <c r="T810" s="20">
        <f>0.00022*Q810</f>
        <v>0</v>
      </c>
      <c r="U810" s="21"/>
      <c r="V810" s="22" t="s">
        <v>3521</v>
      </c>
      <c r="W810" s="22" t="s">
        <v>191</v>
      </c>
      <c r="X810" s="3"/>
      <c r="Y810" s="3"/>
      <c r="Z810" s="3" t="s">
        <v>52</v>
      </c>
      <c r="AA810" s="3"/>
      <c r="AB810" s="3"/>
      <c r="AC810" s="3" t="str">
        <f>HYPERLINK("https://knigipp.ru/api/getInfo/image/70b04dee-3b11-11ec-a20f-ac1f6b442185")</f>
        <v>https://knigipp.ru/api/getInfo/image/70b04dee-3b11-11ec-a20f-ac1f6b442185</v>
      </c>
      <c r="AD810" s="32">
        <v>96</v>
      </c>
      <c r="AE810" s="3"/>
      <c r="AF810" s="3" t="s">
        <v>55</v>
      </c>
      <c r="AG810" s="3"/>
      <c r="AH810" s="3" t="s">
        <v>56</v>
      </c>
      <c r="AI810" s="3"/>
      <c r="AJ810" s="3"/>
      <c r="AK810" s="3" t="str">
        <f>HYPERLINK("https://knigipp.ru/api/getInfo/item/70b04dee-3b11-11ec-a20f-ac1f6b442185")</f>
        <v>https://knigipp.ru/api/getInfo/item/70b04dee-3b11-11ec-a20f-ac1f6b442185</v>
      </c>
      <c r="AL810" s="3" t="s">
        <v>3517</v>
      </c>
    </row>
    <row r="811" spans="1:38" ht="21" customHeight="1" outlineLevel="4" x14ac:dyDescent="0.2">
      <c r="A811" s="2">
        <v>600</v>
      </c>
      <c r="B811" s="3" t="s">
        <v>3522</v>
      </c>
      <c r="C811" s="49" t="s">
        <v>3523</v>
      </c>
      <c r="D811" s="49"/>
      <c r="E811" s="49"/>
      <c r="F811" s="49"/>
      <c r="G811" s="4" t="s">
        <v>3524</v>
      </c>
      <c r="H811" s="8"/>
      <c r="I811" s="9" t="s">
        <v>3515</v>
      </c>
      <c r="J811" s="10"/>
      <c r="K811" s="11">
        <v>20</v>
      </c>
      <c r="L811" s="10"/>
      <c r="M811" s="10" t="s">
        <v>78</v>
      </c>
      <c r="N811" s="10"/>
      <c r="O811" s="2">
        <v>5</v>
      </c>
      <c r="P811" s="17">
        <f>159*(1-S3/100)</f>
        <v>159</v>
      </c>
      <c r="Q811" s="18"/>
      <c r="R811" s="10">
        <f>P811*Q811</f>
        <v>0</v>
      </c>
      <c r="S811" s="28">
        <f>0.23*Q811</f>
        <v>0</v>
      </c>
      <c r="T811" s="20">
        <f>0.00022*Q811</f>
        <v>0</v>
      </c>
      <c r="U811" s="21"/>
      <c r="V811" s="22" t="s">
        <v>3525</v>
      </c>
      <c r="W811" s="22" t="s">
        <v>191</v>
      </c>
      <c r="X811" s="3"/>
      <c r="Y811" s="3"/>
      <c r="Z811" s="3" t="s">
        <v>52</v>
      </c>
      <c r="AA811" s="3"/>
      <c r="AB811" s="3"/>
      <c r="AC811" s="3" t="str">
        <f>HYPERLINK("https://knigipp.ru/api/getInfo/image/49903b01-3b11-11ec-a20f-ac1f6b442185")</f>
        <v>https://knigipp.ru/api/getInfo/image/49903b01-3b11-11ec-a20f-ac1f6b442185</v>
      </c>
      <c r="AD811" s="32">
        <v>96</v>
      </c>
      <c r="AE811" s="3"/>
      <c r="AF811" s="3" t="s">
        <v>55</v>
      </c>
      <c r="AG811" s="3"/>
      <c r="AH811" s="3" t="s">
        <v>56</v>
      </c>
      <c r="AI811" s="3"/>
      <c r="AJ811" s="3"/>
      <c r="AK811" s="3" t="str">
        <f>HYPERLINK("https://knigipp.ru/api/getInfo/item/49903b01-3b11-11ec-a20f-ac1f6b442185")</f>
        <v>https://knigipp.ru/api/getInfo/item/49903b01-3b11-11ec-a20f-ac1f6b442185</v>
      </c>
      <c r="AL811" s="3" t="s">
        <v>3517</v>
      </c>
    </row>
    <row r="812" spans="1:38" ht="21" customHeight="1" outlineLevel="4" x14ac:dyDescent="0.2">
      <c r="A812" s="2">
        <v>601</v>
      </c>
      <c r="B812" s="3" t="s">
        <v>3526</v>
      </c>
      <c r="C812" s="49" t="s">
        <v>3527</v>
      </c>
      <c r="D812" s="49"/>
      <c r="E812" s="49"/>
      <c r="F812" s="49"/>
      <c r="G812" s="4" t="s">
        <v>3528</v>
      </c>
      <c r="H812" s="8"/>
      <c r="I812" s="9" t="s">
        <v>3515</v>
      </c>
      <c r="J812" s="10"/>
      <c r="K812" s="11">
        <v>20</v>
      </c>
      <c r="L812" s="10"/>
      <c r="M812" s="10" t="s">
        <v>304</v>
      </c>
      <c r="N812" s="10"/>
      <c r="O812" s="2">
        <v>5</v>
      </c>
      <c r="P812" s="17">
        <f>159*(1-S3/100)</f>
        <v>159</v>
      </c>
      <c r="Q812" s="18"/>
      <c r="R812" s="10">
        <f>P812*Q812</f>
        <v>0</v>
      </c>
      <c r="S812" s="28">
        <f>0.23*Q812</f>
        <v>0</v>
      </c>
      <c r="T812" s="20">
        <f>0.00022*Q812</f>
        <v>0</v>
      </c>
      <c r="U812" s="21"/>
      <c r="V812" s="22" t="s">
        <v>3529</v>
      </c>
      <c r="W812" s="22" t="s">
        <v>191</v>
      </c>
      <c r="X812" s="3"/>
      <c r="Y812" s="3"/>
      <c r="Z812" s="3" t="s">
        <v>52</v>
      </c>
      <c r="AA812" s="3"/>
      <c r="AB812" s="3"/>
      <c r="AC812" s="3" t="str">
        <f>HYPERLINK("https://knigipp.ru/api/getInfo/image/e6bac29e-177d-11eb-a25d-ac1f6b442184")</f>
        <v>https://knigipp.ru/api/getInfo/image/e6bac29e-177d-11eb-a25d-ac1f6b442184</v>
      </c>
      <c r="AD812" s="32">
        <v>96</v>
      </c>
      <c r="AE812" s="3"/>
      <c r="AF812" s="3" t="s">
        <v>55</v>
      </c>
      <c r="AG812" s="3"/>
      <c r="AH812" s="3" t="s">
        <v>56</v>
      </c>
      <c r="AI812" s="3"/>
      <c r="AJ812" s="3"/>
      <c r="AK812" s="3" t="str">
        <f>HYPERLINK("https://knigipp.ru/api/getInfo/item/e6bac29e-177d-11eb-a25d-ac1f6b442184")</f>
        <v>https://knigipp.ru/api/getInfo/item/e6bac29e-177d-11eb-a25d-ac1f6b442184</v>
      </c>
      <c r="AL812" s="3" t="s">
        <v>3517</v>
      </c>
    </row>
    <row r="813" spans="1:38" ht="21" customHeight="1" outlineLevel="4" x14ac:dyDescent="0.2">
      <c r="A813" s="2">
        <v>602</v>
      </c>
      <c r="B813" s="3" t="s">
        <v>3530</v>
      </c>
      <c r="C813" s="49" t="s">
        <v>3531</v>
      </c>
      <c r="D813" s="49"/>
      <c r="E813" s="49"/>
      <c r="F813" s="49"/>
      <c r="G813" s="4" t="s">
        <v>3532</v>
      </c>
      <c r="H813" s="8"/>
      <c r="I813" s="9" t="s">
        <v>3515</v>
      </c>
      <c r="J813" s="10"/>
      <c r="K813" s="11">
        <v>20</v>
      </c>
      <c r="L813" s="10"/>
      <c r="M813" s="10" t="s">
        <v>47</v>
      </c>
      <c r="N813" s="10"/>
      <c r="O813" s="2">
        <v>5</v>
      </c>
      <c r="P813" s="17">
        <f>159*(1-S3/100)</f>
        <v>159</v>
      </c>
      <c r="Q813" s="18"/>
      <c r="R813" s="10">
        <f>P813*Q813</f>
        <v>0</v>
      </c>
      <c r="S813" s="28">
        <f>0.23*Q813</f>
        <v>0</v>
      </c>
      <c r="T813" s="20">
        <f>0.00022*Q813</f>
        <v>0</v>
      </c>
      <c r="U813" s="21"/>
      <c r="V813" s="22" t="s">
        <v>3533</v>
      </c>
      <c r="W813" s="22" t="s">
        <v>191</v>
      </c>
      <c r="X813" s="3"/>
      <c r="Y813" s="3"/>
      <c r="Z813" s="3" t="s">
        <v>52</v>
      </c>
      <c r="AA813" s="3"/>
      <c r="AB813" s="3"/>
      <c r="AC813" s="3" t="str">
        <f>HYPERLINK("https://knigipp.ru/api/getInfo/image/fc8b0c1c-177d-11eb-a25d-ac1f6b442184")</f>
        <v>https://knigipp.ru/api/getInfo/image/fc8b0c1c-177d-11eb-a25d-ac1f6b442184</v>
      </c>
      <c r="AD813" s="32">
        <v>96</v>
      </c>
      <c r="AE813" s="3"/>
      <c r="AF813" s="3" t="s">
        <v>55</v>
      </c>
      <c r="AG813" s="3"/>
      <c r="AH813" s="3" t="s">
        <v>56</v>
      </c>
      <c r="AI813" s="3"/>
      <c r="AJ813" s="3"/>
      <c r="AK813" s="3" t="str">
        <f>HYPERLINK("https://knigipp.ru/api/getInfo/item/fc8b0c1c-177d-11eb-a25d-ac1f6b442184")</f>
        <v>https://knigipp.ru/api/getInfo/item/fc8b0c1c-177d-11eb-a25d-ac1f6b442184</v>
      </c>
      <c r="AL813" s="3" t="s">
        <v>3517</v>
      </c>
    </row>
    <row r="814" spans="1:38" ht="23.1" customHeight="1" outlineLevel="3" x14ac:dyDescent="0.2">
      <c r="A814" s="48" t="s">
        <v>3534</v>
      </c>
      <c r="B814" s="48"/>
      <c r="C814" s="48"/>
      <c r="D814" s="48"/>
      <c r="E814" s="48"/>
      <c r="F814" s="48"/>
    </row>
    <row r="815" spans="1:38" ht="21" customHeight="1" outlineLevel="4" x14ac:dyDescent="0.2">
      <c r="A815" s="2">
        <v>603</v>
      </c>
      <c r="B815" s="3" t="s">
        <v>3535</v>
      </c>
      <c r="C815" s="49" t="s">
        <v>3536</v>
      </c>
      <c r="D815" s="49"/>
      <c r="E815" s="49"/>
      <c r="F815" s="49"/>
      <c r="G815" s="4" t="s">
        <v>3537</v>
      </c>
      <c r="H815" s="8"/>
      <c r="I815" s="9" t="s">
        <v>3538</v>
      </c>
      <c r="J815" s="10"/>
      <c r="K815" s="11">
        <v>25</v>
      </c>
      <c r="L815" s="10"/>
      <c r="M815" s="10" t="s">
        <v>47</v>
      </c>
      <c r="N815" s="10"/>
      <c r="O815" s="2">
        <v>7</v>
      </c>
      <c r="P815" s="17">
        <f>99*(1-S3/100)</f>
        <v>99</v>
      </c>
      <c r="Q815" s="18"/>
      <c r="R815" s="10">
        <f>P815*Q815</f>
        <v>0</v>
      </c>
      <c r="S815" s="19">
        <f>0.108*Q815</f>
        <v>0</v>
      </c>
      <c r="T815" s="20">
        <f>0.00029*Q815</f>
        <v>0</v>
      </c>
      <c r="U815" s="21"/>
      <c r="V815" s="22" t="s">
        <v>3539</v>
      </c>
      <c r="W815" s="22" t="s">
        <v>49</v>
      </c>
      <c r="X815" s="3"/>
      <c r="Y815" s="3"/>
      <c r="Z815" s="3" t="s">
        <v>52</v>
      </c>
      <c r="AA815" s="3"/>
      <c r="AB815" s="3"/>
      <c r="AC815" s="3" t="str">
        <f>HYPERLINK("https://knigipp.ru/api/getInfo/image/28f5250d-623b-11eb-a26d-ac1f6b442184")</f>
        <v>https://knigipp.ru/api/getInfo/image/28f5250d-623b-11eb-a26d-ac1f6b442184</v>
      </c>
      <c r="AD815" s="32">
        <v>48</v>
      </c>
      <c r="AE815" s="3"/>
      <c r="AF815" s="3" t="s">
        <v>136</v>
      </c>
      <c r="AG815" s="3"/>
      <c r="AH815" s="3" t="s">
        <v>56</v>
      </c>
      <c r="AI815" s="3"/>
      <c r="AJ815" s="3"/>
      <c r="AK815" s="3" t="str">
        <f>HYPERLINK("https://knigipp.ru/api/getInfo/item/28f5250d-623b-11eb-a26d-ac1f6b442184")</f>
        <v>https://knigipp.ru/api/getInfo/item/28f5250d-623b-11eb-a26d-ac1f6b442184</v>
      </c>
      <c r="AL815" s="3" t="s">
        <v>3540</v>
      </c>
    </row>
    <row r="816" spans="1:38" ht="21" customHeight="1" outlineLevel="4" x14ac:dyDescent="0.2">
      <c r="A816" s="2">
        <v>604</v>
      </c>
      <c r="B816" s="3" t="s">
        <v>3541</v>
      </c>
      <c r="C816" s="49" t="s">
        <v>3542</v>
      </c>
      <c r="D816" s="49"/>
      <c r="E816" s="49"/>
      <c r="F816" s="49"/>
      <c r="G816" s="4" t="s">
        <v>3543</v>
      </c>
      <c r="H816" s="8"/>
      <c r="I816" s="9" t="s">
        <v>3538</v>
      </c>
      <c r="J816" s="10"/>
      <c r="K816" s="11">
        <v>25</v>
      </c>
      <c r="L816" s="10"/>
      <c r="M816" s="10" t="s">
        <v>304</v>
      </c>
      <c r="N816" s="10"/>
      <c r="O816" s="2">
        <v>8</v>
      </c>
      <c r="P816" s="17">
        <f>79*(1-S3/100)</f>
        <v>79</v>
      </c>
      <c r="Q816" s="18"/>
      <c r="R816" s="10">
        <f>P816*Q816</f>
        <v>0</v>
      </c>
      <c r="S816" s="19">
        <f>0.108*Q816</f>
        <v>0</v>
      </c>
      <c r="T816" s="20">
        <f>0.00033*Q816</f>
        <v>0</v>
      </c>
      <c r="U816" s="21"/>
      <c r="V816" s="22" t="s">
        <v>3544</v>
      </c>
      <c r="W816" s="22" t="s">
        <v>49</v>
      </c>
      <c r="X816" s="3"/>
      <c r="Y816" s="3"/>
      <c r="Z816" s="3" t="s">
        <v>52</v>
      </c>
      <c r="AA816" s="3"/>
      <c r="AB816" s="3"/>
      <c r="AC816" s="3" t="str">
        <f>HYPERLINK("https://knigipp.ru/api/getInfo/image/f43aec03-623a-11eb-a26d-ac1f6b442184")</f>
        <v>https://knigipp.ru/api/getInfo/image/f43aec03-623a-11eb-a26d-ac1f6b442184</v>
      </c>
      <c r="AD816" s="32">
        <v>48</v>
      </c>
      <c r="AE816" s="3"/>
      <c r="AF816" s="3" t="s">
        <v>136</v>
      </c>
      <c r="AG816" s="3"/>
      <c r="AH816" s="3" t="s">
        <v>56</v>
      </c>
      <c r="AI816" s="3"/>
      <c r="AJ816" s="3"/>
      <c r="AK816" s="3" t="str">
        <f>HYPERLINK("https://knigipp.ru/api/getInfo/item/f43aec03-623a-11eb-a26d-ac1f6b442184")</f>
        <v>https://knigipp.ru/api/getInfo/item/f43aec03-623a-11eb-a26d-ac1f6b442184</v>
      </c>
      <c r="AL816" s="3" t="s">
        <v>3540</v>
      </c>
    </row>
    <row r="817" spans="1:38" ht="23.1" customHeight="1" outlineLevel="3" x14ac:dyDescent="0.2">
      <c r="A817" s="48" t="s">
        <v>3545</v>
      </c>
      <c r="B817" s="48"/>
      <c r="C817" s="48"/>
      <c r="D817" s="48"/>
      <c r="E817" s="48"/>
      <c r="F817" s="48"/>
    </row>
    <row r="818" spans="1:38" ht="21" customHeight="1" outlineLevel="4" x14ac:dyDescent="0.2">
      <c r="A818" s="2">
        <v>605</v>
      </c>
      <c r="B818" s="3" t="s">
        <v>3546</v>
      </c>
      <c r="C818" s="49" t="s">
        <v>3547</v>
      </c>
      <c r="D818" s="49"/>
      <c r="E818" s="49"/>
      <c r="F818" s="49"/>
      <c r="G818" s="4" t="s">
        <v>3548</v>
      </c>
      <c r="H818" s="8"/>
      <c r="I818" s="9" t="s">
        <v>3549</v>
      </c>
      <c r="J818" s="10"/>
      <c r="K818" s="11">
        <v>50</v>
      </c>
      <c r="L818" s="10"/>
      <c r="M818" s="10" t="s">
        <v>47</v>
      </c>
      <c r="N818" s="10"/>
      <c r="O818" s="2">
        <v>14</v>
      </c>
      <c r="P818" s="17">
        <f>47*(1-S3/100)</f>
        <v>47</v>
      </c>
      <c r="Q818" s="18"/>
      <c r="R818" s="10">
        <f>P818*Q818</f>
        <v>0</v>
      </c>
      <c r="S818" s="19">
        <f>0.061*Q818</f>
        <v>0</v>
      </c>
      <c r="T818" s="20">
        <f>0.00022*Q818</f>
        <v>0</v>
      </c>
      <c r="U818" s="21"/>
      <c r="V818" s="22" t="s">
        <v>3550</v>
      </c>
      <c r="W818" s="22" t="s">
        <v>49</v>
      </c>
      <c r="X818" s="3"/>
      <c r="Y818" s="3"/>
      <c r="Z818" s="3" t="s">
        <v>52</v>
      </c>
      <c r="AA818" s="3"/>
      <c r="AB818" s="3"/>
      <c r="AC818" s="3" t="str">
        <f>HYPERLINK("https://knigipp.ru/api/getInfo/image/15f58f54-02aa-11ed-a213-ac1f6b442185")</f>
        <v>https://knigipp.ru/api/getInfo/image/15f58f54-02aa-11ed-a213-ac1f6b442185</v>
      </c>
      <c r="AD818" s="32">
        <v>48</v>
      </c>
      <c r="AE818" s="3"/>
      <c r="AF818" s="3" t="s">
        <v>136</v>
      </c>
      <c r="AG818" s="3"/>
      <c r="AH818" s="3" t="s">
        <v>56</v>
      </c>
      <c r="AI818" s="3"/>
      <c r="AJ818" s="3"/>
      <c r="AK818" s="3" t="str">
        <f>HYPERLINK("https://knigipp.ru/api/getInfo/item/15f58f54-02aa-11ed-a213-ac1f6b442185")</f>
        <v>https://knigipp.ru/api/getInfo/item/15f58f54-02aa-11ed-a213-ac1f6b442185</v>
      </c>
      <c r="AL818" s="3" t="s">
        <v>3551</v>
      </c>
    </row>
    <row r="819" spans="1:38" ht="21" customHeight="1" outlineLevel="4" x14ac:dyDescent="0.2">
      <c r="A819" s="5">
        <v>606</v>
      </c>
      <c r="B819" s="6" t="s">
        <v>3552</v>
      </c>
      <c r="C819" s="54" t="s">
        <v>3553</v>
      </c>
      <c r="D819" s="54"/>
      <c r="E819" s="54"/>
      <c r="F819" s="54"/>
      <c r="G819" s="7" t="s">
        <v>3554</v>
      </c>
      <c r="H819" s="12"/>
      <c r="I819" s="13" t="s">
        <v>3555</v>
      </c>
      <c r="J819" s="14"/>
      <c r="K819" s="15">
        <v>30</v>
      </c>
      <c r="L819" s="14"/>
      <c r="M819" s="14" t="s">
        <v>47</v>
      </c>
      <c r="N819" s="14"/>
      <c r="O819" s="5">
        <v>14</v>
      </c>
      <c r="P819" s="23">
        <f>147*(1-S3/100)</f>
        <v>147</v>
      </c>
      <c r="Q819" s="18"/>
      <c r="R819" s="14">
        <f>P819*Q819</f>
        <v>0</v>
      </c>
      <c r="S819" s="24">
        <f>0.081*Q819</f>
        <v>0</v>
      </c>
      <c r="T819" s="25">
        <f>0.00209*Q819</f>
        <v>0</v>
      </c>
      <c r="U819" s="26" t="s">
        <v>62</v>
      </c>
      <c r="V819" s="27" t="s">
        <v>3556</v>
      </c>
      <c r="W819" s="27" t="s">
        <v>191</v>
      </c>
      <c r="X819" s="6"/>
      <c r="Y819" s="6"/>
      <c r="Z819" s="6" t="s">
        <v>52</v>
      </c>
      <c r="AA819" s="6"/>
      <c r="AB819" s="6"/>
      <c r="AC819" s="6" t="str">
        <f>HYPERLINK("https://knigipp.ru/api/getInfo/image/84b4565e-29bf-11f1-a291-00155d82e908")</f>
        <v>https://knigipp.ru/api/getInfo/image/84b4565e-29bf-11f1-a291-00155d82e908</v>
      </c>
      <c r="AD819" s="33">
        <v>64</v>
      </c>
      <c r="AE819" s="6" t="s">
        <v>54</v>
      </c>
      <c r="AF819" s="6" t="s">
        <v>136</v>
      </c>
      <c r="AG819" s="6"/>
      <c r="AH819" s="6" t="s">
        <v>56</v>
      </c>
      <c r="AI819" s="6"/>
      <c r="AJ819" s="6"/>
      <c r="AK819" s="6" t="str">
        <f>HYPERLINK("https://knigipp.ru/api/getInfo/item/84b4565e-29bf-11f1-a291-00155d82e908")</f>
        <v>https://knigipp.ru/api/getInfo/item/84b4565e-29bf-11f1-a291-00155d82e908</v>
      </c>
      <c r="AL819" s="6" t="s">
        <v>3551</v>
      </c>
    </row>
    <row r="820" spans="1:38" ht="21" customHeight="1" outlineLevel="4" x14ac:dyDescent="0.2">
      <c r="A820" s="5">
        <v>607</v>
      </c>
      <c r="B820" s="6" t="s">
        <v>3557</v>
      </c>
      <c r="C820" s="54" t="s">
        <v>3558</v>
      </c>
      <c r="D820" s="54"/>
      <c r="E820" s="54"/>
      <c r="F820" s="54"/>
      <c r="G820" s="7" t="s">
        <v>3559</v>
      </c>
      <c r="H820" s="12"/>
      <c r="I820" s="13" t="s">
        <v>3555</v>
      </c>
      <c r="J820" s="14"/>
      <c r="K820" s="15">
        <v>30</v>
      </c>
      <c r="L820" s="14"/>
      <c r="M820" s="14" t="s">
        <v>47</v>
      </c>
      <c r="N820" s="14"/>
      <c r="O820" s="5">
        <v>14</v>
      </c>
      <c r="P820" s="23">
        <f>147*(1-S3/100)</f>
        <v>147</v>
      </c>
      <c r="Q820" s="18"/>
      <c r="R820" s="14">
        <f>P820*Q820</f>
        <v>0</v>
      </c>
      <c r="S820" s="24">
        <f>0.081*Q820</f>
        <v>0</v>
      </c>
      <c r="T820" s="25">
        <f>0.00014*Q820</f>
        <v>0</v>
      </c>
      <c r="U820" s="26" t="s">
        <v>62</v>
      </c>
      <c r="V820" s="27" t="s">
        <v>3560</v>
      </c>
      <c r="W820" s="27" t="s">
        <v>191</v>
      </c>
      <c r="X820" s="6"/>
      <c r="Y820" s="6"/>
      <c r="Z820" s="6" t="s">
        <v>52</v>
      </c>
      <c r="AA820" s="6"/>
      <c r="AB820" s="6"/>
      <c r="AC820" s="6" t="str">
        <f>HYPERLINK("https://knigipp.ru/api/getInfo/image/5747634f-29bf-11f1-a291-00155d82e908")</f>
        <v>https://knigipp.ru/api/getInfo/image/5747634f-29bf-11f1-a291-00155d82e908</v>
      </c>
      <c r="AD820" s="33">
        <v>64</v>
      </c>
      <c r="AE820" s="6" t="s">
        <v>54</v>
      </c>
      <c r="AF820" s="6" t="s">
        <v>136</v>
      </c>
      <c r="AG820" s="6"/>
      <c r="AH820" s="6" t="s">
        <v>56</v>
      </c>
      <c r="AI820" s="6"/>
      <c r="AJ820" s="6"/>
      <c r="AK820" s="6" t="str">
        <f>HYPERLINK("https://knigipp.ru/api/getInfo/item/5747634f-29bf-11f1-a291-00155d82e908")</f>
        <v>https://knigipp.ru/api/getInfo/item/5747634f-29bf-11f1-a291-00155d82e908</v>
      </c>
      <c r="AL820" s="6" t="s">
        <v>3551</v>
      </c>
    </row>
    <row r="821" spans="1:38" ht="23.1" customHeight="1" outlineLevel="2" x14ac:dyDescent="0.2">
      <c r="A821" s="47" t="s">
        <v>3561</v>
      </c>
      <c r="B821" s="47"/>
      <c r="C821" s="47"/>
      <c r="D821" s="47"/>
      <c r="E821" s="47"/>
      <c r="F821" s="47"/>
    </row>
    <row r="822" spans="1:38" ht="23.1" customHeight="1" outlineLevel="3" x14ac:dyDescent="0.2">
      <c r="A822" s="48" t="s">
        <v>3562</v>
      </c>
      <c r="B822" s="48"/>
      <c r="C822" s="48"/>
      <c r="D822" s="48"/>
      <c r="E822" s="48"/>
      <c r="F822" s="48"/>
    </row>
    <row r="823" spans="1:38" ht="21" customHeight="1" outlineLevel="4" x14ac:dyDescent="0.2">
      <c r="A823" s="2">
        <v>608</v>
      </c>
      <c r="B823" s="3" t="s">
        <v>3563</v>
      </c>
      <c r="C823" s="49" t="s">
        <v>3564</v>
      </c>
      <c r="D823" s="49"/>
      <c r="E823" s="49"/>
      <c r="F823" s="49"/>
      <c r="G823" s="4" t="s">
        <v>3565</v>
      </c>
      <c r="H823" s="8"/>
      <c r="I823" s="9" t="s">
        <v>3566</v>
      </c>
      <c r="J823" s="10"/>
      <c r="K823" s="11">
        <v>24</v>
      </c>
      <c r="L823" s="10"/>
      <c r="M823" s="10" t="s">
        <v>47</v>
      </c>
      <c r="N823" s="10"/>
      <c r="O823" s="2">
        <v>2</v>
      </c>
      <c r="P823" s="17">
        <f>277*(1-S3/100)</f>
        <v>277</v>
      </c>
      <c r="Q823" s="18"/>
      <c r="R823" s="10">
        <f>P823*Q823</f>
        <v>0</v>
      </c>
      <c r="S823" s="19">
        <f>4.899*Q823</f>
        <v>0</v>
      </c>
      <c r="T823" s="20">
        <f>0.01273*Q823</f>
        <v>0</v>
      </c>
      <c r="U823" s="21"/>
      <c r="V823" s="22" t="s">
        <v>3567</v>
      </c>
      <c r="W823" s="22" t="s">
        <v>191</v>
      </c>
      <c r="X823" s="3"/>
      <c r="Y823" s="3" t="s">
        <v>3568</v>
      </c>
      <c r="Z823" s="3" t="s">
        <v>52</v>
      </c>
      <c r="AA823" s="3"/>
      <c r="AB823" s="3"/>
      <c r="AC823" s="3" t="str">
        <f>HYPERLINK("https://knigipp.ru/api/getInfo/image/8463973d-6128-11ee-a245-00155d82e902")</f>
        <v>https://knigipp.ru/api/getInfo/image/8463973d-6128-11ee-a245-00155d82e902</v>
      </c>
      <c r="AD823" s="32">
        <v>64</v>
      </c>
      <c r="AE823" s="3" t="s">
        <v>54</v>
      </c>
      <c r="AF823" s="3" t="s">
        <v>127</v>
      </c>
      <c r="AG823" s="3"/>
      <c r="AH823" s="3" t="s">
        <v>56</v>
      </c>
      <c r="AI823" s="3"/>
      <c r="AJ823" s="3"/>
      <c r="AK823" s="3" t="str">
        <f>HYPERLINK("https://knigipp.ru/api/getInfo/item/8463973d-6128-11ee-a245-00155d82e902")</f>
        <v>https://knigipp.ru/api/getInfo/item/8463973d-6128-11ee-a245-00155d82e902</v>
      </c>
      <c r="AL823" s="3" t="s">
        <v>3569</v>
      </c>
    </row>
    <row r="824" spans="1:38" ht="21" customHeight="1" outlineLevel="4" x14ac:dyDescent="0.2">
      <c r="A824" s="2">
        <v>609</v>
      </c>
      <c r="B824" s="3" t="s">
        <v>3570</v>
      </c>
      <c r="C824" s="49" t="s">
        <v>3571</v>
      </c>
      <c r="D824" s="49"/>
      <c r="E824" s="49"/>
      <c r="F824" s="49"/>
      <c r="G824" s="4" t="s">
        <v>3572</v>
      </c>
      <c r="H824" s="8"/>
      <c r="I824" s="9" t="s">
        <v>3566</v>
      </c>
      <c r="J824" s="10"/>
      <c r="K824" s="11">
        <v>24</v>
      </c>
      <c r="L824" s="10"/>
      <c r="M824" s="10" t="s">
        <v>78</v>
      </c>
      <c r="N824" s="10"/>
      <c r="O824" s="2">
        <v>2</v>
      </c>
      <c r="P824" s="17">
        <f>277*(1-S3/100)</f>
        <v>277</v>
      </c>
      <c r="Q824" s="18"/>
      <c r="R824" s="10">
        <f>P824*Q824</f>
        <v>0</v>
      </c>
      <c r="S824" s="19">
        <f>0.195*Q824</f>
        <v>0</v>
      </c>
      <c r="T824" s="20">
        <f>0.00079*Q824</f>
        <v>0</v>
      </c>
      <c r="U824" s="21"/>
      <c r="V824" s="22" t="s">
        <v>3573</v>
      </c>
      <c r="W824" s="22" t="s">
        <v>191</v>
      </c>
      <c r="X824" s="3"/>
      <c r="Y824" s="3" t="s">
        <v>3574</v>
      </c>
      <c r="Z824" s="3" t="s">
        <v>52</v>
      </c>
      <c r="AA824" s="3"/>
      <c r="AB824" s="3"/>
      <c r="AC824" s="3" t="str">
        <f>HYPERLINK("https://knigipp.ru/api/getInfo/image/aaeb17f9-6128-11ee-a245-00155d82e902")</f>
        <v>https://knigipp.ru/api/getInfo/image/aaeb17f9-6128-11ee-a245-00155d82e902</v>
      </c>
      <c r="AD824" s="32">
        <v>64</v>
      </c>
      <c r="AE824" s="3" t="s">
        <v>54</v>
      </c>
      <c r="AF824" s="3" t="s">
        <v>127</v>
      </c>
      <c r="AG824" s="3"/>
      <c r="AH824" s="3" t="s">
        <v>56</v>
      </c>
      <c r="AI824" s="3"/>
      <c r="AJ824" s="3"/>
      <c r="AK824" s="3" t="str">
        <f>HYPERLINK("https://knigipp.ru/api/getInfo/item/aaeb17f9-6128-11ee-a245-00155d82e902")</f>
        <v>https://knigipp.ru/api/getInfo/item/aaeb17f9-6128-11ee-a245-00155d82e902</v>
      </c>
      <c r="AL824" s="3" t="s">
        <v>3569</v>
      </c>
    </row>
    <row r="825" spans="1:38" ht="21" customHeight="1" outlineLevel="4" x14ac:dyDescent="0.2">
      <c r="A825" s="2">
        <v>610</v>
      </c>
      <c r="B825" s="3" t="s">
        <v>3575</v>
      </c>
      <c r="C825" s="49" t="s">
        <v>3576</v>
      </c>
      <c r="D825" s="49"/>
      <c r="E825" s="49"/>
      <c r="F825" s="49"/>
      <c r="G825" s="4" t="s">
        <v>3577</v>
      </c>
      <c r="H825" s="8"/>
      <c r="I825" s="9" t="s">
        <v>3566</v>
      </c>
      <c r="J825" s="10"/>
      <c r="K825" s="11">
        <v>24</v>
      </c>
      <c r="L825" s="10"/>
      <c r="M825" s="10" t="s">
        <v>47</v>
      </c>
      <c r="N825" s="10"/>
      <c r="O825" s="2">
        <v>2</v>
      </c>
      <c r="P825" s="17">
        <f>277*(1-S3/100)</f>
        <v>277</v>
      </c>
      <c r="Q825" s="18"/>
      <c r="R825" s="10">
        <f>P825*Q825</f>
        <v>0</v>
      </c>
      <c r="S825" s="19">
        <f>0.196*Q825</f>
        <v>0</v>
      </c>
      <c r="T825" s="20">
        <f>0.00092*Q825</f>
        <v>0</v>
      </c>
      <c r="U825" s="21"/>
      <c r="V825" s="22" t="s">
        <v>3578</v>
      </c>
      <c r="W825" s="22" t="s">
        <v>191</v>
      </c>
      <c r="X825" s="3"/>
      <c r="Y825" s="3" t="s">
        <v>3579</v>
      </c>
      <c r="Z825" s="3" t="s">
        <v>52</v>
      </c>
      <c r="AA825" s="3"/>
      <c r="AB825" s="3"/>
      <c r="AC825" s="3" t="str">
        <f>HYPERLINK("https://knigipp.ru/api/getInfo/image/fd9a339c-6126-11ee-a245-00155d82e902")</f>
        <v>https://knigipp.ru/api/getInfo/image/fd9a339c-6126-11ee-a245-00155d82e902</v>
      </c>
      <c r="AD825" s="32">
        <v>64</v>
      </c>
      <c r="AE825" s="3" t="s">
        <v>54</v>
      </c>
      <c r="AF825" s="3" t="s">
        <v>127</v>
      </c>
      <c r="AG825" s="3"/>
      <c r="AH825" s="3" t="s">
        <v>56</v>
      </c>
      <c r="AI825" s="3"/>
      <c r="AJ825" s="3"/>
      <c r="AK825" s="3" t="str">
        <f>HYPERLINK("https://knigipp.ru/api/getInfo/item/fd9a339c-6126-11ee-a245-00155d82e902")</f>
        <v>https://knigipp.ru/api/getInfo/item/fd9a339c-6126-11ee-a245-00155d82e902</v>
      </c>
      <c r="AL825" s="3" t="s">
        <v>3569</v>
      </c>
    </row>
    <row r="826" spans="1:38" ht="21" customHeight="1" outlineLevel="4" x14ac:dyDescent="0.2">
      <c r="A826" s="2">
        <v>611</v>
      </c>
      <c r="B826" s="3" t="s">
        <v>3580</v>
      </c>
      <c r="C826" s="49" t="s">
        <v>3581</v>
      </c>
      <c r="D826" s="49"/>
      <c r="E826" s="49"/>
      <c r="F826" s="49"/>
      <c r="G826" s="4" t="s">
        <v>3582</v>
      </c>
      <c r="H826" s="8"/>
      <c r="I826" s="9" t="s">
        <v>3566</v>
      </c>
      <c r="J826" s="10"/>
      <c r="K826" s="11">
        <v>24</v>
      </c>
      <c r="L826" s="10"/>
      <c r="M826" s="10" t="s">
        <v>47</v>
      </c>
      <c r="N826" s="10"/>
      <c r="O826" s="2">
        <v>2</v>
      </c>
      <c r="P826" s="17">
        <f>277*(1-S3/100)</f>
        <v>277</v>
      </c>
      <c r="Q826" s="18"/>
      <c r="R826" s="10">
        <f>P826*Q826</f>
        <v>0</v>
      </c>
      <c r="S826" s="19">
        <f>0.195*Q826</f>
        <v>0</v>
      </c>
      <c r="T826" s="20">
        <f>0.00041*Q826</f>
        <v>0</v>
      </c>
      <c r="U826" s="21"/>
      <c r="V826" s="22" t="s">
        <v>3583</v>
      </c>
      <c r="W826" s="22" t="s">
        <v>191</v>
      </c>
      <c r="X826" s="3"/>
      <c r="Y826" s="3" t="s">
        <v>3584</v>
      </c>
      <c r="Z826" s="3" t="s">
        <v>52</v>
      </c>
      <c r="AA826" s="3"/>
      <c r="AB826" s="3"/>
      <c r="AC826" s="3" t="str">
        <f>HYPERLINK("https://knigipp.ru/api/getInfo/image/5e725305-6128-11ee-a245-00155d82e902")</f>
        <v>https://knigipp.ru/api/getInfo/image/5e725305-6128-11ee-a245-00155d82e902</v>
      </c>
      <c r="AD826" s="32">
        <v>64</v>
      </c>
      <c r="AE826" s="3" t="s">
        <v>54</v>
      </c>
      <c r="AF826" s="3" t="s">
        <v>127</v>
      </c>
      <c r="AG826" s="3"/>
      <c r="AH826" s="3" t="s">
        <v>56</v>
      </c>
      <c r="AI826" s="3"/>
      <c r="AJ826" s="3"/>
      <c r="AK826" s="3" t="str">
        <f>HYPERLINK("https://knigipp.ru/api/getInfo/item/5e725305-6128-11ee-a245-00155d82e902")</f>
        <v>https://knigipp.ru/api/getInfo/item/5e725305-6128-11ee-a245-00155d82e902</v>
      </c>
      <c r="AL826" s="3" t="s">
        <v>3569</v>
      </c>
    </row>
    <row r="827" spans="1:38" ht="23.1" customHeight="1" outlineLevel="3" x14ac:dyDescent="0.2">
      <c r="A827" s="48" t="s">
        <v>3585</v>
      </c>
      <c r="B827" s="48"/>
      <c r="C827" s="48"/>
      <c r="D827" s="48"/>
      <c r="E827" s="48"/>
      <c r="F827" s="48"/>
    </row>
    <row r="828" spans="1:38" ht="21" customHeight="1" outlineLevel="4" x14ac:dyDescent="0.2">
      <c r="A828" s="2">
        <v>612</v>
      </c>
      <c r="B828" s="3" t="s">
        <v>3586</v>
      </c>
      <c r="C828" s="49" t="s">
        <v>3587</v>
      </c>
      <c r="D828" s="49"/>
      <c r="E828" s="49"/>
      <c r="F828" s="49"/>
      <c r="G828" s="4" t="s">
        <v>3588</v>
      </c>
      <c r="H828" s="8"/>
      <c r="I828" s="9" t="s">
        <v>3589</v>
      </c>
      <c r="J828" s="10"/>
      <c r="K828" s="11">
        <v>20</v>
      </c>
      <c r="L828" s="10"/>
      <c r="M828" s="10" t="s">
        <v>47</v>
      </c>
      <c r="N828" s="10"/>
      <c r="O828" s="2">
        <v>3</v>
      </c>
      <c r="P828" s="17">
        <f>217*(1-S3/100)</f>
        <v>217</v>
      </c>
      <c r="Q828" s="18"/>
      <c r="R828" s="10">
        <f>P828*Q828</f>
        <v>0</v>
      </c>
      <c r="S828" s="19">
        <f>0.124*Q828</f>
        <v>0</v>
      </c>
      <c r="T828" s="20">
        <f>0.00046*Q828</f>
        <v>0</v>
      </c>
      <c r="U828" s="21"/>
      <c r="V828" s="22" t="s">
        <v>3590</v>
      </c>
      <c r="W828" s="22" t="s">
        <v>49</v>
      </c>
      <c r="X828" s="3"/>
      <c r="Y828" s="3" t="s">
        <v>3591</v>
      </c>
      <c r="Z828" s="3" t="s">
        <v>52</v>
      </c>
      <c r="AA828" s="3"/>
      <c r="AB828" s="3"/>
      <c r="AC828" s="3" t="str">
        <f>HYPERLINK("https://knigipp.ru/api/getInfo/image/7443d76e-8fe7-11ed-a22b-00155d82e902")</f>
        <v>https://knigipp.ru/api/getInfo/image/7443d76e-8fe7-11ed-a22b-00155d82e902</v>
      </c>
      <c r="AD828" s="32">
        <v>80</v>
      </c>
      <c r="AE828" s="3" t="s">
        <v>54</v>
      </c>
      <c r="AF828" s="3" t="s">
        <v>55</v>
      </c>
      <c r="AG828" s="3"/>
      <c r="AH828" s="3" t="s">
        <v>56</v>
      </c>
      <c r="AI828" s="3"/>
      <c r="AJ828" s="3"/>
      <c r="AK828" s="3" t="str">
        <f>HYPERLINK("https://knigipp.ru/api/getInfo/item/7443d76e-8fe7-11ed-a22b-00155d82e902")</f>
        <v>https://knigipp.ru/api/getInfo/item/7443d76e-8fe7-11ed-a22b-00155d82e902</v>
      </c>
      <c r="AL828" s="3" t="s">
        <v>3592</v>
      </c>
    </row>
    <row r="829" spans="1:38" ht="21" customHeight="1" outlineLevel="4" x14ac:dyDescent="0.2">
      <c r="A829" s="2">
        <v>613</v>
      </c>
      <c r="B829" s="3" t="s">
        <v>3593</v>
      </c>
      <c r="C829" s="49" t="s">
        <v>3594</v>
      </c>
      <c r="D829" s="49"/>
      <c r="E829" s="49"/>
      <c r="F829" s="49"/>
      <c r="G829" s="4" t="s">
        <v>3595</v>
      </c>
      <c r="H829" s="8"/>
      <c r="I829" s="9" t="s">
        <v>3589</v>
      </c>
      <c r="J829" s="10"/>
      <c r="K829" s="11">
        <v>20</v>
      </c>
      <c r="L829" s="10"/>
      <c r="M829" s="10" t="s">
        <v>47</v>
      </c>
      <c r="N829" s="10"/>
      <c r="O829" s="2">
        <v>3</v>
      </c>
      <c r="P829" s="17">
        <f>217*(1-S3/100)</f>
        <v>217</v>
      </c>
      <c r="Q829" s="18"/>
      <c r="R829" s="10">
        <f>P829*Q829</f>
        <v>0</v>
      </c>
      <c r="S829" s="19">
        <f>0.124*Q829</f>
        <v>0</v>
      </c>
      <c r="T829" s="20">
        <f>0.00046*Q829</f>
        <v>0</v>
      </c>
      <c r="U829" s="21"/>
      <c r="V829" s="22" t="s">
        <v>3596</v>
      </c>
      <c r="W829" s="22" t="s">
        <v>49</v>
      </c>
      <c r="X829" s="3"/>
      <c r="Y829" s="3" t="s">
        <v>3597</v>
      </c>
      <c r="Z829" s="3" t="s">
        <v>52</v>
      </c>
      <c r="AA829" s="3"/>
      <c r="AB829" s="3"/>
      <c r="AC829" s="3" t="str">
        <f>HYPERLINK("https://knigipp.ru/api/getInfo/image/3674daeb-8fe8-11ed-a22b-00155d82e902")</f>
        <v>https://knigipp.ru/api/getInfo/image/3674daeb-8fe8-11ed-a22b-00155d82e902</v>
      </c>
      <c r="AD829" s="32">
        <v>80</v>
      </c>
      <c r="AE829" s="3" t="s">
        <v>54</v>
      </c>
      <c r="AF829" s="3" t="s">
        <v>55</v>
      </c>
      <c r="AG829" s="3"/>
      <c r="AH829" s="3" t="s">
        <v>56</v>
      </c>
      <c r="AI829" s="3"/>
      <c r="AJ829" s="3"/>
      <c r="AK829" s="3" t="str">
        <f>HYPERLINK("https://knigipp.ru/api/getInfo/item/3674daeb-8fe8-11ed-a22b-00155d82e902")</f>
        <v>https://knigipp.ru/api/getInfo/item/3674daeb-8fe8-11ed-a22b-00155d82e902</v>
      </c>
      <c r="AL829" s="3" t="s">
        <v>3592</v>
      </c>
    </row>
    <row r="830" spans="1:38" ht="21" customHeight="1" outlineLevel="4" x14ac:dyDescent="0.2">
      <c r="A830" s="2">
        <v>614</v>
      </c>
      <c r="B830" s="3" t="s">
        <v>3598</v>
      </c>
      <c r="C830" s="49" t="s">
        <v>3599</v>
      </c>
      <c r="D830" s="49"/>
      <c r="E830" s="49"/>
      <c r="F830" s="49"/>
      <c r="G830" s="4" t="s">
        <v>3600</v>
      </c>
      <c r="H830" s="8"/>
      <c r="I830" s="9" t="s">
        <v>3589</v>
      </c>
      <c r="J830" s="10"/>
      <c r="K830" s="11">
        <v>20</v>
      </c>
      <c r="L830" s="10"/>
      <c r="M830" s="10" t="s">
        <v>78</v>
      </c>
      <c r="N830" s="10"/>
      <c r="O830" s="2">
        <v>3</v>
      </c>
      <c r="P830" s="17">
        <f>217*(1-S3/100)</f>
        <v>217</v>
      </c>
      <c r="Q830" s="18"/>
      <c r="R830" s="10">
        <f>P830*Q830</f>
        <v>0</v>
      </c>
      <c r="S830" s="19">
        <f>0.125*Q830</f>
        <v>0</v>
      </c>
      <c r="T830" s="20">
        <f>0.00032*Q830</f>
        <v>0</v>
      </c>
      <c r="U830" s="21"/>
      <c r="V830" s="22" t="s">
        <v>3601</v>
      </c>
      <c r="W830" s="22" t="s">
        <v>49</v>
      </c>
      <c r="X830" s="3"/>
      <c r="Y830" s="3" t="s">
        <v>3602</v>
      </c>
      <c r="Z830" s="3" t="s">
        <v>52</v>
      </c>
      <c r="AA830" s="3"/>
      <c r="AB830" s="3"/>
      <c r="AC830" s="3" t="str">
        <f>HYPERLINK("https://knigipp.ru/api/getInfo/image/4274dbda-8fea-11ed-a22b-00155d82e902")</f>
        <v>https://knigipp.ru/api/getInfo/image/4274dbda-8fea-11ed-a22b-00155d82e902</v>
      </c>
      <c r="AD830" s="32">
        <v>80</v>
      </c>
      <c r="AE830" s="3" t="s">
        <v>54</v>
      </c>
      <c r="AF830" s="3" t="s">
        <v>55</v>
      </c>
      <c r="AG830" s="3"/>
      <c r="AH830" s="3" t="s">
        <v>56</v>
      </c>
      <c r="AI830" s="3"/>
      <c r="AJ830" s="3"/>
      <c r="AK830" s="3" t="str">
        <f>HYPERLINK("https://knigipp.ru/api/getInfo/item/4274dbda-8fea-11ed-a22b-00155d82e902")</f>
        <v>https://knigipp.ru/api/getInfo/item/4274dbda-8fea-11ed-a22b-00155d82e902</v>
      </c>
      <c r="AL830" s="3" t="s">
        <v>3592</v>
      </c>
    </row>
    <row r="831" spans="1:38" ht="23.1" customHeight="1" outlineLevel="3" x14ac:dyDescent="0.2">
      <c r="A831" s="48" t="s">
        <v>3603</v>
      </c>
      <c r="B831" s="48"/>
      <c r="C831" s="48"/>
      <c r="D831" s="48"/>
      <c r="E831" s="48"/>
      <c r="F831" s="48"/>
    </row>
    <row r="832" spans="1:38" ht="21" customHeight="1" outlineLevel="4" x14ac:dyDescent="0.2">
      <c r="A832" s="2">
        <v>615</v>
      </c>
      <c r="B832" s="3" t="s">
        <v>3604</v>
      </c>
      <c r="C832" s="49" t="s">
        <v>3605</v>
      </c>
      <c r="D832" s="49"/>
      <c r="E832" s="49"/>
      <c r="F832" s="49"/>
      <c r="G832" s="4" t="s">
        <v>3606</v>
      </c>
      <c r="H832" s="8"/>
      <c r="I832" s="9" t="s">
        <v>3607</v>
      </c>
      <c r="J832" s="10"/>
      <c r="K832" s="11">
        <v>12</v>
      </c>
      <c r="L832" s="10"/>
      <c r="M832" s="10" t="s">
        <v>78</v>
      </c>
      <c r="N832" s="10"/>
      <c r="O832" s="2">
        <v>3</v>
      </c>
      <c r="P832" s="17">
        <f>217*(1-S3/100)</f>
        <v>217</v>
      </c>
      <c r="Q832" s="18"/>
      <c r="R832" s="10">
        <f>P832*Q832</f>
        <v>0</v>
      </c>
      <c r="S832" s="19">
        <f>2.691*Q832</f>
        <v>0</v>
      </c>
      <c r="T832" s="20">
        <f>0.00443*Q832</f>
        <v>0</v>
      </c>
      <c r="U832" s="21"/>
      <c r="V832" s="22" t="s">
        <v>3608</v>
      </c>
      <c r="W832" s="22" t="s">
        <v>49</v>
      </c>
      <c r="X832" s="3"/>
      <c r="Y832" s="3"/>
      <c r="Z832" s="3" t="s">
        <v>52</v>
      </c>
      <c r="AA832" s="3" t="s">
        <v>3609</v>
      </c>
      <c r="AB832" s="3"/>
      <c r="AC832" s="3" t="str">
        <f>HYPERLINK("https://knigipp.ru/api/getInfo/image/9797cc9d-c423-11e5-95cd-5cf3fc4a2490")</f>
        <v>https://knigipp.ru/api/getInfo/image/9797cc9d-c423-11e5-95cd-5cf3fc4a2490</v>
      </c>
      <c r="AD832" s="32">
        <v>36</v>
      </c>
      <c r="AE832" s="3"/>
      <c r="AF832" s="3" t="s">
        <v>127</v>
      </c>
      <c r="AG832" s="3"/>
      <c r="AH832" s="3" t="s">
        <v>56</v>
      </c>
      <c r="AI832" s="3"/>
      <c r="AJ832" s="3" t="s">
        <v>3610</v>
      </c>
      <c r="AK832" s="3" t="str">
        <f>HYPERLINK("https://knigipp.ru/api/getInfo/item/9797cc9d-c423-11e5-95cd-5cf3fc4a2490")</f>
        <v>https://knigipp.ru/api/getInfo/item/9797cc9d-c423-11e5-95cd-5cf3fc4a2490</v>
      </c>
      <c r="AL832" s="3" t="s">
        <v>3611</v>
      </c>
    </row>
    <row r="833" spans="1:38" ht="21" customHeight="1" outlineLevel="4" x14ac:dyDescent="0.2">
      <c r="A833" s="2">
        <v>616</v>
      </c>
      <c r="B833" s="3" t="s">
        <v>3612</v>
      </c>
      <c r="C833" s="49" t="s">
        <v>3613</v>
      </c>
      <c r="D833" s="49"/>
      <c r="E833" s="49"/>
      <c r="F833" s="49"/>
      <c r="G833" s="4" t="s">
        <v>3614</v>
      </c>
      <c r="H833" s="8"/>
      <c r="I833" s="9" t="s">
        <v>3607</v>
      </c>
      <c r="J833" s="10"/>
      <c r="K833" s="11">
        <v>12</v>
      </c>
      <c r="L833" s="10"/>
      <c r="M833" s="10" t="s">
        <v>47</v>
      </c>
      <c r="N833" s="10"/>
      <c r="O833" s="2">
        <v>3</v>
      </c>
      <c r="P833" s="17">
        <f>217*(1-S3/100)</f>
        <v>217</v>
      </c>
      <c r="Q833" s="18"/>
      <c r="R833" s="10">
        <f>P833*Q833</f>
        <v>0</v>
      </c>
      <c r="S833" s="19">
        <f>0.226*Q833</f>
        <v>0</v>
      </c>
      <c r="T833" s="20">
        <f>0.00055*Q833</f>
        <v>0</v>
      </c>
      <c r="U833" s="21"/>
      <c r="V833" s="22" t="s">
        <v>3615</v>
      </c>
      <c r="W833" s="22" t="s">
        <v>49</v>
      </c>
      <c r="X833" s="3"/>
      <c r="Y833" s="3" t="s">
        <v>3616</v>
      </c>
      <c r="Z833" s="3" t="s">
        <v>52</v>
      </c>
      <c r="AA833" s="3" t="s">
        <v>3609</v>
      </c>
      <c r="AB833" s="3"/>
      <c r="AC833" s="3" t="str">
        <f>HYPERLINK("https://knigipp.ru/api/getInfo/image/7295ec1d-c423-11e5-95cd-5cf3fc4a2490")</f>
        <v>https://knigipp.ru/api/getInfo/image/7295ec1d-c423-11e5-95cd-5cf3fc4a2490</v>
      </c>
      <c r="AD833" s="32">
        <v>36</v>
      </c>
      <c r="AE833" s="3"/>
      <c r="AF833" s="3" t="s">
        <v>127</v>
      </c>
      <c r="AG833" s="3"/>
      <c r="AH833" s="3" t="s">
        <v>56</v>
      </c>
      <c r="AI833" s="3"/>
      <c r="AJ833" s="3" t="s">
        <v>3610</v>
      </c>
      <c r="AK833" s="3" t="str">
        <f>HYPERLINK("https://knigipp.ru/api/getInfo/item/7295ec1d-c423-11e5-95cd-5cf3fc4a2490")</f>
        <v>https://knigipp.ru/api/getInfo/item/7295ec1d-c423-11e5-95cd-5cf3fc4a2490</v>
      </c>
      <c r="AL833" s="3" t="s">
        <v>3611</v>
      </c>
    </row>
    <row r="834" spans="1:38" ht="21" customHeight="1" outlineLevel="4" x14ac:dyDescent="0.2">
      <c r="A834" s="2">
        <v>617</v>
      </c>
      <c r="B834" s="3" t="s">
        <v>3617</v>
      </c>
      <c r="C834" s="49" t="s">
        <v>3618</v>
      </c>
      <c r="D834" s="49"/>
      <c r="E834" s="49"/>
      <c r="F834" s="49"/>
      <c r="G834" s="4" t="s">
        <v>3619</v>
      </c>
      <c r="H834" s="8"/>
      <c r="I834" s="9" t="s">
        <v>3607</v>
      </c>
      <c r="J834" s="10"/>
      <c r="K834" s="11">
        <v>12</v>
      </c>
      <c r="L834" s="10"/>
      <c r="M834" s="10" t="s">
        <v>47</v>
      </c>
      <c r="N834" s="10"/>
      <c r="O834" s="2">
        <v>3</v>
      </c>
      <c r="P834" s="17">
        <f>217*(1-S3/100)</f>
        <v>217</v>
      </c>
      <c r="Q834" s="18"/>
      <c r="R834" s="10">
        <f>P834*Q834</f>
        <v>0</v>
      </c>
      <c r="S834" s="19">
        <f>0.223*Q834</f>
        <v>0</v>
      </c>
      <c r="T834" s="30">
        <f>0.0005*Q834</f>
        <v>0</v>
      </c>
      <c r="U834" s="21"/>
      <c r="V834" s="22" t="s">
        <v>3620</v>
      </c>
      <c r="W834" s="22" t="s">
        <v>49</v>
      </c>
      <c r="X834" s="3"/>
      <c r="Y834" s="3" t="s">
        <v>3621</v>
      </c>
      <c r="Z834" s="3" t="s">
        <v>52</v>
      </c>
      <c r="AA834" s="3" t="s">
        <v>3622</v>
      </c>
      <c r="AB834" s="3"/>
      <c r="AC834" s="3" t="str">
        <f>HYPERLINK("https://knigipp.ru/api/getInfo/image/45320ff8-968a-11e6-a489-5cf3fc4a2490")</f>
        <v>https://knigipp.ru/api/getInfo/image/45320ff8-968a-11e6-a489-5cf3fc4a2490</v>
      </c>
      <c r="AD834" s="32">
        <v>36</v>
      </c>
      <c r="AE834" s="3"/>
      <c r="AF834" s="3" t="s">
        <v>127</v>
      </c>
      <c r="AG834" s="3"/>
      <c r="AH834" s="3" t="s">
        <v>56</v>
      </c>
      <c r="AI834" s="3"/>
      <c r="AJ834" s="3" t="s">
        <v>3610</v>
      </c>
      <c r="AK834" s="3" t="str">
        <f>HYPERLINK("https://knigipp.ru/api/getInfo/item/45320ff8-968a-11e6-a489-5cf3fc4a2490")</f>
        <v>https://knigipp.ru/api/getInfo/item/45320ff8-968a-11e6-a489-5cf3fc4a2490</v>
      </c>
      <c r="AL834" s="3" t="s">
        <v>3611</v>
      </c>
    </row>
    <row r="835" spans="1:38" ht="21" customHeight="1" outlineLevel="4" x14ac:dyDescent="0.2">
      <c r="A835" s="2">
        <v>618</v>
      </c>
      <c r="B835" s="3" t="s">
        <v>3623</v>
      </c>
      <c r="C835" s="49" t="s">
        <v>3624</v>
      </c>
      <c r="D835" s="49"/>
      <c r="E835" s="49"/>
      <c r="F835" s="49"/>
      <c r="G835" s="4" t="s">
        <v>3625</v>
      </c>
      <c r="H835" s="8"/>
      <c r="I835" s="9" t="s">
        <v>3607</v>
      </c>
      <c r="J835" s="10"/>
      <c r="K835" s="11">
        <v>12</v>
      </c>
      <c r="L835" s="10"/>
      <c r="M835" s="10" t="s">
        <v>47</v>
      </c>
      <c r="N835" s="10"/>
      <c r="O835" s="2">
        <v>3</v>
      </c>
      <c r="P835" s="17">
        <f>217*(1-S3/100)</f>
        <v>217</v>
      </c>
      <c r="Q835" s="18"/>
      <c r="R835" s="10">
        <f>P835*Q835</f>
        <v>0</v>
      </c>
      <c r="S835" s="19">
        <f>0.317*Q835</f>
        <v>0</v>
      </c>
      <c r="T835" s="20">
        <f>0.00039*Q835</f>
        <v>0</v>
      </c>
      <c r="U835" s="21"/>
      <c r="V835" s="22" t="s">
        <v>3626</v>
      </c>
      <c r="W835" s="22" t="s">
        <v>49</v>
      </c>
      <c r="X835" s="3"/>
      <c r="Y835" s="3" t="s">
        <v>3627</v>
      </c>
      <c r="Z835" s="3" t="s">
        <v>52</v>
      </c>
      <c r="AA835" s="3" t="s">
        <v>3622</v>
      </c>
      <c r="AB835" s="3"/>
      <c r="AC835" s="3" t="str">
        <f>HYPERLINK("https://knigipp.ru/api/getInfo/image/51b147f8-968a-11e6-a489-5cf3fc4a2490")</f>
        <v>https://knigipp.ru/api/getInfo/image/51b147f8-968a-11e6-a489-5cf3fc4a2490</v>
      </c>
      <c r="AD835" s="32">
        <v>36</v>
      </c>
      <c r="AE835" s="3"/>
      <c r="AF835" s="3" t="s">
        <v>127</v>
      </c>
      <c r="AG835" s="3"/>
      <c r="AH835" s="3" t="s">
        <v>56</v>
      </c>
      <c r="AI835" s="3"/>
      <c r="AJ835" s="3" t="s">
        <v>3610</v>
      </c>
      <c r="AK835" s="3" t="str">
        <f>HYPERLINK("https://knigipp.ru/api/getInfo/item/51b147f8-968a-11e6-a489-5cf3fc4a2490")</f>
        <v>https://knigipp.ru/api/getInfo/item/51b147f8-968a-11e6-a489-5cf3fc4a2490</v>
      </c>
      <c r="AL835" s="3" t="s">
        <v>3611</v>
      </c>
    </row>
    <row r="836" spans="1:38" ht="23.1" customHeight="1" outlineLevel="3" x14ac:dyDescent="0.2">
      <c r="A836" s="48" t="s">
        <v>3628</v>
      </c>
      <c r="B836" s="48"/>
      <c r="C836" s="48"/>
      <c r="D836" s="48"/>
      <c r="E836" s="48"/>
      <c r="F836" s="48"/>
    </row>
    <row r="837" spans="1:38" ht="21" customHeight="1" outlineLevel="4" x14ac:dyDescent="0.2">
      <c r="A837" s="2">
        <v>619</v>
      </c>
      <c r="B837" s="3" t="s">
        <v>3629</v>
      </c>
      <c r="C837" s="49" t="s">
        <v>3630</v>
      </c>
      <c r="D837" s="49"/>
      <c r="E837" s="49"/>
      <c r="F837" s="49"/>
      <c r="G837" s="4" t="s">
        <v>3631</v>
      </c>
      <c r="H837" s="8"/>
      <c r="I837" s="9" t="s">
        <v>3632</v>
      </c>
      <c r="J837" s="10"/>
      <c r="K837" s="11">
        <v>20</v>
      </c>
      <c r="L837" s="10"/>
      <c r="M837" s="10" t="s">
        <v>47</v>
      </c>
      <c r="N837" s="10"/>
      <c r="O837" s="2">
        <v>3</v>
      </c>
      <c r="P837" s="17">
        <f>269*(1-S3/100)</f>
        <v>269</v>
      </c>
      <c r="Q837" s="18"/>
      <c r="R837" s="10">
        <f>P837*Q837</f>
        <v>0</v>
      </c>
      <c r="S837" s="10">
        <v>0</v>
      </c>
      <c r="T837" s="10">
        <v>0</v>
      </c>
      <c r="U837" s="21"/>
      <c r="V837" s="22" t="s">
        <v>3633</v>
      </c>
      <c r="W837" s="22" t="s">
        <v>49</v>
      </c>
      <c r="X837" s="3"/>
      <c r="Y837" s="3" t="s">
        <v>3634</v>
      </c>
      <c r="Z837" s="3" t="s">
        <v>52</v>
      </c>
      <c r="AA837" s="3"/>
      <c r="AB837" s="3"/>
      <c r="AC837" s="3" t="str">
        <f>HYPERLINK("https://knigipp.ru/api/getInfo/image/cdaa8bd4-723e-11ed-a22a-00155d82e902")</f>
        <v>https://knigipp.ru/api/getInfo/image/cdaa8bd4-723e-11ed-a22a-00155d82e902</v>
      </c>
      <c r="AD837" s="32">
        <v>64</v>
      </c>
      <c r="AE837" s="3" t="s">
        <v>54</v>
      </c>
      <c r="AF837" s="3" t="s">
        <v>127</v>
      </c>
      <c r="AG837" s="3"/>
      <c r="AH837" s="3" t="s">
        <v>56</v>
      </c>
      <c r="AI837" s="3"/>
      <c r="AJ837" s="3"/>
      <c r="AK837" s="3" t="str">
        <f>HYPERLINK("https://knigipp.ru/api/getInfo/item/cdaa8bd4-723e-11ed-a22a-00155d82e902")</f>
        <v>https://knigipp.ru/api/getInfo/item/cdaa8bd4-723e-11ed-a22a-00155d82e902</v>
      </c>
      <c r="AL837" s="3" t="s">
        <v>401</v>
      </c>
    </row>
    <row r="838" spans="1:38" ht="21" customHeight="1" outlineLevel="4" x14ac:dyDescent="0.2">
      <c r="A838" s="2">
        <v>620</v>
      </c>
      <c r="B838" s="3" t="s">
        <v>3635</v>
      </c>
      <c r="C838" s="49" t="s">
        <v>3636</v>
      </c>
      <c r="D838" s="49"/>
      <c r="E838" s="49"/>
      <c r="F838" s="49"/>
      <c r="G838" s="4" t="s">
        <v>3637</v>
      </c>
      <c r="H838" s="8"/>
      <c r="I838" s="9" t="s">
        <v>3632</v>
      </c>
      <c r="J838" s="10"/>
      <c r="K838" s="11">
        <v>20</v>
      </c>
      <c r="L838" s="10"/>
      <c r="M838" s="10" t="s">
        <v>304</v>
      </c>
      <c r="N838" s="10"/>
      <c r="O838" s="2">
        <v>3</v>
      </c>
      <c r="P838" s="17">
        <f>269*(1-S3/100)</f>
        <v>269</v>
      </c>
      <c r="Q838" s="18"/>
      <c r="R838" s="10">
        <f>P838*Q838</f>
        <v>0</v>
      </c>
      <c r="S838" s="19">
        <f>0.164*Q838</f>
        <v>0</v>
      </c>
      <c r="T838" s="30">
        <f>0.0004*Q838</f>
        <v>0</v>
      </c>
      <c r="U838" s="21"/>
      <c r="V838" s="22" t="s">
        <v>3638</v>
      </c>
      <c r="W838" s="22" t="s">
        <v>49</v>
      </c>
      <c r="X838" s="3"/>
      <c r="Y838" s="3" t="s">
        <v>3639</v>
      </c>
      <c r="Z838" s="3" t="s">
        <v>52</v>
      </c>
      <c r="AA838" s="3"/>
      <c r="AB838" s="3"/>
      <c r="AC838" s="3" t="str">
        <f>HYPERLINK("https://knigipp.ru/api/getInfo/image/05af87c5-723f-11ed-a22a-00155d82e902")</f>
        <v>https://knigipp.ru/api/getInfo/image/05af87c5-723f-11ed-a22a-00155d82e902</v>
      </c>
      <c r="AD838" s="32">
        <v>64</v>
      </c>
      <c r="AE838" s="3" t="s">
        <v>54</v>
      </c>
      <c r="AF838" s="3" t="s">
        <v>127</v>
      </c>
      <c r="AG838" s="3"/>
      <c r="AH838" s="3" t="s">
        <v>56</v>
      </c>
      <c r="AI838" s="3"/>
      <c r="AJ838" s="3"/>
      <c r="AK838" s="3" t="str">
        <f>HYPERLINK("https://knigipp.ru/api/getInfo/item/05af87c5-723f-11ed-a22a-00155d82e902")</f>
        <v>https://knigipp.ru/api/getInfo/item/05af87c5-723f-11ed-a22a-00155d82e902</v>
      </c>
      <c r="AL838" s="3" t="s">
        <v>401</v>
      </c>
    </row>
    <row r="839" spans="1:38" ht="23.1" customHeight="1" outlineLevel="3" x14ac:dyDescent="0.2">
      <c r="A839" s="48" t="s">
        <v>3640</v>
      </c>
      <c r="B839" s="48"/>
      <c r="C839" s="48"/>
      <c r="D839" s="48"/>
      <c r="E839" s="48"/>
      <c r="F839" s="48"/>
    </row>
    <row r="840" spans="1:38" ht="21" customHeight="1" outlineLevel="4" x14ac:dyDescent="0.2">
      <c r="A840" s="2">
        <v>621</v>
      </c>
      <c r="B840" s="3" t="s">
        <v>3641</v>
      </c>
      <c r="C840" s="49" t="s">
        <v>3642</v>
      </c>
      <c r="D840" s="49"/>
      <c r="E840" s="49"/>
      <c r="F840" s="49"/>
      <c r="G840" s="4" t="s">
        <v>3643</v>
      </c>
      <c r="H840" s="8"/>
      <c r="I840" s="9" t="s">
        <v>3644</v>
      </c>
      <c r="J840" s="10"/>
      <c r="K840" s="11">
        <v>10</v>
      </c>
      <c r="L840" s="10"/>
      <c r="M840" s="10" t="s">
        <v>304</v>
      </c>
      <c r="N840" s="10"/>
      <c r="O840" s="2">
        <v>3</v>
      </c>
      <c r="P840" s="17">
        <f>199*(1-S3/100)</f>
        <v>199</v>
      </c>
      <c r="Q840" s="18"/>
      <c r="R840" s="10">
        <f>P840*Q840</f>
        <v>0</v>
      </c>
      <c r="S840" s="19">
        <f>0.164*Q840</f>
        <v>0</v>
      </c>
      <c r="T840" s="30">
        <f>0.0004*Q840</f>
        <v>0</v>
      </c>
      <c r="U840" s="21"/>
      <c r="V840" s="22" t="s">
        <v>3645</v>
      </c>
      <c r="W840" s="22" t="s">
        <v>191</v>
      </c>
      <c r="X840" s="3"/>
      <c r="Y840" s="3" t="s">
        <v>3646</v>
      </c>
      <c r="Z840" s="3" t="s">
        <v>52</v>
      </c>
      <c r="AA840" s="3"/>
      <c r="AB840" s="3"/>
      <c r="AC840" s="3" t="str">
        <f>HYPERLINK("https://knigipp.ru/api/getInfo/image/9e13b3c4-c4f2-11ef-a268-00155d82e908")</f>
        <v>https://knigipp.ru/api/getInfo/image/9e13b3c4-c4f2-11ef-a268-00155d82e908</v>
      </c>
      <c r="AD840" s="32">
        <v>64</v>
      </c>
      <c r="AE840" s="3" t="s">
        <v>54</v>
      </c>
      <c r="AF840" s="3" t="s">
        <v>127</v>
      </c>
      <c r="AG840" s="3"/>
      <c r="AH840" s="3" t="s">
        <v>56</v>
      </c>
      <c r="AI840" s="3"/>
      <c r="AJ840" s="3"/>
      <c r="AK840" s="3" t="str">
        <f>HYPERLINK("https://knigipp.ru/api/getInfo/item/9e13b3c4-c4f2-11ef-a268-00155d82e908")</f>
        <v>https://knigipp.ru/api/getInfo/item/9e13b3c4-c4f2-11ef-a268-00155d82e908</v>
      </c>
      <c r="AL840" s="3" t="s">
        <v>3647</v>
      </c>
    </row>
    <row r="841" spans="1:38" ht="21" customHeight="1" outlineLevel="4" x14ac:dyDescent="0.2">
      <c r="A841" s="2">
        <v>622</v>
      </c>
      <c r="B841" s="3" t="s">
        <v>3648</v>
      </c>
      <c r="C841" s="49" t="s">
        <v>3649</v>
      </c>
      <c r="D841" s="49"/>
      <c r="E841" s="49"/>
      <c r="F841" s="49"/>
      <c r="G841" s="4" t="s">
        <v>3650</v>
      </c>
      <c r="H841" s="8"/>
      <c r="I841" s="9" t="s">
        <v>3644</v>
      </c>
      <c r="J841" s="10"/>
      <c r="K841" s="11">
        <v>10</v>
      </c>
      <c r="L841" s="10"/>
      <c r="M841" s="10" t="s">
        <v>304</v>
      </c>
      <c r="N841" s="10"/>
      <c r="O841" s="2">
        <v>3</v>
      </c>
      <c r="P841" s="17">
        <f>199*(1-S3/100)</f>
        <v>199</v>
      </c>
      <c r="Q841" s="18"/>
      <c r="R841" s="10">
        <f>P841*Q841</f>
        <v>0</v>
      </c>
      <c r="S841" s="19">
        <f>0.164*Q841</f>
        <v>0</v>
      </c>
      <c r="T841" s="30">
        <f>0.0004*Q841</f>
        <v>0</v>
      </c>
      <c r="U841" s="21"/>
      <c r="V841" s="22" t="s">
        <v>3651</v>
      </c>
      <c r="W841" s="22" t="s">
        <v>191</v>
      </c>
      <c r="X841" s="3"/>
      <c r="Y841" s="3" t="s">
        <v>3652</v>
      </c>
      <c r="Z841" s="3" t="s">
        <v>52</v>
      </c>
      <c r="AA841" s="3"/>
      <c r="AB841" s="3"/>
      <c r="AC841" s="3" t="str">
        <f>HYPERLINK("https://knigipp.ru/api/getInfo/image/7811687d-c4f2-11ef-a268-00155d82e908")</f>
        <v>https://knigipp.ru/api/getInfo/image/7811687d-c4f2-11ef-a268-00155d82e908</v>
      </c>
      <c r="AD841" s="32">
        <v>64</v>
      </c>
      <c r="AE841" s="3" t="s">
        <v>54</v>
      </c>
      <c r="AF841" s="3" t="s">
        <v>127</v>
      </c>
      <c r="AG841" s="3"/>
      <c r="AH841" s="3" t="s">
        <v>56</v>
      </c>
      <c r="AI841" s="3"/>
      <c r="AJ841" s="3"/>
      <c r="AK841" s="3" t="str">
        <f>HYPERLINK("https://knigipp.ru/api/getInfo/item/7811687d-c4f2-11ef-a268-00155d82e908")</f>
        <v>https://knigipp.ru/api/getInfo/item/7811687d-c4f2-11ef-a268-00155d82e908</v>
      </c>
      <c r="AL841" s="3" t="s">
        <v>3647</v>
      </c>
    </row>
    <row r="842" spans="1:38" ht="23.1" customHeight="1" outlineLevel="3" x14ac:dyDescent="0.2">
      <c r="A842" s="48" t="s">
        <v>3653</v>
      </c>
      <c r="B842" s="48"/>
      <c r="C842" s="48"/>
      <c r="D842" s="48"/>
      <c r="E842" s="48"/>
      <c r="F842" s="48"/>
    </row>
    <row r="843" spans="1:38" ht="21" customHeight="1" outlineLevel="4" x14ac:dyDescent="0.2">
      <c r="A843" s="2">
        <v>623</v>
      </c>
      <c r="B843" s="3" t="s">
        <v>3654</v>
      </c>
      <c r="C843" s="49" t="s">
        <v>3655</v>
      </c>
      <c r="D843" s="49"/>
      <c r="E843" s="49"/>
      <c r="F843" s="49"/>
      <c r="G843" s="4" t="s">
        <v>3656</v>
      </c>
      <c r="H843" s="8"/>
      <c r="I843" s="9" t="s">
        <v>3657</v>
      </c>
      <c r="J843" s="10"/>
      <c r="K843" s="11">
        <v>30</v>
      </c>
      <c r="L843" s="10"/>
      <c r="M843" s="10" t="s">
        <v>47</v>
      </c>
      <c r="N843" s="10"/>
      <c r="O843" s="2">
        <v>4</v>
      </c>
      <c r="P843" s="17">
        <f>167*(1-S3/100)</f>
        <v>167</v>
      </c>
      <c r="Q843" s="18"/>
      <c r="R843" s="10">
        <f>P843*Q843</f>
        <v>0</v>
      </c>
      <c r="S843" s="10">
        <v>0</v>
      </c>
      <c r="T843" s="10">
        <v>0</v>
      </c>
      <c r="U843" s="21"/>
      <c r="V843" s="22" t="s">
        <v>3658</v>
      </c>
      <c r="W843" s="22" t="s">
        <v>191</v>
      </c>
      <c r="X843" s="3"/>
      <c r="Y843" s="3" t="s">
        <v>3659</v>
      </c>
      <c r="Z843" s="3" t="s">
        <v>52</v>
      </c>
      <c r="AA843" s="3" t="s">
        <v>1655</v>
      </c>
      <c r="AB843" s="3"/>
      <c r="AC843" s="3" t="str">
        <f>HYPERLINK("https://knigipp.ru/api/getInfo/image/7494ce39-8869-11ee-a249-00155d82e902")</f>
        <v>https://knigipp.ru/api/getInfo/image/7494ce39-8869-11ee-a249-00155d82e902</v>
      </c>
      <c r="AD843" s="32">
        <v>96</v>
      </c>
      <c r="AE843" s="3" t="s">
        <v>355</v>
      </c>
      <c r="AF843" s="3" t="s">
        <v>136</v>
      </c>
      <c r="AG843" s="3"/>
      <c r="AH843" s="3" t="s">
        <v>56</v>
      </c>
      <c r="AI843" s="3"/>
      <c r="AJ843" s="3"/>
      <c r="AK843" s="3" t="str">
        <f>HYPERLINK("https://knigipp.ru/api/getInfo/item/7494ce39-8869-11ee-a249-00155d82e902")</f>
        <v>https://knigipp.ru/api/getInfo/item/7494ce39-8869-11ee-a249-00155d82e902</v>
      </c>
      <c r="AL843" s="3" t="s">
        <v>3660</v>
      </c>
    </row>
    <row r="844" spans="1:38" ht="21" customHeight="1" outlineLevel="4" x14ac:dyDescent="0.2">
      <c r="A844" s="2">
        <v>624</v>
      </c>
      <c r="B844" s="3" t="s">
        <v>3661</v>
      </c>
      <c r="C844" s="49" t="s">
        <v>3662</v>
      </c>
      <c r="D844" s="49"/>
      <c r="E844" s="49"/>
      <c r="F844" s="49"/>
      <c r="G844" s="4" t="s">
        <v>3663</v>
      </c>
      <c r="H844" s="8"/>
      <c r="I844" s="9" t="s">
        <v>3657</v>
      </c>
      <c r="J844" s="10"/>
      <c r="K844" s="11">
        <v>30</v>
      </c>
      <c r="L844" s="10"/>
      <c r="M844" s="10" t="s">
        <v>47</v>
      </c>
      <c r="N844" s="10"/>
      <c r="O844" s="2">
        <v>4</v>
      </c>
      <c r="P844" s="17">
        <f>167*(1-S3/100)</f>
        <v>167</v>
      </c>
      <c r="Q844" s="18"/>
      <c r="R844" s="10">
        <f>P844*Q844</f>
        <v>0</v>
      </c>
      <c r="S844" s="10">
        <v>0</v>
      </c>
      <c r="T844" s="10">
        <v>0</v>
      </c>
      <c r="U844" s="21"/>
      <c r="V844" s="22" t="s">
        <v>3664</v>
      </c>
      <c r="W844" s="22" t="s">
        <v>191</v>
      </c>
      <c r="X844" s="3"/>
      <c r="Y844" s="3" t="s">
        <v>3665</v>
      </c>
      <c r="Z844" s="3" t="s">
        <v>52</v>
      </c>
      <c r="AA844" s="3" t="s">
        <v>1667</v>
      </c>
      <c r="AB844" s="3"/>
      <c r="AC844" s="3" t="str">
        <f>HYPERLINK("https://knigipp.ru/api/getInfo/image/d6340109-8869-11ee-a249-00155d82e902")</f>
        <v>https://knigipp.ru/api/getInfo/image/d6340109-8869-11ee-a249-00155d82e902</v>
      </c>
      <c r="AD844" s="32">
        <v>96</v>
      </c>
      <c r="AE844" s="3" t="s">
        <v>355</v>
      </c>
      <c r="AF844" s="3" t="s">
        <v>136</v>
      </c>
      <c r="AG844" s="3"/>
      <c r="AH844" s="3" t="s">
        <v>56</v>
      </c>
      <c r="AI844" s="3"/>
      <c r="AJ844" s="3"/>
      <c r="AK844" s="3" t="str">
        <f>HYPERLINK("https://knigipp.ru/api/getInfo/item/d6340109-8869-11ee-a249-00155d82e902")</f>
        <v>https://knigipp.ru/api/getInfo/item/d6340109-8869-11ee-a249-00155d82e902</v>
      </c>
      <c r="AL844" s="3" t="s">
        <v>3660</v>
      </c>
    </row>
    <row r="845" spans="1:38" ht="21" customHeight="1" outlineLevel="4" x14ac:dyDescent="0.2">
      <c r="A845" s="2">
        <v>625</v>
      </c>
      <c r="B845" s="3" t="s">
        <v>3666</v>
      </c>
      <c r="C845" s="49" t="s">
        <v>3667</v>
      </c>
      <c r="D845" s="49"/>
      <c r="E845" s="49"/>
      <c r="F845" s="49"/>
      <c r="G845" s="4" t="s">
        <v>3668</v>
      </c>
      <c r="H845" s="8"/>
      <c r="I845" s="9" t="s">
        <v>3657</v>
      </c>
      <c r="J845" s="10"/>
      <c r="K845" s="11">
        <v>30</v>
      </c>
      <c r="L845" s="10"/>
      <c r="M845" s="10" t="s">
        <v>47</v>
      </c>
      <c r="N845" s="10"/>
      <c r="O845" s="2">
        <v>4</v>
      </c>
      <c r="P845" s="17">
        <f>167*(1-S3/100)</f>
        <v>167</v>
      </c>
      <c r="Q845" s="18"/>
      <c r="R845" s="10">
        <f>P845*Q845</f>
        <v>0</v>
      </c>
      <c r="S845" s="10">
        <v>0</v>
      </c>
      <c r="T845" s="10">
        <v>0</v>
      </c>
      <c r="U845" s="21"/>
      <c r="V845" s="22" t="s">
        <v>3669</v>
      </c>
      <c r="W845" s="22" t="s">
        <v>191</v>
      </c>
      <c r="X845" s="3"/>
      <c r="Y845" s="3" t="s">
        <v>3670</v>
      </c>
      <c r="Z845" s="3" t="s">
        <v>52</v>
      </c>
      <c r="AA845" s="3" t="s">
        <v>1655</v>
      </c>
      <c r="AB845" s="3"/>
      <c r="AC845" s="3" t="str">
        <f>HYPERLINK("https://knigipp.ru/api/getInfo/image/a9642b22-8869-11ee-a249-00155d82e902")</f>
        <v>https://knigipp.ru/api/getInfo/image/a9642b22-8869-11ee-a249-00155d82e902</v>
      </c>
      <c r="AD845" s="32">
        <v>96</v>
      </c>
      <c r="AE845" s="3" t="s">
        <v>355</v>
      </c>
      <c r="AF845" s="3" t="s">
        <v>136</v>
      </c>
      <c r="AG845" s="3"/>
      <c r="AH845" s="3" t="s">
        <v>56</v>
      </c>
      <c r="AI845" s="3"/>
      <c r="AJ845" s="3"/>
      <c r="AK845" s="3" t="str">
        <f>HYPERLINK("https://knigipp.ru/api/getInfo/item/a9642b22-8869-11ee-a249-00155d82e902")</f>
        <v>https://knigipp.ru/api/getInfo/item/a9642b22-8869-11ee-a249-00155d82e902</v>
      </c>
      <c r="AL845" s="3" t="s">
        <v>3660</v>
      </c>
    </row>
    <row r="846" spans="1:38" ht="21" customHeight="1" outlineLevel="4" x14ac:dyDescent="0.2">
      <c r="A846" s="2">
        <v>626</v>
      </c>
      <c r="B846" s="3" t="s">
        <v>3671</v>
      </c>
      <c r="C846" s="49" t="s">
        <v>3672</v>
      </c>
      <c r="D846" s="49"/>
      <c r="E846" s="49"/>
      <c r="F846" s="49"/>
      <c r="G846" s="4" t="s">
        <v>3673</v>
      </c>
      <c r="H846" s="8"/>
      <c r="I846" s="9" t="s">
        <v>3657</v>
      </c>
      <c r="J846" s="10"/>
      <c r="K846" s="11">
        <v>30</v>
      </c>
      <c r="L846" s="10"/>
      <c r="M846" s="10" t="s">
        <v>47</v>
      </c>
      <c r="N846" s="10"/>
      <c r="O846" s="2">
        <v>4</v>
      </c>
      <c r="P846" s="17">
        <f>167*(1-S3/100)</f>
        <v>167</v>
      </c>
      <c r="Q846" s="18"/>
      <c r="R846" s="10">
        <f>P846*Q846</f>
        <v>0</v>
      </c>
      <c r="S846" s="10">
        <v>0</v>
      </c>
      <c r="T846" s="10">
        <v>0</v>
      </c>
      <c r="U846" s="21"/>
      <c r="V846" s="22" t="s">
        <v>3674</v>
      </c>
      <c r="W846" s="22" t="s">
        <v>191</v>
      </c>
      <c r="X846" s="3"/>
      <c r="Y846" s="3" t="s">
        <v>3675</v>
      </c>
      <c r="Z846" s="3" t="s">
        <v>52</v>
      </c>
      <c r="AA846" s="3" t="s">
        <v>1667</v>
      </c>
      <c r="AB846" s="3"/>
      <c r="AC846" s="3" t="str">
        <f>HYPERLINK("https://knigipp.ru/api/getInfo/image/f5306825-8869-11ee-a249-00155d82e902")</f>
        <v>https://knigipp.ru/api/getInfo/image/f5306825-8869-11ee-a249-00155d82e902</v>
      </c>
      <c r="AD846" s="32">
        <v>96</v>
      </c>
      <c r="AE846" s="3" t="s">
        <v>355</v>
      </c>
      <c r="AF846" s="3" t="s">
        <v>136</v>
      </c>
      <c r="AG846" s="3"/>
      <c r="AH846" s="3" t="s">
        <v>56</v>
      </c>
      <c r="AI846" s="3"/>
      <c r="AJ846" s="3"/>
      <c r="AK846" s="3" t="str">
        <f>HYPERLINK("https://knigipp.ru/api/getInfo/item/f5306825-8869-11ee-a249-00155d82e902")</f>
        <v>https://knigipp.ru/api/getInfo/item/f5306825-8869-11ee-a249-00155d82e902</v>
      </c>
      <c r="AL846" s="3" t="s">
        <v>3660</v>
      </c>
    </row>
    <row r="847" spans="1:38" ht="23.1" customHeight="1" outlineLevel="3" x14ac:dyDescent="0.2">
      <c r="A847" s="48" t="s">
        <v>3676</v>
      </c>
      <c r="B847" s="48"/>
      <c r="C847" s="48"/>
      <c r="D847" s="48"/>
      <c r="E847" s="48"/>
      <c r="F847" s="48"/>
    </row>
    <row r="848" spans="1:38" ht="21" customHeight="1" outlineLevel="4" x14ac:dyDescent="0.2">
      <c r="A848" s="2">
        <v>627</v>
      </c>
      <c r="B848" s="3" t="s">
        <v>3677</v>
      </c>
      <c r="C848" s="49" t="s">
        <v>3678</v>
      </c>
      <c r="D848" s="49"/>
      <c r="E848" s="49"/>
      <c r="F848" s="49"/>
      <c r="G848" s="4" t="s">
        <v>3679</v>
      </c>
      <c r="H848" s="8"/>
      <c r="I848" s="9" t="s">
        <v>3680</v>
      </c>
      <c r="J848" s="10"/>
      <c r="K848" s="11">
        <v>10</v>
      </c>
      <c r="L848" s="10"/>
      <c r="M848" s="10" t="s">
        <v>47</v>
      </c>
      <c r="N848" s="10"/>
      <c r="O848" s="2">
        <v>2</v>
      </c>
      <c r="P848" s="17">
        <f>299*(1-S3/100)</f>
        <v>299</v>
      </c>
      <c r="Q848" s="18"/>
      <c r="R848" s="10">
        <f>P848*Q848</f>
        <v>0</v>
      </c>
      <c r="S848" s="28">
        <f>0.18*Q848</f>
        <v>0</v>
      </c>
      <c r="T848" s="20">
        <f>0.00003*Q848</f>
        <v>0</v>
      </c>
      <c r="U848" s="21"/>
      <c r="V848" s="22" t="s">
        <v>3681</v>
      </c>
      <c r="W848" s="22" t="s">
        <v>191</v>
      </c>
      <c r="X848" s="3"/>
      <c r="Y848" s="3" t="s">
        <v>3682</v>
      </c>
      <c r="Z848" s="3" t="s">
        <v>52</v>
      </c>
      <c r="AA848" s="3"/>
      <c r="AB848" s="3"/>
      <c r="AC848" s="3" t="str">
        <f>HYPERLINK("https://knigipp.ru/api/getInfo/image/deaa8702-ae51-11ef-a267-00155d82e908")</f>
        <v>https://knigipp.ru/api/getInfo/image/deaa8702-ae51-11ef-a267-00155d82e908</v>
      </c>
      <c r="AD848" s="32">
        <v>96</v>
      </c>
      <c r="AE848" s="3" t="s">
        <v>54</v>
      </c>
      <c r="AF848" s="3" t="s">
        <v>127</v>
      </c>
      <c r="AG848" s="3"/>
      <c r="AH848" s="3" t="s">
        <v>56</v>
      </c>
      <c r="AI848" s="3"/>
      <c r="AJ848" s="3"/>
      <c r="AK848" s="3" t="str">
        <f>HYPERLINK("https://knigipp.ru/api/getInfo/item/deaa8702-ae51-11ef-a267-00155d82e908")</f>
        <v>https://knigipp.ru/api/getInfo/item/deaa8702-ae51-11ef-a267-00155d82e908</v>
      </c>
      <c r="AL848" s="3" t="s">
        <v>1832</v>
      </c>
    </row>
    <row r="849" spans="1:38" ht="21" customHeight="1" outlineLevel="4" x14ac:dyDescent="0.2">
      <c r="A849" s="2">
        <v>628</v>
      </c>
      <c r="B849" s="3" t="s">
        <v>3683</v>
      </c>
      <c r="C849" s="49" t="s">
        <v>3684</v>
      </c>
      <c r="D849" s="49"/>
      <c r="E849" s="49"/>
      <c r="F849" s="49"/>
      <c r="G849" s="4" t="s">
        <v>3685</v>
      </c>
      <c r="H849" s="8"/>
      <c r="I849" s="9" t="s">
        <v>3680</v>
      </c>
      <c r="J849" s="10"/>
      <c r="K849" s="11">
        <v>10</v>
      </c>
      <c r="L849" s="10"/>
      <c r="M849" s="10" t="s">
        <v>47</v>
      </c>
      <c r="N849" s="10"/>
      <c r="O849" s="2">
        <v>2</v>
      </c>
      <c r="P849" s="17">
        <f>299*(1-S3/100)</f>
        <v>299</v>
      </c>
      <c r="Q849" s="18"/>
      <c r="R849" s="10">
        <f>P849*Q849</f>
        <v>0</v>
      </c>
      <c r="S849" s="19">
        <f>4.527*Q849</f>
        <v>0</v>
      </c>
      <c r="T849" s="20">
        <f>0.04438*Q849</f>
        <v>0</v>
      </c>
      <c r="U849" s="21"/>
      <c r="V849" s="22" t="s">
        <v>3686</v>
      </c>
      <c r="W849" s="22" t="s">
        <v>191</v>
      </c>
      <c r="X849" s="3"/>
      <c r="Y849" s="3" t="s">
        <v>3687</v>
      </c>
      <c r="Z849" s="3" t="s">
        <v>52</v>
      </c>
      <c r="AA849" s="3"/>
      <c r="AB849" s="3"/>
      <c r="AC849" s="3" t="str">
        <f>HYPERLINK("https://knigipp.ru/api/getInfo/image/4a665bf1-ae51-11ef-a267-00155d82e908")</f>
        <v>https://knigipp.ru/api/getInfo/image/4a665bf1-ae51-11ef-a267-00155d82e908</v>
      </c>
      <c r="AD849" s="32">
        <v>96</v>
      </c>
      <c r="AE849" s="3" t="s">
        <v>54</v>
      </c>
      <c r="AF849" s="3" t="s">
        <v>127</v>
      </c>
      <c r="AG849" s="3"/>
      <c r="AH849" s="3" t="s">
        <v>56</v>
      </c>
      <c r="AI849" s="3"/>
      <c r="AJ849" s="3"/>
      <c r="AK849" s="3" t="str">
        <f>HYPERLINK("https://knigipp.ru/api/getInfo/item/4a665bf1-ae51-11ef-a267-00155d82e908")</f>
        <v>https://knigipp.ru/api/getInfo/item/4a665bf1-ae51-11ef-a267-00155d82e908</v>
      </c>
      <c r="AL849" s="3" t="s">
        <v>1832</v>
      </c>
    </row>
    <row r="850" spans="1:38" ht="21" customHeight="1" outlineLevel="4" x14ac:dyDescent="0.2">
      <c r="A850" s="2">
        <v>629</v>
      </c>
      <c r="B850" s="3" t="s">
        <v>3688</v>
      </c>
      <c r="C850" s="49" t="s">
        <v>3689</v>
      </c>
      <c r="D850" s="49"/>
      <c r="E850" s="49"/>
      <c r="F850" s="49"/>
      <c r="G850" s="4" t="s">
        <v>3690</v>
      </c>
      <c r="H850" s="8"/>
      <c r="I850" s="9" t="s">
        <v>3680</v>
      </c>
      <c r="J850" s="10"/>
      <c r="K850" s="11">
        <v>10</v>
      </c>
      <c r="L850" s="10"/>
      <c r="M850" s="10" t="s">
        <v>47</v>
      </c>
      <c r="N850" s="10"/>
      <c r="O850" s="2">
        <v>2</v>
      </c>
      <c r="P850" s="17">
        <f>299*(1-S3/100)</f>
        <v>299</v>
      </c>
      <c r="Q850" s="18"/>
      <c r="R850" s="10">
        <f>P850*Q850</f>
        <v>0</v>
      </c>
      <c r="S850" s="28">
        <f>0.18*Q850</f>
        <v>0</v>
      </c>
      <c r="T850" s="20">
        <f>0.00003*Q850</f>
        <v>0</v>
      </c>
      <c r="U850" s="21"/>
      <c r="V850" s="22" t="s">
        <v>3691</v>
      </c>
      <c r="W850" s="22" t="s">
        <v>191</v>
      </c>
      <c r="X850" s="3"/>
      <c r="Y850" s="3" t="s">
        <v>3692</v>
      </c>
      <c r="Z850" s="3" t="s">
        <v>52</v>
      </c>
      <c r="AA850" s="3"/>
      <c r="AB850" s="3"/>
      <c r="AC850" s="3" t="str">
        <f>HYPERLINK("https://knigipp.ru/api/getInfo/image/ad15e249-ae51-11ef-a267-00155d82e908")</f>
        <v>https://knigipp.ru/api/getInfo/image/ad15e249-ae51-11ef-a267-00155d82e908</v>
      </c>
      <c r="AD850" s="32">
        <v>96</v>
      </c>
      <c r="AE850" s="3" t="s">
        <v>54</v>
      </c>
      <c r="AF850" s="3" t="s">
        <v>127</v>
      </c>
      <c r="AG850" s="3"/>
      <c r="AH850" s="3" t="s">
        <v>56</v>
      </c>
      <c r="AI850" s="3"/>
      <c r="AJ850" s="3"/>
      <c r="AK850" s="3" t="str">
        <f>HYPERLINK("https://knigipp.ru/api/getInfo/item/ad15e249-ae51-11ef-a267-00155d82e908")</f>
        <v>https://knigipp.ru/api/getInfo/item/ad15e249-ae51-11ef-a267-00155d82e908</v>
      </c>
      <c r="AL850" s="3" t="s">
        <v>1832</v>
      </c>
    </row>
    <row r="851" spans="1:38" ht="21" customHeight="1" outlineLevel="4" x14ac:dyDescent="0.2">
      <c r="A851" s="2">
        <v>630</v>
      </c>
      <c r="B851" s="3" t="s">
        <v>3693</v>
      </c>
      <c r="C851" s="49" t="s">
        <v>3694</v>
      </c>
      <c r="D851" s="49"/>
      <c r="E851" s="49"/>
      <c r="F851" s="49"/>
      <c r="G851" s="4" t="s">
        <v>3695</v>
      </c>
      <c r="H851" s="8"/>
      <c r="I851" s="9" t="s">
        <v>3680</v>
      </c>
      <c r="J851" s="10"/>
      <c r="K851" s="11">
        <v>10</v>
      </c>
      <c r="L851" s="10"/>
      <c r="M851" s="10" t="s">
        <v>47</v>
      </c>
      <c r="N851" s="10"/>
      <c r="O851" s="2">
        <v>2</v>
      </c>
      <c r="P851" s="17">
        <f>299*(1-S3/100)</f>
        <v>299</v>
      </c>
      <c r="Q851" s="18"/>
      <c r="R851" s="10">
        <f>P851*Q851</f>
        <v>0</v>
      </c>
      <c r="S851" s="28">
        <f>0.18*Q851</f>
        <v>0</v>
      </c>
      <c r="T851" s="20">
        <f>0.00043*Q851</f>
        <v>0</v>
      </c>
      <c r="U851" s="21"/>
      <c r="V851" s="22" t="s">
        <v>3696</v>
      </c>
      <c r="W851" s="22" t="s">
        <v>191</v>
      </c>
      <c r="X851" s="3"/>
      <c r="Y851" s="3" t="s">
        <v>3697</v>
      </c>
      <c r="Z851" s="3" t="s">
        <v>52</v>
      </c>
      <c r="AA851" s="3"/>
      <c r="AB851" s="3"/>
      <c r="AC851" s="3" t="str">
        <f>HYPERLINK("https://knigipp.ru/api/getInfo/image/6929ed97-ae51-11ef-a267-00155d82e908")</f>
        <v>https://knigipp.ru/api/getInfo/image/6929ed97-ae51-11ef-a267-00155d82e908</v>
      </c>
      <c r="AD851" s="32">
        <v>96</v>
      </c>
      <c r="AE851" s="3" t="s">
        <v>54</v>
      </c>
      <c r="AF851" s="3" t="s">
        <v>127</v>
      </c>
      <c r="AG851" s="3"/>
      <c r="AH851" s="3" t="s">
        <v>56</v>
      </c>
      <c r="AI851" s="3"/>
      <c r="AJ851" s="3"/>
      <c r="AK851" s="3" t="str">
        <f>HYPERLINK("https://knigipp.ru/api/getInfo/item/6929ed97-ae51-11ef-a267-00155d82e908")</f>
        <v>https://knigipp.ru/api/getInfo/item/6929ed97-ae51-11ef-a267-00155d82e908</v>
      </c>
      <c r="AL851" s="3" t="s">
        <v>1832</v>
      </c>
    </row>
    <row r="852" spans="1:38" ht="23.1" customHeight="1" outlineLevel="3" x14ac:dyDescent="0.2">
      <c r="A852" s="48" t="s">
        <v>3698</v>
      </c>
      <c r="B852" s="48"/>
      <c r="C852" s="48"/>
      <c r="D852" s="48"/>
      <c r="E852" s="48"/>
      <c r="F852" s="48"/>
    </row>
    <row r="853" spans="1:38" ht="21" customHeight="1" outlineLevel="4" x14ac:dyDescent="0.2">
      <c r="A853" s="2">
        <v>631</v>
      </c>
      <c r="B853" s="3" t="s">
        <v>3699</v>
      </c>
      <c r="C853" s="49" t="s">
        <v>3700</v>
      </c>
      <c r="D853" s="49"/>
      <c r="E853" s="49"/>
      <c r="F853" s="49"/>
      <c r="G853" s="4" t="s">
        <v>3701</v>
      </c>
      <c r="H853" s="8"/>
      <c r="I853" s="9" t="s">
        <v>3702</v>
      </c>
      <c r="J853" s="10"/>
      <c r="K853" s="11">
        <v>10</v>
      </c>
      <c r="L853" s="10"/>
      <c r="M853" s="10" t="s">
        <v>47</v>
      </c>
      <c r="N853" s="10"/>
      <c r="O853" s="2">
        <v>3</v>
      </c>
      <c r="P853" s="17">
        <f>237*(1-S3/100)</f>
        <v>237</v>
      </c>
      <c r="Q853" s="18"/>
      <c r="R853" s="10">
        <f>P853*Q853</f>
        <v>0</v>
      </c>
      <c r="S853" s="19">
        <f>0.151*Q853</f>
        <v>0</v>
      </c>
      <c r="T853" s="20">
        <f>0.00025*Q853</f>
        <v>0</v>
      </c>
      <c r="U853" s="21"/>
      <c r="V853" s="22" t="s">
        <v>3703</v>
      </c>
      <c r="W853" s="22" t="s">
        <v>191</v>
      </c>
      <c r="X853" s="3"/>
      <c r="Y853" s="3" t="s">
        <v>3704</v>
      </c>
      <c r="Z853" s="3" t="s">
        <v>52</v>
      </c>
      <c r="AA853" s="3"/>
      <c r="AB853" s="3"/>
      <c r="AC853" s="3" t="str">
        <f>HYPERLINK("https://knigipp.ru/api/getInfo/image/2f6e13fd-0b75-11ef-a25d-00155d82e908")</f>
        <v>https://knigipp.ru/api/getInfo/image/2f6e13fd-0b75-11ef-a25d-00155d82e908</v>
      </c>
      <c r="AD853" s="32">
        <v>64</v>
      </c>
      <c r="AE853" s="3" t="s">
        <v>692</v>
      </c>
      <c r="AF853" s="3" t="s">
        <v>127</v>
      </c>
      <c r="AG853" s="3"/>
      <c r="AH853" s="3" t="s">
        <v>56</v>
      </c>
      <c r="AI853" s="3"/>
      <c r="AJ853" s="3"/>
      <c r="AK853" s="3" t="str">
        <f>HYPERLINK("https://knigipp.ru/api/getInfo/item/2f6e13fd-0b75-11ef-a25d-00155d82e908")</f>
        <v>https://knigipp.ru/api/getInfo/item/2f6e13fd-0b75-11ef-a25d-00155d82e908</v>
      </c>
      <c r="AL853" s="3" t="s">
        <v>3705</v>
      </c>
    </row>
    <row r="854" spans="1:38" ht="21" customHeight="1" outlineLevel="4" x14ac:dyDescent="0.2">
      <c r="A854" s="2">
        <v>632</v>
      </c>
      <c r="B854" s="3" t="s">
        <v>3706</v>
      </c>
      <c r="C854" s="49" t="s">
        <v>3707</v>
      </c>
      <c r="D854" s="49"/>
      <c r="E854" s="49"/>
      <c r="F854" s="49"/>
      <c r="G854" s="4" t="s">
        <v>3708</v>
      </c>
      <c r="H854" s="8"/>
      <c r="I854" s="9" t="s">
        <v>3702</v>
      </c>
      <c r="J854" s="10"/>
      <c r="K854" s="11">
        <v>10</v>
      </c>
      <c r="L854" s="10"/>
      <c r="M854" s="10" t="s">
        <v>47</v>
      </c>
      <c r="N854" s="10"/>
      <c r="O854" s="2">
        <v>3</v>
      </c>
      <c r="P854" s="17">
        <f>237*(1-S3/100)</f>
        <v>237</v>
      </c>
      <c r="Q854" s="18"/>
      <c r="R854" s="10">
        <f>P854*Q854</f>
        <v>0</v>
      </c>
      <c r="S854" s="19">
        <f>0.151*Q854</f>
        <v>0</v>
      </c>
      <c r="T854" s="20">
        <f>0.00037*Q854</f>
        <v>0</v>
      </c>
      <c r="U854" s="21"/>
      <c r="V854" s="22" t="s">
        <v>3709</v>
      </c>
      <c r="W854" s="22" t="s">
        <v>191</v>
      </c>
      <c r="X854" s="3"/>
      <c r="Y854" s="3" t="s">
        <v>3710</v>
      </c>
      <c r="Z854" s="3" t="s">
        <v>52</v>
      </c>
      <c r="AA854" s="3"/>
      <c r="AB854" s="3"/>
      <c r="AC854" s="3" t="str">
        <f>HYPERLINK("https://knigipp.ru/api/getInfo/image/72c63e21-0b75-11ef-a25d-00155d82e908")</f>
        <v>https://knigipp.ru/api/getInfo/image/72c63e21-0b75-11ef-a25d-00155d82e908</v>
      </c>
      <c r="AD854" s="32">
        <v>64</v>
      </c>
      <c r="AE854" s="3" t="s">
        <v>692</v>
      </c>
      <c r="AF854" s="3" t="s">
        <v>127</v>
      </c>
      <c r="AG854" s="3"/>
      <c r="AH854" s="3" t="s">
        <v>56</v>
      </c>
      <c r="AI854" s="3"/>
      <c r="AJ854" s="3"/>
      <c r="AK854" s="3" t="str">
        <f>HYPERLINK("https://knigipp.ru/api/getInfo/item/72c63e21-0b75-11ef-a25d-00155d82e908")</f>
        <v>https://knigipp.ru/api/getInfo/item/72c63e21-0b75-11ef-a25d-00155d82e908</v>
      </c>
      <c r="AL854" s="3" t="s">
        <v>3705</v>
      </c>
    </row>
    <row r="855" spans="1:38" ht="21" customHeight="1" outlineLevel="4" x14ac:dyDescent="0.2">
      <c r="A855" s="2">
        <v>633</v>
      </c>
      <c r="B855" s="3" t="s">
        <v>3711</v>
      </c>
      <c r="C855" s="49" t="s">
        <v>3712</v>
      </c>
      <c r="D855" s="49"/>
      <c r="E855" s="49"/>
      <c r="F855" s="49"/>
      <c r="G855" s="4" t="s">
        <v>3713</v>
      </c>
      <c r="H855" s="8"/>
      <c r="I855" s="9" t="s">
        <v>3702</v>
      </c>
      <c r="J855" s="10"/>
      <c r="K855" s="11">
        <v>10</v>
      </c>
      <c r="L855" s="10"/>
      <c r="M855" s="10" t="s">
        <v>78</v>
      </c>
      <c r="N855" s="10"/>
      <c r="O855" s="2">
        <v>3</v>
      </c>
      <c r="P855" s="17">
        <f>237*(1-S3/100)</f>
        <v>237</v>
      </c>
      <c r="Q855" s="18"/>
      <c r="R855" s="10">
        <f>P855*Q855</f>
        <v>0</v>
      </c>
      <c r="S855" s="19">
        <f>0.154*Q855</f>
        <v>0</v>
      </c>
      <c r="T855" s="20">
        <f>0.00162*Q855</f>
        <v>0</v>
      </c>
      <c r="U855" s="21"/>
      <c r="V855" s="22" t="s">
        <v>3714</v>
      </c>
      <c r="W855" s="22" t="s">
        <v>191</v>
      </c>
      <c r="X855" s="3"/>
      <c r="Y855" s="3" t="s">
        <v>3715</v>
      </c>
      <c r="Z855" s="3" t="s">
        <v>52</v>
      </c>
      <c r="AA855" s="3"/>
      <c r="AB855" s="3"/>
      <c r="AC855" s="3" t="str">
        <f>HYPERLINK("https://knigipp.ru/api/getInfo/image/d6f8f156-0b74-11ef-a25d-00155d82e908")</f>
        <v>https://knigipp.ru/api/getInfo/image/d6f8f156-0b74-11ef-a25d-00155d82e908</v>
      </c>
      <c r="AD855" s="32">
        <v>64</v>
      </c>
      <c r="AE855" s="3" t="s">
        <v>692</v>
      </c>
      <c r="AF855" s="3" t="s">
        <v>127</v>
      </c>
      <c r="AG855" s="3"/>
      <c r="AH855" s="3" t="s">
        <v>56</v>
      </c>
      <c r="AI855" s="3"/>
      <c r="AJ855" s="3"/>
      <c r="AK855" s="3" t="str">
        <f>HYPERLINK("https://knigipp.ru/api/getInfo/item/d6f8f156-0b74-11ef-a25d-00155d82e908")</f>
        <v>https://knigipp.ru/api/getInfo/item/d6f8f156-0b74-11ef-a25d-00155d82e908</v>
      </c>
      <c r="AL855" s="3" t="s">
        <v>3705</v>
      </c>
    </row>
    <row r="856" spans="1:38" ht="23.1" customHeight="1" outlineLevel="3" x14ac:dyDescent="0.2">
      <c r="A856" s="48" t="s">
        <v>3716</v>
      </c>
      <c r="B856" s="48"/>
      <c r="C856" s="48"/>
      <c r="D856" s="48"/>
      <c r="E856" s="48"/>
      <c r="F856" s="48"/>
    </row>
    <row r="857" spans="1:38" ht="21" customHeight="1" outlineLevel="4" x14ac:dyDescent="0.2">
      <c r="A857" s="2">
        <v>634</v>
      </c>
      <c r="B857" s="3" t="s">
        <v>3717</v>
      </c>
      <c r="C857" s="49" t="s">
        <v>3718</v>
      </c>
      <c r="D857" s="49"/>
      <c r="E857" s="49"/>
      <c r="F857" s="49"/>
      <c r="G857" s="4" t="s">
        <v>3719</v>
      </c>
      <c r="H857" s="8"/>
      <c r="I857" s="9" t="s">
        <v>3720</v>
      </c>
      <c r="J857" s="10"/>
      <c r="K857" s="11">
        <v>10</v>
      </c>
      <c r="L857" s="10"/>
      <c r="M857" s="10" t="s">
        <v>47</v>
      </c>
      <c r="N857" s="10"/>
      <c r="O857" s="2">
        <v>2</v>
      </c>
      <c r="P857" s="17">
        <f>349*(1-S3/100)</f>
        <v>349</v>
      </c>
      <c r="Q857" s="18"/>
      <c r="R857" s="10">
        <f>P857*Q857</f>
        <v>0</v>
      </c>
      <c r="S857" s="19">
        <f>4.527*Q857</f>
        <v>0</v>
      </c>
      <c r="T857" s="20">
        <f>0.04438*Q857</f>
        <v>0</v>
      </c>
      <c r="U857" s="21"/>
      <c r="V857" s="22" t="s">
        <v>3721</v>
      </c>
      <c r="W857" s="22" t="s">
        <v>191</v>
      </c>
      <c r="X857" s="3"/>
      <c r="Y857" s="3" t="s">
        <v>3722</v>
      </c>
      <c r="Z857" s="3" t="s">
        <v>52</v>
      </c>
      <c r="AA857" s="3"/>
      <c r="AB857" s="3"/>
      <c r="AC857" s="3" t="str">
        <f>HYPERLINK("https://knigipp.ru/api/getInfo/image/06c7e0f1-4d57-11ee-a244-00155d82e902")</f>
        <v>https://knigipp.ru/api/getInfo/image/06c7e0f1-4d57-11ee-a244-00155d82e902</v>
      </c>
      <c r="AD857" s="32">
        <v>96</v>
      </c>
      <c r="AE857" s="3" t="s">
        <v>54</v>
      </c>
      <c r="AF857" s="3" t="s">
        <v>127</v>
      </c>
      <c r="AG857" s="3"/>
      <c r="AH857" s="3" t="s">
        <v>56</v>
      </c>
      <c r="AI857" s="3"/>
      <c r="AJ857" s="3"/>
      <c r="AK857" s="3" t="str">
        <f>HYPERLINK("https://knigipp.ru/api/getInfo/item/06c7e0f1-4d57-11ee-a244-00155d82e902")</f>
        <v>https://knigipp.ru/api/getInfo/item/06c7e0f1-4d57-11ee-a244-00155d82e902</v>
      </c>
      <c r="AL857" s="3" t="s">
        <v>3161</v>
      </c>
    </row>
    <row r="858" spans="1:38" ht="21" customHeight="1" outlineLevel="4" x14ac:dyDescent="0.2">
      <c r="A858" s="2">
        <v>635</v>
      </c>
      <c r="B858" s="3" t="s">
        <v>3723</v>
      </c>
      <c r="C858" s="49" t="s">
        <v>3724</v>
      </c>
      <c r="D858" s="49"/>
      <c r="E858" s="49"/>
      <c r="F858" s="49"/>
      <c r="G858" s="4" t="s">
        <v>3725</v>
      </c>
      <c r="H858" s="8"/>
      <c r="I858" s="9" t="s">
        <v>3720</v>
      </c>
      <c r="J858" s="10"/>
      <c r="K858" s="11">
        <v>10</v>
      </c>
      <c r="L858" s="10"/>
      <c r="M858" s="10" t="s">
        <v>78</v>
      </c>
      <c r="N858" s="10"/>
      <c r="O858" s="2">
        <v>2</v>
      </c>
      <c r="P858" s="17">
        <f>349*(1-S3/100)</f>
        <v>349</v>
      </c>
      <c r="Q858" s="18"/>
      <c r="R858" s="10">
        <f>P858*Q858</f>
        <v>0</v>
      </c>
      <c r="S858" s="19">
        <f>4.527*Q858</f>
        <v>0</v>
      </c>
      <c r="T858" s="20">
        <f>0.04438*Q858</f>
        <v>0</v>
      </c>
      <c r="U858" s="21"/>
      <c r="V858" s="22" t="s">
        <v>3726</v>
      </c>
      <c r="W858" s="22" t="s">
        <v>191</v>
      </c>
      <c r="X858" s="3"/>
      <c r="Y858" s="3" t="s">
        <v>3727</v>
      </c>
      <c r="Z858" s="3" t="s">
        <v>52</v>
      </c>
      <c r="AA858" s="3"/>
      <c r="AB858" s="3"/>
      <c r="AC858" s="3" t="str">
        <f>HYPERLINK("https://knigipp.ru/api/getInfo/image/df972a97-4d56-11ee-a244-00155d82e902")</f>
        <v>https://knigipp.ru/api/getInfo/image/df972a97-4d56-11ee-a244-00155d82e902</v>
      </c>
      <c r="AD858" s="32">
        <v>96</v>
      </c>
      <c r="AE858" s="3" t="s">
        <v>54</v>
      </c>
      <c r="AF858" s="3" t="s">
        <v>127</v>
      </c>
      <c r="AG858" s="3"/>
      <c r="AH858" s="3" t="s">
        <v>56</v>
      </c>
      <c r="AI858" s="3"/>
      <c r="AJ858" s="3"/>
      <c r="AK858" s="3" t="str">
        <f>HYPERLINK("https://knigipp.ru/api/getInfo/item/df972a97-4d56-11ee-a244-00155d82e902")</f>
        <v>https://knigipp.ru/api/getInfo/item/df972a97-4d56-11ee-a244-00155d82e902</v>
      </c>
      <c r="AL858" s="3" t="s">
        <v>3161</v>
      </c>
    </row>
    <row r="859" spans="1:38" ht="21" customHeight="1" outlineLevel="4" x14ac:dyDescent="0.2">
      <c r="A859" s="2">
        <v>636</v>
      </c>
      <c r="B859" s="3" t="s">
        <v>3728</v>
      </c>
      <c r="C859" s="49" t="s">
        <v>3729</v>
      </c>
      <c r="D859" s="49"/>
      <c r="E859" s="49"/>
      <c r="F859" s="49"/>
      <c r="G859" s="4" t="s">
        <v>3730</v>
      </c>
      <c r="H859" s="8"/>
      <c r="I859" s="9" t="s">
        <v>3720</v>
      </c>
      <c r="J859" s="10"/>
      <c r="K859" s="11">
        <v>10</v>
      </c>
      <c r="L859" s="10"/>
      <c r="M859" s="10" t="s">
        <v>304</v>
      </c>
      <c r="N859" s="10"/>
      <c r="O859" s="2">
        <v>2</v>
      </c>
      <c r="P859" s="17">
        <f>349*(1-S3/100)</f>
        <v>349</v>
      </c>
      <c r="Q859" s="18"/>
      <c r="R859" s="10">
        <f>P859*Q859</f>
        <v>0</v>
      </c>
      <c r="S859" s="19">
        <f>4.527*Q859</f>
        <v>0</v>
      </c>
      <c r="T859" s="20">
        <f>0.04438*Q859</f>
        <v>0</v>
      </c>
      <c r="U859" s="21"/>
      <c r="V859" s="22" t="s">
        <v>3731</v>
      </c>
      <c r="W859" s="22" t="s">
        <v>191</v>
      </c>
      <c r="X859" s="3"/>
      <c r="Y859" s="3" t="s">
        <v>3732</v>
      </c>
      <c r="Z859" s="3" t="s">
        <v>52</v>
      </c>
      <c r="AA859" s="3"/>
      <c r="AB859" s="3"/>
      <c r="AC859" s="3" t="str">
        <f>HYPERLINK("https://knigipp.ru/api/getInfo/image/50dbd007-4d57-11ee-a244-00155d82e902")</f>
        <v>https://knigipp.ru/api/getInfo/image/50dbd007-4d57-11ee-a244-00155d82e902</v>
      </c>
      <c r="AD859" s="32">
        <v>96</v>
      </c>
      <c r="AE859" s="3" t="s">
        <v>54</v>
      </c>
      <c r="AF859" s="3" t="s">
        <v>127</v>
      </c>
      <c r="AG859" s="3"/>
      <c r="AH859" s="3" t="s">
        <v>56</v>
      </c>
      <c r="AI859" s="3"/>
      <c r="AJ859" s="3"/>
      <c r="AK859" s="3" t="str">
        <f>HYPERLINK("https://knigipp.ru/api/getInfo/item/50dbd007-4d57-11ee-a244-00155d82e902")</f>
        <v>https://knigipp.ru/api/getInfo/item/50dbd007-4d57-11ee-a244-00155d82e902</v>
      </c>
      <c r="AL859" s="3" t="s">
        <v>3161</v>
      </c>
    </row>
    <row r="860" spans="1:38" ht="23.1" customHeight="1" outlineLevel="3" x14ac:dyDescent="0.2">
      <c r="A860" s="48" t="s">
        <v>3733</v>
      </c>
      <c r="B860" s="48"/>
      <c r="C860" s="48"/>
      <c r="D860" s="48"/>
      <c r="E860" s="48"/>
      <c r="F860" s="48"/>
    </row>
    <row r="861" spans="1:38" ht="21" customHeight="1" outlineLevel="4" x14ac:dyDescent="0.2">
      <c r="A861" s="2">
        <v>637</v>
      </c>
      <c r="B861" s="3" t="s">
        <v>3734</v>
      </c>
      <c r="C861" s="49" t="s">
        <v>3735</v>
      </c>
      <c r="D861" s="49"/>
      <c r="E861" s="49"/>
      <c r="F861" s="49"/>
      <c r="G861" s="4" t="s">
        <v>3736</v>
      </c>
      <c r="H861" s="8"/>
      <c r="I861" s="9" t="s">
        <v>3737</v>
      </c>
      <c r="J861" s="10"/>
      <c r="K861" s="11">
        <v>20</v>
      </c>
      <c r="L861" s="10"/>
      <c r="M861" s="10" t="s">
        <v>47</v>
      </c>
      <c r="N861" s="10"/>
      <c r="O861" s="2">
        <v>2</v>
      </c>
      <c r="P861" s="17">
        <f>297*(1-S3/100)</f>
        <v>297</v>
      </c>
      <c r="Q861" s="18"/>
      <c r="R861" s="10">
        <f>P861*Q861</f>
        <v>0</v>
      </c>
      <c r="S861" s="19">
        <f>0.114*Q861</f>
        <v>0</v>
      </c>
      <c r="T861" s="20">
        <f>0.00032*Q861</f>
        <v>0</v>
      </c>
      <c r="U861" s="21"/>
      <c r="V861" s="22" t="s">
        <v>3738</v>
      </c>
      <c r="W861" s="22" t="s">
        <v>191</v>
      </c>
      <c r="X861" s="3"/>
      <c r="Y861" s="3" t="s">
        <v>3739</v>
      </c>
      <c r="Z861" s="3" t="s">
        <v>52</v>
      </c>
      <c r="AA861" s="3"/>
      <c r="AB861" s="3"/>
      <c r="AC861" s="3" t="str">
        <f>HYPERLINK("https://knigipp.ru/api/getInfo/image/8e1af5b4-e8e6-11ed-a233-00155d82e902")</f>
        <v>https://knigipp.ru/api/getInfo/image/8e1af5b4-e8e6-11ed-a233-00155d82e902</v>
      </c>
      <c r="AD861" s="32">
        <v>72</v>
      </c>
      <c r="AE861" s="3"/>
      <c r="AF861" s="3" t="s">
        <v>741</v>
      </c>
      <c r="AG861" s="3"/>
      <c r="AH861" s="3" t="s">
        <v>56</v>
      </c>
      <c r="AI861" s="3"/>
      <c r="AJ861" s="3"/>
      <c r="AK861" s="3" t="str">
        <f>HYPERLINK("https://knigipp.ru/api/getInfo/item/8e1af5b4-e8e6-11ed-a233-00155d82e902")</f>
        <v>https://knigipp.ru/api/getInfo/item/8e1af5b4-e8e6-11ed-a233-00155d82e902</v>
      </c>
      <c r="AL861" s="3" t="s">
        <v>3740</v>
      </c>
    </row>
    <row r="862" spans="1:38" ht="21" customHeight="1" outlineLevel="4" x14ac:dyDescent="0.2">
      <c r="A862" s="2">
        <v>638</v>
      </c>
      <c r="B862" s="3" t="s">
        <v>3741</v>
      </c>
      <c r="C862" s="49" t="s">
        <v>3742</v>
      </c>
      <c r="D862" s="49"/>
      <c r="E862" s="49"/>
      <c r="F862" s="49"/>
      <c r="G862" s="4" t="s">
        <v>3743</v>
      </c>
      <c r="H862" s="8"/>
      <c r="I862" s="9" t="s">
        <v>3737</v>
      </c>
      <c r="J862" s="10"/>
      <c r="K862" s="11">
        <v>20</v>
      </c>
      <c r="L862" s="10"/>
      <c r="M862" s="10" t="s">
        <v>47</v>
      </c>
      <c r="N862" s="10"/>
      <c r="O862" s="2">
        <v>2</v>
      </c>
      <c r="P862" s="17">
        <f>297*(1-S3/100)</f>
        <v>297</v>
      </c>
      <c r="Q862" s="18"/>
      <c r="R862" s="10">
        <f>P862*Q862</f>
        <v>0</v>
      </c>
      <c r="S862" s="19">
        <f>0.114*Q862</f>
        <v>0</v>
      </c>
      <c r="T862" s="20">
        <f>0.00032*Q862</f>
        <v>0</v>
      </c>
      <c r="U862" s="21"/>
      <c r="V862" s="22" t="s">
        <v>3744</v>
      </c>
      <c r="W862" s="22" t="s">
        <v>191</v>
      </c>
      <c r="X862" s="3"/>
      <c r="Y862" s="3" t="s">
        <v>3739</v>
      </c>
      <c r="Z862" s="3" t="s">
        <v>52</v>
      </c>
      <c r="AA862" s="3"/>
      <c r="AB862" s="3"/>
      <c r="AC862" s="3" t="str">
        <f>HYPERLINK("https://knigipp.ru/api/getInfo/image/b565f43d-e8e6-11ed-a233-00155d82e902")</f>
        <v>https://knigipp.ru/api/getInfo/image/b565f43d-e8e6-11ed-a233-00155d82e902</v>
      </c>
      <c r="AD862" s="32">
        <v>72</v>
      </c>
      <c r="AE862" s="3"/>
      <c r="AF862" s="3" t="s">
        <v>741</v>
      </c>
      <c r="AG862" s="3"/>
      <c r="AH862" s="3" t="s">
        <v>56</v>
      </c>
      <c r="AI862" s="3"/>
      <c r="AJ862" s="3"/>
      <c r="AK862" s="3" t="str">
        <f>HYPERLINK("https://knigipp.ru/api/getInfo/item/b565f43d-e8e6-11ed-a233-00155d82e902")</f>
        <v>https://knigipp.ru/api/getInfo/item/b565f43d-e8e6-11ed-a233-00155d82e902</v>
      </c>
      <c r="AL862" s="3" t="s">
        <v>3740</v>
      </c>
    </row>
    <row r="863" spans="1:38" ht="21" customHeight="1" outlineLevel="4" x14ac:dyDescent="0.2">
      <c r="A863" s="2">
        <v>639</v>
      </c>
      <c r="B863" s="3" t="s">
        <v>3745</v>
      </c>
      <c r="C863" s="49" t="s">
        <v>3746</v>
      </c>
      <c r="D863" s="49"/>
      <c r="E863" s="49"/>
      <c r="F863" s="49"/>
      <c r="G863" s="4" t="s">
        <v>3747</v>
      </c>
      <c r="H863" s="8"/>
      <c r="I863" s="9" t="s">
        <v>3737</v>
      </c>
      <c r="J863" s="10"/>
      <c r="K863" s="11">
        <v>20</v>
      </c>
      <c r="L863" s="10"/>
      <c r="M863" s="10" t="s">
        <v>47</v>
      </c>
      <c r="N863" s="10"/>
      <c r="O863" s="2">
        <v>2</v>
      </c>
      <c r="P863" s="17">
        <f>297*(1-S3/100)</f>
        <v>297</v>
      </c>
      <c r="Q863" s="18"/>
      <c r="R863" s="10">
        <f>P863*Q863</f>
        <v>0</v>
      </c>
      <c r="S863" s="19">
        <f>0.114*Q863</f>
        <v>0</v>
      </c>
      <c r="T863" s="20">
        <f>0.00032*Q863</f>
        <v>0</v>
      </c>
      <c r="U863" s="21"/>
      <c r="V863" s="22" t="s">
        <v>3748</v>
      </c>
      <c r="W863" s="22" t="s">
        <v>191</v>
      </c>
      <c r="X863" s="3"/>
      <c r="Y863" s="3" t="s">
        <v>3739</v>
      </c>
      <c r="Z863" s="3" t="s">
        <v>52</v>
      </c>
      <c r="AA863" s="3"/>
      <c r="AB863" s="3"/>
      <c r="AC863" s="3" t="str">
        <f>HYPERLINK("https://knigipp.ru/api/getInfo/image/619d8c32-e8e6-11ed-a233-00155d82e902")</f>
        <v>https://knigipp.ru/api/getInfo/image/619d8c32-e8e6-11ed-a233-00155d82e902</v>
      </c>
      <c r="AD863" s="32">
        <v>72</v>
      </c>
      <c r="AE863" s="3"/>
      <c r="AF863" s="3" t="s">
        <v>741</v>
      </c>
      <c r="AG863" s="3"/>
      <c r="AH863" s="3" t="s">
        <v>56</v>
      </c>
      <c r="AI863" s="3"/>
      <c r="AJ863" s="3"/>
      <c r="AK863" s="3" t="str">
        <f>HYPERLINK("https://knigipp.ru/api/getInfo/item/619d8c32-e8e6-11ed-a233-00155d82e902")</f>
        <v>https://knigipp.ru/api/getInfo/item/619d8c32-e8e6-11ed-a233-00155d82e902</v>
      </c>
      <c r="AL863" s="3" t="s">
        <v>3740</v>
      </c>
    </row>
    <row r="864" spans="1:38" ht="21" customHeight="1" outlineLevel="4" x14ac:dyDescent="0.2">
      <c r="A864" s="2">
        <v>640</v>
      </c>
      <c r="B864" s="3" t="s">
        <v>3749</v>
      </c>
      <c r="C864" s="49" t="s">
        <v>3750</v>
      </c>
      <c r="D864" s="49"/>
      <c r="E864" s="49"/>
      <c r="F864" s="49"/>
      <c r="G864" s="4" t="s">
        <v>3751</v>
      </c>
      <c r="H864" s="8"/>
      <c r="I864" s="9" t="s">
        <v>3737</v>
      </c>
      <c r="J864" s="10"/>
      <c r="K864" s="11">
        <v>20</v>
      </c>
      <c r="L864" s="10"/>
      <c r="M864" s="10" t="s">
        <v>47</v>
      </c>
      <c r="N864" s="10"/>
      <c r="O864" s="2">
        <v>2</v>
      </c>
      <c r="P864" s="17">
        <f>297*(1-S3/100)</f>
        <v>297</v>
      </c>
      <c r="Q864" s="18"/>
      <c r="R864" s="10">
        <f>P864*Q864</f>
        <v>0</v>
      </c>
      <c r="S864" s="19">
        <f>0.114*Q864</f>
        <v>0</v>
      </c>
      <c r="T864" s="20">
        <f>0.00032*Q864</f>
        <v>0</v>
      </c>
      <c r="U864" s="21"/>
      <c r="V864" s="22" t="s">
        <v>3752</v>
      </c>
      <c r="W864" s="22" t="s">
        <v>191</v>
      </c>
      <c r="X864" s="3"/>
      <c r="Y864" s="3" t="s">
        <v>3739</v>
      </c>
      <c r="Z864" s="3" t="s">
        <v>52</v>
      </c>
      <c r="AA864" s="3"/>
      <c r="AB864" s="3"/>
      <c r="AC864" s="3" t="str">
        <f>HYPERLINK("https://knigipp.ru/api/getInfo/image/d6653bc1-e8e6-11ed-a233-00155d82e902")</f>
        <v>https://knigipp.ru/api/getInfo/image/d6653bc1-e8e6-11ed-a233-00155d82e902</v>
      </c>
      <c r="AD864" s="32">
        <v>72</v>
      </c>
      <c r="AE864" s="3"/>
      <c r="AF864" s="3" t="s">
        <v>741</v>
      </c>
      <c r="AG864" s="3"/>
      <c r="AH864" s="3" t="s">
        <v>56</v>
      </c>
      <c r="AI864" s="3"/>
      <c r="AJ864" s="3"/>
      <c r="AK864" s="3" t="str">
        <f>HYPERLINK("https://knigipp.ru/api/getInfo/item/d6653bc1-e8e6-11ed-a233-00155d82e902")</f>
        <v>https://knigipp.ru/api/getInfo/item/d6653bc1-e8e6-11ed-a233-00155d82e902</v>
      </c>
      <c r="AL864" s="3" t="s">
        <v>3740</v>
      </c>
    </row>
    <row r="865" spans="1:38" ht="21" customHeight="1" outlineLevel="4" x14ac:dyDescent="0.2">
      <c r="A865" s="2">
        <v>641</v>
      </c>
      <c r="B865" s="3" t="s">
        <v>3753</v>
      </c>
      <c r="C865" s="49" t="s">
        <v>3754</v>
      </c>
      <c r="D865" s="49"/>
      <c r="E865" s="49"/>
      <c r="F865" s="49"/>
      <c r="G865" s="4" t="s">
        <v>3755</v>
      </c>
      <c r="H865" s="8"/>
      <c r="I865" s="9" t="s">
        <v>3737</v>
      </c>
      <c r="J865" s="10"/>
      <c r="K865" s="11">
        <v>20</v>
      </c>
      <c r="L865" s="10"/>
      <c r="M865" s="10" t="s">
        <v>47</v>
      </c>
      <c r="N865" s="10"/>
      <c r="O865" s="2">
        <v>2</v>
      </c>
      <c r="P865" s="17">
        <f>297*(1-S3/100)</f>
        <v>297</v>
      </c>
      <c r="Q865" s="18"/>
      <c r="R865" s="10">
        <f>P865*Q865</f>
        <v>0</v>
      </c>
      <c r="S865" s="19">
        <f>0.114*Q865</f>
        <v>0</v>
      </c>
      <c r="T865" s="20">
        <f>0.00032*Q865</f>
        <v>0</v>
      </c>
      <c r="U865" s="21"/>
      <c r="V865" s="22" t="s">
        <v>3756</v>
      </c>
      <c r="W865" s="22" t="s">
        <v>191</v>
      </c>
      <c r="X865" s="3"/>
      <c r="Y865" s="3" t="s">
        <v>3739</v>
      </c>
      <c r="Z865" s="3" t="s">
        <v>52</v>
      </c>
      <c r="AA865" s="3"/>
      <c r="AB865" s="3"/>
      <c r="AC865" s="3" t="str">
        <f>HYPERLINK("https://knigipp.ru/api/getInfo/image/2b947972-e8e6-11ed-a233-00155d82e902")</f>
        <v>https://knigipp.ru/api/getInfo/image/2b947972-e8e6-11ed-a233-00155d82e902</v>
      </c>
      <c r="AD865" s="32">
        <v>72</v>
      </c>
      <c r="AE865" s="3"/>
      <c r="AF865" s="3" t="s">
        <v>741</v>
      </c>
      <c r="AG865" s="3"/>
      <c r="AH865" s="3" t="s">
        <v>56</v>
      </c>
      <c r="AI865" s="3"/>
      <c r="AJ865" s="3"/>
      <c r="AK865" s="3" t="str">
        <f>HYPERLINK("https://knigipp.ru/api/getInfo/item/2b947972-e8e6-11ed-a233-00155d82e902")</f>
        <v>https://knigipp.ru/api/getInfo/item/2b947972-e8e6-11ed-a233-00155d82e902</v>
      </c>
      <c r="AL865" s="3" t="s">
        <v>3740</v>
      </c>
    </row>
    <row r="866" spans="1:38" ht="23.1" customHeight="1" outlineLevel="2" x14ac:dyDescent="0.2">
      <c r="A866" s="47" t="s">
        <v>3757</v>
      </c>
      <c r="B866" s="47"/>
      <c r="C866" s="47"/>
      <c r="D866" s="47"/>
      <c r="E866" s="47"/>
      <c r="F866" s="47"/>
    </row>
    <row r="867" spans="1:38" ht="23.1" customHeight="1" outlineLevel="3" x14ac:dyDescent="0.2">
      <c r="A867" s="48" t="s">
        <v>3758</v>
      </c>
      <c r="B867" s="48"/>
      <c r="C867" s="48"/>
      <c r="D867" s="48"/>
      <c r="E867" s="48"/>
      <c r="F867" s="48"/>
    </row>
    <row r="868" spans="1:38" ht="21" customHeight="1" outlineLevel="4" x14ac:dyDescent="0.2">
      <c r="A868" s="2">
        <v>642</v>
      </c>
      <c r="B868" s="3" t="s">
        <v>3759</v>
      </c>
      <c r="C868" s="49" t="s">
        <v>3760</v>
      </c>
      <c r="D868" s="49"/>
      <c r="E868" s="49"/>
      <c r="F868" s="49"/>
      <c r="G868" s="4" t="s">
        <v>3761</v>
      </c>
      <c r="H868" s="8"/>
      <c r="I868" s="9" t="s">
        <v>3762</v>
      </c>
      <c r="J868" s="10"/>
      <c r="K868" s="11">
        <v>10</v>
      </c>
      <c r="L868" s="10"/>
      <c r="M868" s="10" t="s">
        <v>78</v>
      </c>
      <c r="N868" s="10"/>
      <c r="O868" s="2">
        <v>2</v>
      </c>
      <c r="P868" s="17">
        <f>299*(1-S3/100)</f>
        <v>299</v>
      </c>
      <c r="Q868" s="18"/>
      <c r="R868" s="10">
        <f>P868*Q868</f>
        <v>0</v>
      </c>
      <c r="S868" s="19">
        <f>0.295*Q868</f>
        <v>0</v>
      </c>
      <c r="T868" s="20">
        <f>0.00053*Q868</f>
        <v>0</v>
      </c>
      <c r="U868" s="21"/>
      <c r="V868" s="22" t="s">
        <v>3763</v>
      </c>
      <c r="W868" s="22" t="s">
        <v>191</v>
      </c>
      <c r="X868" s="3"/>
      <c r="Y868" s="3"/>
      <c r="Z868" s="3" t="s">
        <v>52</v>
      </c>
      <c r="AA868" s="3"/>
      <c r="AB868" s="3"/>
      <c r="AC868" s="3" t="str">
        <f>HYPERLINK("https://knigipp.ru/api/getInfo/image/37275a59-721a-11ed-a22a-00155d82e902")</f>
        <v>https://knigipp.ru/api/getInfo/image/37275a59-721a-11ed-a22a-00155d82e902</v>
      </c>
      <c r="AD868" s="32">
        <v>160</v>
      </c>
      <c r="AE868" s="3" t="s">
        <v>481</v>
      </c>
      <c r="AF868" s="3" t="s">
        <v>127</v>
      </c>
      <c r="AG868" s="3"/>
      <c r="AH868" s="3" t="s">
        <v>56</v>
      </c>
      <c r="AI868" s="3"/>
      <c r="AJ868" s="3"/>
      <c r="AK868" s="3" t="str">
        <f>HYPERLINK("https://knigipp.ru/api/getInfo/item/37275a59-721a-11ed-a22a-00155d82e902")</f>
        <v>https://knigipp.ru/api/getInfo/item/37275a59-721a-11ed-a22a-00155d82e902</v>
      </c>
      <c r="AL868" s="3" t="s">
        <v>2753</v>
      </c>
    </row>
    <row r="869" spans="1:38" ht="21" customHeight="1" outlineLevel="4" x14ac:dyDescent="0.2">
      <c r="A869" s="2">
        <v>643</v>
      </c>
      <c r="B869" s="3" t="s">
        <v>3764</v>
      </c>
      <c r="C869" s="49" t="s">
        <v>3765</v>
      </c>
      <c r="D869" s="49"/>
      <c r="E869" s="49"/>
      <c r="F869" s="49"/>
      <c r="G869" s="4" t="s">
        <v>3766</v>
      </c>
      <c r="H869" s="8"/>
      <c r="I869" s="9" t="s">
        <v>3767</v>
      </c>
      <c r="J869" s="10"/>
      <c r="K869" s="11">
        <v>22</v>
      </c>
      <c r="L869" s="10"/>
      <c r="M869" s="10" t="s">
        <v>47</v>
      </c>
      <c r="N869" s="10"/>
      <c r="O869" s="2">
        <v>2</v>
      </c>
      <c r="P869" s="17">
        <f>299*(1-S3/100)</f>
        <v>299</v>
      </c>
      <c r="Q869" s="18"/>
      <c r="R869" s="10">
        <f>P869*Q869</f>
        <v>0</v>
      </c>
      <c r="S869" s="19">
        <f>0.258*Q869</f>
        <v>0</v>
      </c>
      <c r="T869" s="20">
        <f>0.00066*Q869</f>
        <v>0</v>
      </c>
      <c r="U869" s="21"/>
      <c r="V869" s="22" t="s">
        <v>3768</v>
      </c>
      <c r="W869" s="22" t="s">
        <v>191</v>
      </c>
      <c r="X869" s="3"/>
      <c r="Y869" s="3" t="s">
        <v>3769</v>
      </c>
      <c r="Z869" s="3" t="s">
        <v>52</v>
      </c>
      <c r="AA869" s="3" t="s">
        <v>3770</v>
      </c>
      <c r="AB869" s="3"/>
      <c r="AC869" s="3" t="str">
        <f>HYPERLINK("https://knigipp.ru/api/getInfo/image/e9fdb994-edd5-11ee-a25b-00155d82e908")</f>
        <v>https://knigipp.ru/api/getInfo/image/e9fdb994-edd5-11ee-a25b-00155d82e908</v>
      </c>
      <c r="AD869" s="32">
        <v>160</v>
      </c>
      <c r="AE869" s="3"/>
      <c r="AF869" s="3" t="s">
        <v>127</v>
      </c>
      <c r="AG869" s="3"/>
      <c r="AH869" s="3" t="s">
        <v>56</v>
      </c>
      <c r="AI869" s="3"/>
      <c r="AJ869" s="3"/>
      <c r="AK869" s="3" t="str">
        <f>HYPERLINK("https://knigipp.ru/api/getInfo/item/e9fdb994-edd5-11ee-a25b-00155d82e908")</f>
        <v>https://knigipp.ru/api/getInfo/item/e9fdb994-edd5-11ee-a25b-00155d82e908</v>
      </c>
      <c r="AL869" s="3" t="s">
        <v>3771</v>
      </c>
    </row>
    <row r="870" spans="1:38" ht="21" customHeight="1" outlineLevel="4" x14ac:dyDescent="0.2">
      <c r="A870" s="2">
        <v>644</v>
      </c>
      <c r="B870" s="3" t="s">
        <v>3772</v>
      </c>
      <c r="C870" s="49" t="s">
        <v>3773</v>
      </c>
      <c r="D870" s="49"/>
      <c r="E870" s="49"/>
      <c r="F870" s="49"/>
      <c r="G870" s="4" t="s">
        <v>3774</v>
      </c>
      <c r="H870" s="8"/>
      <c r="I870" s="9" t="s">
        <v>3775</v>
      </c>
      <c r="J870" s="10"/>
      <c r="K870" s="11">
        <v>22</v>
      </c>
      <c r="L870" s="10"/>
      <c r="M870" s="10" t="s">
        <v>47</v>
      </c>
      <c r="N870" s="10"/>
      <c r="O870" s="2">
        <v>2</v>
      </c>
      <c r="P870" s="17">
        <f>299*(1-S3/100)</f>
        <v>299</v>
      </c>
      <c r="Q870" s="18"/>
      <c r="R870" s="10">
        <f>P870*Q870</f>
        <v>0</v>
      </c>
      <c r="S870" s="19">
        <f>0.258*Q870</f>
        <v>0</v>
      </c>
      <c r="T870" s="20">
        <f>0.00066*Q870</f>
        <v>0</v>
      </c>
      <c r="U870" s="21"/>
      <c r="V870" s="22" t="s">
        <v>3776</v>
      </c>
      <c r="W870" s="22" t="s">
        <v>191</v>
      </c>
      <c r="X870" s="3"/>
      <c r="Y870" s="3"/>
      <c r="Z870" s="3" t="s">
        <v>52</v>
      </c>
      <c r="AA870" s="3"/>
      <c r="AB870" s="3"/>
      <c r="AC870" s="3" t="str">
        <f>HYPERLINK("https://knigipp.ru/api/getInfo/image/16c3db4e-ae42-11eb-a201-ac1f6b442185")</f>
        <v>https://knigipp.ru/api/getInfo/image/16c3db4e-ae42-11eb-a201-ac1f6b442185</v>
      </c>
      <c r="AD870" s="32">
        <v>160</v>
      </c>
      <c r="AE870" s="3"/>
      <c r="AF870" s="3" t="s">
        <v>127</v>
      </c>
      <c r="AG870" s="3"/>
      <c r="AH870" s="3" t="s">
        <v>56</v>
      </c>
      <c r="AI870" s="3"/>
      <c r="AJ870" s="3"/>
      <c r="AK870" s="3" t="str">
        <f>HYPERLINK("https://knigipp.ru/api/getInfo/item/16c3db4e-ae42-11eb-a201-ac1f6b442185")</f>
        <v>https://knigipp.ru/api/getInfo/item/16c3db4e-ae42-11eb-a201-ac1f6b442185</v>
      </c>
      <c r="AL870" s="3" t="s">
        <v>3771</v>
      </c>
    </row>
    <row r="871" spans="1:38" ht="21" customHeight="1" outlineLevel="4" x14ac:dyDescent="0.2">
      <c r="A871" s="2">
        <v>645</v>
      </c>
      <c r="B871" s="3" t="s">
        <v>3777</v>
      </c>
      <c r="C871" s="49" t="s">
        <v>3778</v>
      </c>
      <c r="D871" s="49"/>
      <c r="E871" s="49"/>
      <c r="F871" s="49"/>
      <c r="G871" s="4" t="s">
        <v>3779</v>
      </c>
      <c r="H871" s="8"/>
      <c r="I871" s="9" t="s">
        <v>3775</v>
      </c>
      <c r="J871" s="10"/>
      <c r="K871" s="11">
        <v>22</v>
      </c>
      <c r="L871" s="10"/>
      <c r="M871" s="10" t="s">
        <v>78</v>
      </c>
      <c r="N871" s="10"/>
      <c r="O871" s="2">
        <v>2</v>
      </c>
      <c r="P871" s="17">
        <f>299*(1-S3/100)</f>
        <v>299</v>
      </c>
      <c r="Q871" s="18"/>
      <c r="R871" s="10">
        <f>P871*Q871</f>
        <v>0</v>
      </c>
      <c r="S871" s="19">
        <f>0.295*Q871</f>
        <v>0</v>
      </c>
      <c r="T871" s="20">
        <f>0.00053*Q871</f>
        <v>0</v>
      </c>
      <c r="U871" s="21"/>
      <c r="V871" s="22" t="s">
        <v>3780</v>
      </c>
      <c r="W871" s="22" t="s">
        <v>191</v>
      </c>
      <c r="X871" s="3"/>
      <c r="Y871" s="3"/>
      <c r="Z871" s="3" t="s">
        <v>52</v>
      </c>
      <c r="AA871" s="3"/>
      <c r="AB871" s="3"/>
      <c r="AC871" s="3" t="str">
        <f>HYPERLINK("https://knigipp.ru/api/getInfo/image/5c42d60a-ae42-11eb-a201-ac1f6b442185")</f>
        <v>https://knigipp.ru/api/getInfo/image/5c42d60a-ae42-11eb-a201-ac1f6b442185</v>
      </c>
      <c r="AD871" s="32">
        <v>160</v>
      </c>
      <c r="AE871" s="3"/>
      <c r="AF871" s="3" t="s">
        <v>127</v>
      </c>
      <c r="AG871" s="3"/>
      <c r="AH871" s="3" t="s">
        <v>56</v>
      </c>
      <c r="AI871" s="3"/>
      <c r="AJ871" s="3"/>
      <c r="AK871" s="3" t="str">
        <f>HYPERLINK("https://knigipp.ru/api/getInfo/item/5c42d60a-ae42-11eb-a201-ac1f6b442185")</f>
        <v>https://knigipp.ru/api/getInfo/item/5c42d60a-ae42-11eb-a201-ac1f6b442185</v>
      </c>
      <c r="AL871" s="3" t="s">
        <v>3771</v>
      </c>
    </row>
    <row r="872" spans="1:38" ht="23.1" customHeight="1" outlineLevel="3" x14ac:dyDescent="0.2">
      <c r="A872" s="48" t="s">
        <v>3781</v>
      </c>
      <c r="B872" s="48"/>
      <c r="C872" s="48"/>
      <c r="D872" s="48"/>
      <c r="E872" s="48"/>
      <c r="F872" s="48"/>
    </row>
    <row r="873" spans="1:38" ht="21" customHeight="1" outlineLevel="4" x14ac:dyDescent="0.2">
      <c r="A873" s="2">
        <v>646</v>
      </c>
      <c r="B873" s="3" t="s">
        <v>3782</v>
      </c>
      <c r="C873" s="49" t="s">
        <v>3783</v>
      </c>
      <c r="D873" s="49"/>
      <c r="E873" s="49"/>
      <c r="F873" s="49"/>
      <c r="G873" s="4" t="s">
        <v>3784</v>
      </c>
      <c r="H873" s="8"/>
      <c r="I873" s="9" t="s">
        <v>3785</v>
      </c>
      <c r="J873" s="10"/>
      <c r="K873" s="11">
        <v>10</v>
      </c>
      <c r="L873" s="10"/>
      <c r="M873" s="10" t="s">
        <v>47</v>
      </c>
      <c r="N873" s="10"/>
      <c r="O873" s="2">
        <v>2</v>
      </c>
      <c r="P873" s="17">
        <f>299*(1-S3/100)</f>
        <v>299</v>
      </c>
      <c r="Q873" s="18"/>
      <c r="R873" s="10">
        <f>P873*Q873</f>
        <v>0</v>
      </c>
      <c r="S873" s="10">
        <v>0</v>
      </c>
      <c r="T873" s="10">
        <v>0</v>
      </c>
      <c r="U873" s="21"/>
      <c r="V873" s="22" t="s">
        <v>3786</v>
      </c>
      <c r="W873" s="22" t="s">
        <v>191</v>
      </c>
      <c r="X873" s="3"/>
      <c r="Y873" s="3"/>
      <c r="Z873" s="3" t="s">
        <v>52</v>
      </c>
      <c r="AA873" s="3"/>
      <c r="AB873" s="3"/>
      <c r="AC873" s="3" t="str">
        <f>HYPERLINK("https://knigipp.ru/api/getInfo/image/5af8d139-adb2-11eb-a201-ac1f6b442185")</f>
        <v>https://knigipp.ru/api/getInfo/image/5af8d139-adb2-11eb-a201-ac1f6b442185</v>
      </c>
      <c r="AD873" s="32">
        <v>128</v>
      </c>
      <c r="AE873" s="3"/>
      <c r="AF873" s="3" t="s">
        <v>741</v>
      </c>
      <c r="AG873" s="3"/>
      <c r="AH873" s="3" t="s">
        <v>56</v>
      </c>
      <c r="AI873" s="3"/>
      <c r="AJ873" s="3"/>
      <c r="AK873" s="3" t="str">
        <f>HYPERLINK("https://knigipp.ru/api/getInfo/item/5af8d139-adb2-11eb-a201-ac1f6b442185")</f>
        <v>https://knigipp.ru/api/getInfo/item/5af8d139-adb2-11eb-a201-ac1f6b442185</v>
      </c>
      <c r="AL873" s="3" t="s">
        <v>3787</v>
      </c>
    </row>
    <row r="874" spans="1:38" ht="23.1" customHeight="1" outlineLevel="3" x14ac:dyDescent="0.2">
      <c r="A874" s="48" t="s">
        <v>3788</v>
      </c>
      <c r="B874" s="48"/>
      <c r="C874" s="48"/>
      <c r="D874" s="48"/>
      <c r="E874" s="48"/>
      <c r="F874" s="48"/>
    </row>
    <row r="875" spans="1:38" ht="21" customHeight="1" outlineLevel="4" x14ac:dyDescent="0.2">
      <c r="A875" s="2">
        <v>647</v>
      </c>
      <c r="B875" s="3" t="s">
        <v>3789</v>
      </c>
      <c r="C875" s="49" t="s">
        <v>3790</v>
      </c>
      <c r="D875" s="49"/>
      <c r="E875" s="49"/>
      <c r="F875" s="49"/>
      <c r="G875" s="4" t="s">
        <v>3791</v>
      </c>
      <c r="H875" s="8"/>
      <c r="I875" s="9"/>
      <c r="J875" s="10"/>
      <c r="K875" s="11">
        <v>10</v>
      </c>
      <c r="L875" s="10"/>
      <c r="M875" s="10" t="s">
        <v>47</v>
      </c>
      <c r="N875" s="10"/>
      <c r="O875" s="2">
        <v>2</v>
      </c>
      <c r="P875" s="17">
        <f>299*(1-S3/100)</f>
        <v>299</v>
      </c>
      <c r="Q875" s="18"/>
      <c r="R875" s="10">
        <f>P875*Q875</f>
        <v>0</v>
      </c>
      <c r="S875" s="19">
        <f>0.264*Q875</f>
        <v>0</v>
      </c>
      <c r="T875" s="20">
        <f>0.00055*Q875</f>
        <v>0</v>
      </c>
      <c r="U875" s="21"/>
      <c r="V875" s="22" t="s">
        <v>3792</v>
      </c>
      <c r="W875" s="22" t="s">
        <v>191</v>
      </c>
      <c r="X875" s="3"/>
      <c r="Y875" s="3" t="s">
        <v>3793</v>
      </c>
      <c r="Z875" s="3" t="s">
        <v>52</v>
      </c>
      <c r="AA875" s="3" t="s">
        <v>3794</v>
      </c>
      <c r="AB875" s="3"/>
      <c r="AC875" s="3" t="str">
        <f>HYPERLINK("https://knigipp.ru/api/getInfo/image/6fa48b16-da02-11ee-a25a-00155d82e908")</f>
        <v>https://knigipp.ru/api/getInfo/image/6fa48b16-da02-11ee-a25a-00155d82e908</v>
      </c>
      <c r="AD875" s="32">
        <v>160</v>
      </c>
      <c r="AE875" s="3" t="s">
        <v>54</v>
      </c>
      <c r="AF875" s="3" t="s">
        <v>127</v>
      </c>
      <c r="AG875" s="3"/>
      <c r="AH875" s="3" t="s">
        <v>56</v>
      </c>
      <c r="AI875" s="3"/>
      <c r="AJ875" s="3"/>
      <c r="AK875" s="3" t="str">
        <f>HYPERLINK("https://knigipp.ru/api/getInfo/item/6fa48b16-da02-11ee-a25a-00155d82e908")</f>
        <v>https://knigipp.ru/api/getInfo/item/6fa48b16-da02-11ee-a25a-00155d82e908</v>
      </c>
      <c r="AL875" s="3" t="s">
        <v>3795</v>
      </c>
    </row>
    <row r="876" spans="1:38" ht="21" customHeight="1" outlineLevel="4" x14ac:dyDescent="0.2">
      <c r="A876" s="2">
        <v>648</v>
      </c>
      <c r="B876" s="3" t="s">
        <v>3796</v>
      </c>
      <c r="C876" s="49" t="s">
        <v>3797</v>
      </c>
      <c r="D876" s="49"/>
      <c r="E876" s="49"/>
      <c r="F876" s="49"/>
      <c r="G876" s="4" t="s">
        <v>3798</v>
      </c>
      <c r="H876" s="8"/>
      <c r="I876" s="9"/>
      <c r="J876" s="10"/>
      <c r="K876" s="11">
        <v>10</v>
      </c>
      <c r="L876" s="10"/>
      <c r="M876" s="10" t="s">
        <v>47</v>
      </c>
      <c r="N876" s="10"/>
      <c r="O876" s="2">
        <v>2</v>
      </c>
      <c r="P876" s="17">
        <f>299*(1-S3/100)</f>
        <v>299</v>
      </c>
      <c r="Q876" s="18"/>
      <c r="R876" s="10">
        <f>P876*Q876</f>
        <v>0</v>
      </c>
      <c r="S876" s="19">
        <f>0.264*Q876</f>
        <v>0</v>
      </c>
      <c r="T876" s="20">
        <f>0.00055*Q876</f>
        <v>0</v>
      </c>
      <c r="U876" s="21"/>
      <c r="V876" s="22" t="s">
        <v>3799</v>
      </c>
      <c r="W876" s="22" t="s">
        <v>191</v>
      </c>
      <c r="X876" s="3"/>
      <c r="Y876" s="3" t="s">
        <v>3800</v>
      </c>
      <c r="Z876" s="3" t="s">
        <v>52</v>
      </c>
      <c r="AA876" s="3" t="s">
        <v>3794</v>
      </c>
      <c r="AB876" s="3"/>
      <c r="AC876" s="3" t="str">
        <f>HYPERLINK("https://knigipp.ru/api/getInfo/image/a08920be-da02-11ee-a25a-00155d82e908")</f>
        <v>https://knigipp.ru/api/getInfo/image/a08920be-da02-11ee-a25a-00155d82e908</v>
      </c>
      <c r="AD876" s="32">
        <v>160</v>
      </c>
      <c r="AE876" s="3" t="s">
        <v>54</v>
      </c>
      <c r="AF876" s="3" t="s">
        <v>127</v>
      </c>
      <c r="AG876" s="3"/>
      <c r="AH876" s="3" t="s">
        <v>56</v>
      </c>
      <c r="AI876" s="3"/>
      <c r="AJ876" s="3"/>
      <c r="AK876" s="3" t="str">
        <f>HYPERLINK("https://knigipp.ru/api/getInfo/item/a08920be-da02-11ee-a25a-00155d82e908")</f>
        <v>https://knigipp.ru/api/getInfo/item/a08920be-da02-11ee-a25a-00155d82e908</v>
      </c>
      <c r="AL876" s="3" t="s">
        <v>3795</v>
      </c>
    </row>
    <row r="877" spans="1:38" ht="23.1" customHeight="1" outlineLevel="2" x14ac:dyDescent="0.2">
      <c r="A877" s="47" t="s">
        <v>3801</v>
      </c>
      <c r="B877" s="47"/>
      <c r="C877" s="47"/>
      <c r="D877" s="47"/>
      <c r="E877" s="47"/>
      <c r="F877" s="47"/>
    </row>
    <row r="878" spans="1:38" ht="23.1" customHeight="1" outlineLevel="3" x14ac:dyDescent="0.2">
      <c r="A878" s="48" t="s">
        <v>3802</v>
      </c>
      <c r="B878" s="48"/>
      <c r="C878" s="48"/>
      <c r="D878" s="48"/>
      <c r="E878" s="48"/>
      <c r="F878" s="48"/>
    </row>
    <row r="879" spans="1:38" ht="21" customHeight="1" outlineLevel="4" x14ac:dyDescent="0.2">
      <c r="A879" s="2">
        <v>649</v>
      </c>
      <c r="B879" s="3" t="s">
        <v>3803</v>
      </c>
      <c r="C879" s="49" t="s">
        <v>3804</v>
      </c>
      <c r="D879" s="49"/>
      <c r="E879" s="49"/>
      <c r="F879" s="49"/>
      <c r="G879" s="4" t="s">
        <v>3805</v>
      </c>
      <c r="H879" s="8"/>
      <c r="I879" s="9" t="s">
        <v>3806</v>
      </c>
      <c r="J879" s="10"/>
      <c r="K879" s="11">
        <v>20</v>
      </c>
      <c r="L879" s="10"/>
      <c r="M879" s="10" t="s">
        <v>47</v>
      </c>
      <c r="N879" s="10"/>
      <c r="O879" s="2">
        <v>2</v>
      </c>
      <c r="P879" s="17">
        <f>327*(1-S3/100)</f>
        <v>327</v>
      </c>
      <c r="Q879" s="18"/>
      <c r="R879" s="10">
        <f>P879*Q879</f>
        <v>0</v>
      </c>
      <c r="S879" s="19">
        <f>0.367*Q879</f>
        <v>0</v>
      </c>
      <c r="T879" s="20">
        <f>0.00066*Q879</f>
        <v>0</v>
      </c>
      <c r="U879" s="21"/>
      <c r="V879" s="22" t="s">
        <v>3807</v>
      </c>
      <c r="W879" s="22" t="s">
        <v>191</v>
      </c>
      <c r="X879" s="3"/>
      <c r="Y879" s="3"/>
      <c r="Z879" s="3" t="s">
        <v>52</v>
      </c>
      <c r="AA879" s="3"/>
      <c r="AB879" s="3"/>
      <c r="AC879" s="3" t="str">
        <f>HYPERLINK("https://knigipp.ru/api/getInfo/image/fdb4f8e3-7330-11ee-a248-00155d82e902")</f>
        <v>https://knigipp.ru/api/getInfo/image/fdb4f8e3-7330-11ee-a248-00155d82e902</v>
      </c>
      <c r="AD879" s="32">
        <v>288</v>
      </c>
      <c r="AE879" s="3" t="s">
        <v>740</v>
      </c>
      <c r="AF879" s="3" t="s">
        <v>127</v>
      </c>
      <c r="AG879" s="3"/>
      <c r="AH879" s="3" t="s">
        <v>56</v>
      </c>
      <c r="AI879" s="3"/>
      <c r="AJ879" s="3"/>
      <c r="AK879" s="3" t="str">
        <f>HYPERLINK("https://knigipp.ru/api/getInfo/item/fdb4f8e3-7330-11ee-a248-00155d82e902")</f>
        <v>https://knigipp.ru/api/getInfo/item/fdb4f8e3-7330-11ee-a248-00155d82e902</v>
      </c>
      <c r="AL879" s="3" t="s">
        <v>3808</v>
      </c>
    </row>
    <row r="880" spans="1:38" ht="21" customHeight="1" outlineLevel="4" x14ac:dyDescent="0.2">
      <c r="A880" s="2">
        <v>650</v>
      </c>
      <c r="B880" s="3" t="s">
        <v>3809</v>
      </c>
      <c r="C880" s="49" t="s">
        <v>3810</v>
      </c>
      <c r="D880" s="49"/>
      <c r="E880" s="49"/>
      <c r="F880" s="49"/>
      <c r="G880" s="4" t="s">
        <v>3811</v>
      </c>
      <c r="H880" s="8"/>
      <c r="I880" s="9" t="s">
        <v>3806</v>
      </c>
      <c r="J880" s="10"/>
      <c r="K880" s="11">
        <v>20</v>
      </c>
      <c r="L880" s="10"/>
      <c r="M880" s="10" t="s">
        <v>47</v>
      </c>
      <c r="N880" s="10"/>
      <c r="O880" s="2">
        <v>2</v>
      </c>
      <c r="P880" s="17">
        <f>327*(1-S3/100)</f>
        <v>327</v>
      </c>
      <c r="Q880" s="18"/>
      <c r="R880" s="10">
        <f>P880*Q880</f>
        <v>0</v>
      </c>
      <c r="S880" s="19">
        <f>0.363*Q880</f>
        <v>0</v>
      </c>
      <c r="T880" s="20">
        <f>0.00069*Q880</f>
        <v>0</v>
      </c>
      <c r="U880" s="21"/>
      <c r="V880" s="22" t="s">
        <v>3812</v>
      </c>
      <c r="W880" s="22" t="s">
        <v>191</v>
      </c>
      <c r="X880" s="3"/>
      <c r="Y880" s="3" t="s">
        <v>3813</v>
      </c>
      <c r="Z880" s="3" t="s">
        <v>52</v>
      </c>
      <c r="AA880" s="3" t="s">
        <v>1611</v>
      </c>
      <c r="AB880" s="3"/>
      <c r="AC880" s="3" t="str">
        <f>HYPERLINK("https://knigipp.ru/api/getInfo/image/1752851a-1f57-11ef-a25f-00155d82e908")</f>
        <v>https://knigipp.ru/api/getInfo/image/1752851a-1f57-11ef-a25f-00155d82e908</v>
      </c>
      <c r="AD880" s="32">
        <v>288</v>
      </c>
      <c r="AE880" s="3" t="s">
        <v>740</v>
      </c>
      <c r="AF880" s="3" t="s">
        <v>127</v>
      </c>
      <c r="AG880" s="3"/>
      <c r="AH880" s="3" t="s">
        <v>56</v>
      </c>
      <c r="AI880" s="3"/>
      <c r="AJ880" s="3"/>
      <c r="AK880" s="3" t="str">
        <f>HYPERLINK("https://knigipp.ru/api/getInfo/item/1752851a-1f57-11ef-a25f-00155d82e908")</f>
        <v>https://knigipp.ru/api/getInfo/item/1752851a-1f57-11ef-a25f-00155d82e908</v>
      </c>
      <c r="AL880" s="3" t="s">
        <v>3808</v>
      </c>
    </row>
    <row r="881" spans="1:38" ht="21" customHeight="1" outlineLevel="4" x14ac:dyDescent="0.2">
      <c r="A881" s="2">
        <v>651</v>
      </c>
      <c r="B881" s="3" t="s">
        <v>3814</v>
      </c>
      <c r="C881" s="49" t="s">
        <v>3815</v>
      </c>
      <c r="D881" s="49"/>
      <c r="E881" s="49"/>
      <c r="F881" s="49"/>
      <c r="G881" s="4" t="s">
        <v>3816</v>
      </c>
      <c r="H881" s="8"/>
      <c r="I881" s="9" t="s">
        <v>3806</v>
      </c>
      <c r="J881" s="10"/>
      <c r="K881" s="11">
        <v>20</v>
      </c>
      <c r="L881" s="10"/>
      <c r="M881" s="10" t="s">
        <v>47</v>
      </c>
      <c r="N881" s="10"/>
      <c r="O881" s="2">
        <v>2</v>
      </c>
      <c r="P881" s="17">
        <f>327*(1-S3/100)</f>
        <v>327</v>
      </c>
      <c r="Q881" s="18"/>
      <c r="R881" s="10">
        <f>P881*Q881</f>
        <v>0</v>
      </c>
      <c r="S881" s="19">
        <f>0.348*Q881</f>
        <v>0</v>
      </c>
      <c r="T881" s="20">
        <f>0.00063*Q881</f>
        <v>0</v>
      </c>
      <c r="U881" s="21"/>
      <c r="V881" s="22" t="s">
        <v>3817</v>
      </c>
      <c r="W881" s="22" t="s">
        <v>191</v>
      </c>
      <c r="X881" s="3"/>
      <c r="Y881" s="3"/>
      <c r="Z881" s="3" t="s">
        <v>52</v>
      </c>
      <c r="AA881" s="3"/>
      <c r="AB881" s="3"/>
      <c r="AC881" s="3" t="str">
        <f>HYPERLINK("https://knigipp.ru/api/getInfo/image/30912da5-7331-11ee-a248-00155d82e902")</f>
        <v>https://knigipp.ru/api/getInfo/image/30912da5-7331-11ee-a248-00155d82e902</v>
      </c>
      <c r="AD881" s="32">
        <v>288</v>
      </c>
      <c r="AE881" s="3" t="s">
        <v>740</v>
      </c>
      <c r="AF881" s="3" t="s">
        <v>127</v>
      </c>
      <c r="AG881" s="3"/>
      <c r="AH881" s="3" t="s">
        <v>56</v>
      </c>
      <c r="AI881" s="3"/>
      <c r="AJ881" s="3"/>
      <c r="AK881" s="3" t="str">
        <f>HYPERLINK("https://knigipp.ru/api/getInfo/item/30912da5-7331-11ee-a248-00155d82e902")</f>
        <v>https://knigipp.ru/api/getInfo/item/30912da5-7331-11ee-a248-00155d82e902</v>
      </c>
      <c r="AL881" s="3" t="s">
        <v>3808</v>
      </c>
    </row>
    <row r="882" spans="1:38" ht="21" customHeight="1" outlineLevel="4" x14ac:dyDescent="0.2">
      <c r="A882" s="2">
        <v>652</v>
      </c>
      <c r="B882" s="3" t="s">
        <v>3818</v>
      </c>
      <c r="C882" s="49" t="s">
        <v>3819</v>
      </c>
      <c r="D882" s="49"/>
      <c r="E882" s="49"/>
      <c r="F882" s="49"/>
      <c r="G882" s="4" t="s">
        <v>3820</v>
      </c>
      <c r="H882" s="8"/>
      <c r="I882" s="9" t="s">
        <v>3806</v>
      </c>
      <c r="J882" s="10"/>
      <c r="K882" s="11">
        <v>20</v>
      </c>
      <c r="L882" s="10"/>
      <c r="M882" s="10" t="s">
        <v>47</v>
      </c>
      <c r="N882" s="10"/>
      <c r="O882" s="2">
        <v>2</v>
      </c>
      <c r="P882" s="17">
        <f>327*(1-S3/100)</f>
        <v>327</v>
      </c>
      <c r="Q882" s="18"/>
      <c r="R882" s="10">
        <f>P882*Q882</f>
        <v>0</v>
      </c>
      <c r="S882" s="19">
        <f>0.355*Q882</f>
        <v>0</v>
      </c>
      <c r="T882" s="20">
        <f>0.00063*Q882</f>
        <v>0</v>
      </c>
      <c r="U882" s="21"/>
      <c r="V882" s="22" t="s">
        <v>3821</v>
      </c>
      <c r="W882" s="22" t="s">
        <v>191</v>
      </c>
      <c r="X882" s="3"/>
      <c r="Y882" s="3" t="s">
        <v>3822</v>
      </c>
      <c r="Z882" s="3" t="s">
        <v>52</v>
      </c>
      <c r="AA882" s="3" t="s">
        <v>1611</v>
      </c>
      <c r="AB882" s="3"/>
      <c r="AC882" s="3" t="str">
        <f>HYPERLINK("https://knigipp.ru/api/getInfo/image/3fa87e2d-1f57-11ef-a25f-00155d82e908")</f>
        <v>https://knigipp.ru/api/getInfo/image/3fa87e2d-1f57-11ef-a25f-00155d82e908</v>
      </c>
      <c r="AD882" s="32">
        <v>288</v>
      </c>
      <c r="AE882" s="3" t="s">
        <v>740</v>
      </c>
      <c r="AF882" s="3" t="s">
        <v>127</v>
      </c>
      <c r="AG882" s="3"/>
      <c r="AH882" s="3" t="s">
        <v>56</v>
      </c>
      <c r="AI882" s="3"/>
      <c r="AJ882" s="3"/>
      <c r="AK882" s="3" t="str">
        <f>HYPERLINK("https://knigipp.ru/api/getInfo/item/3fa87e2d-1f57-11ef-a25f-00155d82e908")</f>
        <v>https://knigipp.ru/api/getInfo/item/3fa87e2d-1f57-11ef-a25f-00155d82e908</v>
      </c>
      <c r="AL882" s="3" t="s">
        <v>3808</v>
      </c>
    </row>
    <row r="883" spans="1:38" ht="23.1" customHeight="1" outlineLevel="3" x14ac:dyDescent="0.2">
      <c r="A883" s="48" t="s">
        <v>3823</v>
      </c>
      <c r="B883" s="48"/>
      <c r="C883" s="48"/>
      <c r="D883" s="48"/>
      <c r="E883" s="48"/>
      <c r="F883" s="48"/>
    </row>
    <row r="884" spans="1:38" ht="21" customHeight="1" outlineLevel="4" x14ac:dyDescent="0.2">
      <c r="A884" s="2">
        <v>653</v>
      </c>
      <c r="B884" s="3" t="s">
        <v>3824</v>
      </c>
      <c r="C884" s="49" t="s">
        <v>3825</v>
      </c>
      <c r="D884" s="49"/>
      <c r="E884" s="49"/>
      <c r="F884" s="49"/>
      <c r="G884" s="4" t="s">
        <v>3826</v>
      </c>
      <c r="H884" s="8"/>
      <c r="I884" s="9" t="s">
        <v>3827</v>
      </c>
      <c r="J884" s="10"/>
      <c r="K884" s="11">
        <v>30</v>
      </c>
      <c r="L884" s="10"/>
      <c r="M884" s="10" t="s">
        <v>47</v>
      </c>
      <c r="N884" s="10"/>
      <c r="O884" s="2">
        <v>4</v>
      </c>
      <c r="P884" s="17">
        <f>157*(1-S3/100)</f>
        <v>157</v>
      </c>
      <c r="Q884" s="18"/>
      <c r="R884" s="10">
        <f>P884*Q884</f>
        <v>0</v>
      </c>
      <c r="S884" s="19">
        <f>0.083*Q884</f>
        <v>0</v>
      </c>
      <c r="T884" s="20">
        <f>0.00035*Q884</f>
        <v>0</v>
      </c>
      <c r="U884" s="21"/>
      <c r="V884" s="22" t="s">
        <v>3828</v>
      </c>
      <c r="W884" s="22" t="s">
        <v>191</v>
      </c>
      <c r="X884" s="3"/>
      <c r="Y884" s="3" t="s">
        <v>3829</v>
      </c>
      <c r="Z884" s="3" t="s">
        <v>52</v>
      </c>
      <c r="AA884" s="3"/>
      <c r="AB884" s="3"/>
      <c r="AC884" s="3" t="str">
        <f>HYPERLINK("https://knigipp.ru/api/getInfo/image/d10827f5-563a-11f0-a27f-00155d82e908")</f>
        <v>https://knigipp.ru/api/getInfo/image/d10827f5-563a-11f0-a27f-00155d82e908</v>
      </c>
      <c r="AD884" s="32">
        <v>64</v>
      </c>
      <c r="AE884" s="3" t="s">
        <v>54</v>
      </c>
      <c r="AF884" s="3" t="s">
        <v>136</v>
      </c>
      <c r="AG884" s="3"/>
      <c r="AH884" s="3" t="s">
        <v>56</v>
      </c>
      <c r="AI884" s="3"/>
      <c r="AJ884" s="3"/>
      <c r="AK884" s="3" t="str">
        <f>HYPERLINK("https://knigipp.ru/api/getInfo/item/d10827f5-563a-11f0-a27f-00155d82e908")</f>
        <v>https://knigipp.ru/api/getInfo/item/d10827f5-563a-11f0-a27f-00155d82e908</v>
      </c>
      <c r="AL884" s="3" t="s">
        <v>3551</v>
      </c>
    </row>
    <row r="885" spans="1:38" ht="21" customHeight="1" outlineLevel="4" x14ac:dyDescent="0.2">
      <c r="A885" s="2">
        <v>654</v>
      </c>
      <c r="B885" s="3" t="s">
        <v>3830</v>
      </c>
      <c r="C885" s="49" t="s">
        <v>3831</v>
      </c>
      <c r="D885" s="49"/>
      <c r="E885" s="49"/>
      <c r="F885" s="49"/>
      <c r="G885" s="4" t="s">
        <v>3832</v>
      </c>
      <c r="H885" s="8"/>
      <c r="I885" s="9" t="s">
        <v>3827</v>
      </c>
      <c r="J885" s="10"/>
      <c r="K885" s="11">
        <v>30</v>
      </c>
      <c r="L885" s="10"/>
      <c r="M885" s="10" t="s">
        <v>47</v>
      </c>
      <c r="N885" s="10"/>
      <c r="O885" s="2">
        <v>4</v>
      </c>
      <c r="P885" s="17">
        <f>157*(1-S3/100)</f>
        <v>157</v>
      </c>
      <c r="Q885" s="18"/>
      <c r="R885" s="10">
        <f>P885*Q885</f>
        <v>0</v>
      </c>
      <c r="S885" s="19">
        <f>0.082*Q885</f>
        <v>0</v>
      </c>
      <c r="T885" s="20">
        <f>0.00018*Q885</f>
        <v>0</v>
      </c>
      <c r="U885" s="21"/>
      <c r="V885" s="22" t="s">
        <v>3833</v>
      </c>
      <c r="W885" s="22" t="s">
        <v>191</v>
      </c>
      <c r="X885" s="3"/>
      <c r="Y885" s="3" t="s">
        <v>3834</v>
      </c>
      <c r="Z885" s="3" t="s">
        <v>52</v>
      </c>
      <c r="AA885" s="3"/>
      <c r="AB885" s="3"/>
      <c r="AC885" s="3" t="str">
        <f>HYPERLINK("https://knigipp.ru/api/getInfo/image/0281a3c2-563b-11f0-a27f-00155d82e908")</f>
        <v>https://knigipp.ru/api/getInfo/image/0281a3c2-563b-11f0-a27f-00155d82e908</v>
      </c>
      <c r="AD885" s="32">
        <v>64</v>
      </c>
      <c r="AE885" s="3" t="s">
        <v>54</v>
      </c>
      <c r="AF885" s="3" t="s">
        <v>136</v>
      </c>
      <c r="AG885" s="3"/>
      <c r="AH885" s="3" t="s">
        <v>56</v>
      </c>
      <c r="AI885" s="3"/>
      <c r="AJ885" s="3"/>
      <c r="AK885" s="3" t="str">
        <f>HYPERLINK("https://knigipp.ru/api/getInfo/item/0281a3c2-563b-11f0-a27f-00155d82e908")</f>
        <v>https://knigipp.ru/api/getInfo/item/0281a3c2-563b-11f0-a27f-00155d82e908</v>
      </c>
      <c r="AL885" s="3" t="s">
        <v>3551</v>
      </c>
    </row>
    <row r="886" spans="1:38" ht="21" customHeight="1" outlineLevel="4" x14ac:dyDescent="0.2">
      <c r="A886" s="2">
        <v>655</v>
      </c>
      <c r="B886" s="3" t="s">
        <v>3835</v>
      </c>
      <c r="C886" s="49" t="s">
        <v>3836</v>
      </c>
      <c r="D886" s="49"/>
      <c r="E886" s="49"/>
      <c r="F886" s="49"/>
      <c r="G886" s="4" t="s">
        <v>3837</v>
      </c>
      <c r="H886" s="8"/>
      <c r="I886" s="9" t="s">
        <v>3827</v>
      </c>
      <c r="J886" s="10"/>
      <c r="K886" s="11">
        <v>30</v>
      </c>
      <c r="L886" s="10"/>
      <c r="M886" s="10" t="s">
        <v>47</v>
      </c>
      <c r="N886" s="10"/>
      <c r="O886" s="2">
        <v>4</v>
      </c>
      <c r="P886" s="17">
        <f>157*(1-S3/100)</f>
        <v>157</v>
      </c>
      <c r="Q886" s="18"/>
      <c r="R886" s="10">
        <f>P886*Q886</f>
        <v>0</v>
      </c>
      <c r="S886" s="28">
        <f>0.08*Q886</f>
        <v>0</v>
      </c>
      <c r="T886" s="20">
        <f>0.00017*Q886</f>
        <v>0</v>
      </c>
      <c r="U886" s="21"/>
      <c r="V886" s="22" t="s">
        <v>3838</v>
      </c>
      <c r="W886" s="22" t="s">
        <v>191</v>
      </c>
      <c r="X886" s="3"/>
      <c r="Y886" s="3" t="s">
        <v>3839</v>
      </c>
      <c r="Z886" s="3" t="s">
        <v>52</v>
      </c>
      <c r="AA886" s="3"/>
      <c r="AB886" s="3"/>
      <c r="AC886" s="3" t="str">
        <f>HYPERLINK("https://knigipp.ru/api/getInfo/image/7b5a2ffc-25c9-11f0-a279-00155d82e908")</f>
        <v>https://knigipp.ru/api/getInfo/image/7b5a2ffc-25c9-11f0-a279-00155d82e908</v>
      </c>
      <c r="AD886" s="32">
        <v>64</v>
      </c>
      <c r="AE886" s="3" t="s">
        <v>54</v>
      </c>
      <c r="AF886" s="3" t="s">
        <v>136</v>
      </c>
      <c r="AG886" s="3"/>
      <c r="AH886" s="3" t="s">
        <v>56</v>
      </c>
      <c r="AI886" s="3"/>
      <c r="AJ886" s="3"/>
      <c r="AK886" s="3" t="str">
        <f>HYPERLINK("https://knigipp.ru/api/getInfo/item/7b5a2ffc-25c9-11f0-a279-00155d82e908")</f>
        <v>https://knigipp.ru/api/getInfo/item/7b5a2ffc-25c9-11f0-a279-00155d82e908</v>
      </c>
      <c r="AL886" s="3" t="s">
        <v>1385</v>
      </c>
    </row>
    <row r="887" spans="1:38" ht="21" customHeight="1" outlineLevel="4" x14ac:dyDescent="0.2">
      <c r="A887" s="2">
        <v>656</v>
      </c>
      <c r="B887" s="3" t="s">
        <v>3840</v>
      </c>
      <c r="C887" s="49" t="s">
        <v>3841</v>
      </c>
      <c r="D887" s="49"/>
      <c r="E887" s="49"/>
      <c r="F887" s="49"/>
      <c r="G887" s="4" t="s">
        <v>3842</v>
      </c>
      <c r="H887" s="8"/>
      <c r="I887" s="9" t="s">
        <v>3827</v>
      </c>
      <c r="J887" s="10"/>
      <c r="K887" s="11">
        <v>30</v>
      </c>
      <c r="L887" s="10"/>
      <c r="M887" s="10" t="s">
        <v>47</v>
      </c>
      <c r="N887" s="10"/>
      <c r="O887" s="2">
        <v>4</v>
      </c>
      <c r="P887" s="17">
        <f>157*(1-S3/100)</f>
        <v>157</v>
      </c>
      <c r="Q887" s="18"/>
      <c r="R887" s="10">
        <f>P887*Q887</f>
        <v>0</v>
      </c>
      <c r="S887" s="19">
        <f>0.079*Q887</f>
        <v>0</v>
      </c>
      <c r="T887" s="20">
        <f>0.00029*Q887</f>
        <v>0</v>
      </c>
      <c r="U887" s="21"/>
      <c r="V887" s="22" t="s">
        <v>3843</v>
      </c>
      <c r="W887" s="22" t="s">
        <v>191</v>
      </c>
      <c r="X887" s="3"/>
      <c r="Y887" s="3" t="s">
        <v>3844</v>
      </c>
      <c r="Z887" s="3" t="s">
        <v>52</v>
      </c>
      <c r="AA887" s="3"/>
      <c r="AB887" s="3"/>
      <c r="AC887" s="3" t="str">
        <f>HYPERLINK("https://knigipp.ru/api/getInfo/image/9dbfa250-25c9-11f0-a279-00155d82e908")</f>
        <v>https://knigipp.ru/api/getInfo/image/9dbfa250-25c9-11f0-a279-00155d82e908</v>
      </c>
      <c r="AD887" s="32">
        <v>64</v>
      </c>
      <c r="AE887" s="3" t="s">
        <v>54</v>
      </c>
      <c r="AF887" s="3" t="s">
        <v>136</v>
      </c>
      <c r="AG887" s="3"/>
      <c r="AH887" s="3" t="s">
        <v>56</v>
      </c>
      <c r="AI887" s="3"/>
      <c r="AJ887" s="3"/>
      <c r="AK887" s="3" t="str">
        <f>HYPERLINK("https://knigipp.ru/api/getInfo/item/9dbfa250-25c9-11f0-a279-00155d82e908")</f>
        <v>https://knigipp.ru/api/getInfo/item/9dbfa250-25c9-11f0-a279-00155d82e908</v>
      </c>
      <c r="AL887" s="3" t="s">
        <v>1385</v>
      </c>
    </row>
    <row r="888" spans="1:38" ht="23.1" customHeight="1" outlineLevel="3" x14ac:dyDescent="0.2">
      <c r="A888" s="48" t="s">
        <v>3845</v>
      </c>
      <c r="B888" s="48"/>
      <c r="C888" s="48"/>
      <c r="D888" s="48"/>
      <c r="E888" s="48"/>
      <c r="F888" s="48"/>
    </row>
    <row r="889" spans="1:38" ht="21" customHeight="1" outlineLevel="4" x14ac:dyDescent="0.2">
      <c r="A889" s="2">
        <v>657</v>
      </c>
      <c r="B889" s="3" t="s">
        <v>3846</v>
      </c>
      <c r="C889" s="49" t="s">
        <v>3847</v>
      </c>
      <c r="D889" s="49"/>
      <c r="E889" s="49"/>
      <c r="F889" s="49"/>
      <c r="G889" s="4" t="s">
        <v>3848</v>
      </c>
      <c r="H889" s="8"/>
      <c r="I889" s="9" t="s">
        <v>3849</v>
      </c>
      <c r="J889" s="10"/>
      <c r="K889" s="11">
        <v>20</v>
      </c>
      <c r="L889" s="10"/>
      <c r="M889" s="10" t="s">
        <v>47</v>
      </c>
      <c r="N889" s="10"/>
      <c r="O889" s="2">
        <v>10</v>
      </c>
      <c r="P889" s="17">
        <f>76*(1-S3/100)</f>
        <v>76</v>
      </c>
      <c r="Q889" s="18"/>
      <c r="R889" s="10">
        <f>P889*Q889</f>
        <v>0</v>
      </c>
      <c r="S889" s="19">
        <f>0.076*Q889</f>
        <v>0</v>
      </c>
      <c r="T889" s="30">
        <f>0.0003*Q889</f>
        <v>0</v>
      </c>
      <c r="U889" s="21"/>
      <c r="V889" s="22" t="s">
        <v>3850</v>
      </c>
      <c r="W889" s="22" t="s">
        <v>191</v>
      </c>
      <c r="X889" s="3"/>
      <c r="Y889" s="3"/>
      <c r="Z889" s="3" t="s">
        <v>52</v>
      </c>
      <c r="AA889" s="3"/>
      <c r="AB889" s="3"/>
      <c r="AC889" s="3" t="str">
        <f>HYPERLINK("https://knigipp.ru/api/getInfo/image/c0ddc1b7-6120-11ee-a245-00155d82e902")</f>
        <v>https://knigipp.ru/api/getInfo/image/c0ddc1b7-6120-11ee-a245-00155d82e902</v>
      </c>
      <c r="AD889" s="32">
        <v>32</v>
      </c>
      <c r="AE889" s="3" t="s">
        <v>54</v>
      </c>
      <c r="AF889" s="3" t="s">
        <v>136</v>
      </c>
      <c r="AG889" s="3"/>
      <c r="AH889" s="3" t="s">
        <v>56</v>
      </c>
      <c r="AI889" s="3"/>
      <c r="AJ889" s="3"/>
      <c r="AK889" s="3" t="str">
        <f>HYPERLINK("https://knigipp.ru/api/getInfo/item/c0ddc1b7-6120-11ee-a245-00155d82e902")</f>
        <v>https://knigipp.ru/api/getInfo/item/c0ddc1b7-6120-11ee-a245-00155d82e902</v>
      </c>
      <c r="AL889" s="3" t="s">
        <v>3851</v>
      </c>
    </row>
    <row r="890" spans="1:38" ht="21" customHeight="1" outlineLevel="4" x14ac:dyDescent="0.2">
      <c r="A890" s="2">
        <v>658</v>
      </c>
      <c r="B890" s="3" t="s">
        <v>3852</v>
      </c>
      <c r="C890" s="49" t="s">
        <v>3853</v>
      </c>
      <c r="D890" s="49"/>
      <c r="E890" s="49"/>
      <c r="F890" s="49"/>
      <c r="G890" s="4" t="s">
        <v>3854</v>
      </c>
      <c r="H890" s="8"/>
      <c r="I890" s="9" t="s">
        <v>3849</v>
      </c>
      <c r="J890" s="10"/>
      <c r="K890" s="11">
        <v>20</v>
      </c>
      <c r="L890" s="10"/>
      <c r="M890" s="10" t="s">
        <v>78</v>
      </c>
      <c r="N890" s="10"/>
      <c r="O890" s="2">
        <v>10</v>
      </c>
      <c r="P890" s="17">
        <f>76*(1-S3/100)</f>
        <v>76</v>
      </c>
      <c r="Q890" s="18"/>
      <c r="R890" s="10">
        <f>P890*Q890</f>
        <v>0</v>
      </c>
      <c r="S890" s="28">
        <f>0.06*Q890</f>
        <v>0</v>
      </c>
      <c r="T890" s="20">
        <f>0.00017*Q890</f>
        <v>0</v>
      </c>
      <c r="U890" s="21"/>
      <c r="V890" s="22" t="s">
        <v>3855</v>
      </c>
      <c r="W890" s="22" t="s">
        <v>191</v>
      </c>
      <c r="X890" s="3"/>
      <c r="Y890" s="3"/>
      <c r="Z890" s="3" t="s">
        <v>52</v>
      </c>
      <c r="AA890" s="3"/>
      <c r="AB890" s="3"/>
      <c r="AC890" s="3" t="str">
        <f>HYPERLINK("https://knigipp.ru/api/getInfo/image/947db392-6120-11ee-a245-00155d82e902")</f>
        <v>https://knigipp.ru/api/getInfo/image/947db392-6120-11ee-a245-00155d82e902</v>
      </c>
      <c r="AD890" s="32">
        <v>32</v>
      </c>
      <c r="AE890" s="3" t="s">
        <v>54</v>
      </c>
      <c r="AF890" s="3" t="s">
        <v>136</v>
      </c>
      <c r="AG890" s="3"/>
      <c r="AH890" s="3" t="s">
        <v>56</v>
      </c>
      <c r="AI890" s="3"/>
      <c r="AJ890" s="3"/>
      <c r="AK890" s="3" t="str">
        <f>HYPERLINK("https://knigipp.ru/api/getInfo/item/947db392-6120-11ee-a245-00155d82e902")</f>
        <v>https://knigipp.ru/api/getInfo/item/947db392-6120-11ee-a245-00155d82e902</v>
      </c>
      <c r="AL890" s="3" t="s">
        <v>3851</v>
      </c>
    </row>
    <row r="891" spans="1:38" ht="21" customHeight="1" outlineLevel="4" x14ac:dyDescent="0.2">
      <c r="A891" s="2">
        <v>659</v>
      </c>
      <c r="B891" s="3" t="s">
        <v>3856</v>
      </c>
      <c r="C891" s="49" t="s">
        <v>3857</v>
      </c>
      <c r="D891" s="49"/>
      <c r="E891" s="49"/>
      <c r="F891" s="49"/>
      <c r="G891" s="4" t="s">
        <v>3858</v>
      </c>
      <c r="H891" s="8"/>
      <c r="I891" s="9" t="s">
        <v>3849</v>
      </c>
      <c r="J891" s="10"/>
      <c r="K891" s="11">
        <v>20</v>
      </c>
      <c r="L891" s="10"/>
      <c r="M891" s="10" t="s">
        <v>47</v>
      </c>
      <c r="N891" s="10"/>
      <c r="O891" s="2">
        <v>10</v>
      </c>
      <c r="P891" s="17">
        <f>76*(1-S3/100)</f>
        <v>76</v>
      </c>
      <c r="Q891" s="18"/>
      <c r="R891" s="10">
        <f>P891*Q891</f>
        <v>0</v>
      </c>
      <c r="S891" s="19">
        <f>0.082*Q891</f>
        <v>0</v>
      </c>
      <c r="T891" s="20">
        <f>0.00018*Q891</f>
        <v>0</v>
      </c>
      <c r="U891" s="21"/>
      <c r="V891" s="22" t="s">
        <v>3859</v>
      </c>
      <c r="W891" s="22" t="s">
        <v>191</v>
      </c>
      <c r="X891" s="3"/>
      <c r="Y891" s="3"/>
      <c r="Z891" s="3" t="s">
        <v>52</v>
      </c>
      <c r="AA891" s="3"/>
      <c r="AB891" s="3"/>
      <c r="AC891" s="3" t="str">
        <f>HYPERLINK("https://knigipp.ru/api/getInfo/image/e48baf6b-6120-11ee-a245-00155d82e902")</f>
        <v>https://knigipp.ru/api/getInfo/image/e48baf6b-6120-11ee-a245-00155d82e902</v>
      </c>
      <c r="AD891" s="32">
        <v>32</v>
      </c>
      <c r="AE891" s="3" t="s">
        <v>54</v>
      </c>
      <c r="AF891" s="3" t="s">
        <v>136</v>
      </c>
      <c r="AG891" s="3"/>
      <c r="AH891" s="3" t="s">
        <v>56</v>
      </c>
      <c r="AI891" s="3"/>
      <c r="AJ891" s="3"/>
      <c r="AK891" s="3" t="str">
        <f>HYPERLINK("https://knigipp.ru/api/getInfo/item/e48baf6b-6120-11ee-a245-00155d82e902")</f>
        <v>https://knigipp.ru/api/getInfo/item/e48baf6b-6120-11ee-a245-00155d82e902</v>
      </c>
      <c r="AL891" s="3" t="s">
        <v>3851</v>
      </c>
    </row>
    <row r="892" spans="1:38" ht="23.1" customHeight="1" outlineLevel="3" x14ac:dyDescent="0.2">
      <c r="A892" s="48" t="s">
        <v>3860</v>
      </c>
      <c r="B892" s="48"/>
      <c r="C892" s="48"/>
      <c r="D892" s="48"/>
      <c r="E892" s="48"/>
      <c r="F892" s="48"/>
    </row>
    <row r="893" spans="1:38" ht="21" customHeight="1" outlineLevel="4" x14ac:dyDescent="0.2">
      <c r="A893" s="2">
        <v>660</v>
      </c>
      <c r="B893" s="3" t="s">
        <v>3861</v>
      </c>
      <c r="C893" s="49" t="s">
        <v>3862</v>
      </c>
      <c r="D893" s="49"/>
      <c r="E893" s="49"/>
      <c r="F893" s="49"/>
      <c r="G893" s="4" t="s">
        <v>3863</v>
      </c>
      <c r="H893" s="8"/>
      <c r="I893" s="9" t="s">
        <v>3864</v>
      </c>
      <c r="J893" s="10"/>
      <c r="K893" s="11">
        <v>20</v>
      </c>
      <c r="L893" s="10"/>
      <c r="M893" s="10" t="s">
        <v>47</v>
      </c>
      <c r="N893" s="10"/>
      <c r="O893" s="2">
        <v>2</v>
      </c>
      <c r="P893" s="17">
        <f>318*(1-S3/100)</f>
        <v>318</v>
      </c>
      <c r="Q893" s="18"/>
      <c r="R893" s="10">
        <f t="shared" ref="R893:R899" si="36">P893*Q893</f>
        <v>0</v>
      </c>
      <c r="S893" s="19">
        <f>0.352*Q893</f>
        <v>0</v>
      </c>
      <c r="T893" s="20">
        <f>0.00077*Q893</f>
        <v>0</v>
      </c>
      <c r="U893" s="21"/>
      <c r="V893" s="22" t="s">
        <v>3865</v>
      </c>
      <c r="W893" s="22" t="s">
        <v>191</v>
      </c>
      <c r="X893" s="3"/>
      <c r="Y893" s="3"/>
      <c r="Z893" s="3" t="s">
        <v>52</v>
      </c>
      <c r="AA893" s="3"/>
      <c r="AB893" s="3"/>
      <c r="AC893" s="3" t="str">
        <f>HYPERLINK("https://knigipp.ru/api/getInfo/image/8147bd3b-d7d0-11ee-a25a-00155d82e908")</f>
        <v>https://knigipp.ru/api/getInfo/image/8147bd3b-d7d0-11ee-a25a-00155d82e908</v>
      </c>
      <c r="AD893" s="32">
        <v>288</v>
      </c>
      <c r="AE893" s="3" t="s">
        <v>740</v>
      </c>
      <c r="AF893" s="3" t="s">
        <v>127</v>
      </c>
      <c r="AG893" s="3"/>
      <c r="AH893" s="3" t="s">
        <v>56</v>
      </c>
      <c r="AI893" s="3"/>
      <c r="AJ893" s="3"/>
      <c r="AK893" s="3" t="str">
        <f>HYPERLINK("https://knigipp.ru/api/getInfo/item/8147bd3b-d7d0-11ee-a25a-00155d82e908")</f>
        <v>https://knigipp.ru/api/getInfo/item/8147bd3b-d7d0-11ee-a25a-00155d82e908</v>
      </c>
      <c r="AL893" s="3" t="s">
        <v>3866</v>
      </c>
    </row>
    <row r="894" spans="1:38" ht="21" customHeight="1" outlineLevel="4" x14ac:dyDescent="0.2">
      <c r="A894" s="2">
        <v>661</v>
      </c>
      <c r="B894" s="3" t="s">
        <v>3867</v>
      </c>
      <c r="C894" s="49" t="s">
        <v>3868</v>
      </c>
      <c r="D894" s="49"/>
      <c r="E894" s="49"/>
      <c r="F894" s="49"/>
      <c r="G894" s="4" t="s">
        <v>3869</v>
      </c>
      <c r="H894" s="8"/>
      <c r="I894" s="9" t="s">
        <v>3870</v>
      </c>
      <c r="J894" s="10"/>
      <c r="K894" s="11">
        <v>30</v>
      </c>
      <c r="L894" s="10"/>
      <c r="M894" s="10" t="s">
        <v>47</v>
      </c>
      <c r="N894" s="10"/>
      <c r="O894" s="2">
        <v>2</v>
      </c>
      <c r="P894" s="17">
        <f>318*(1-S3/100)</f>
        <v>318</v>
      </c>
      <c r="Q894" s="18"/>
      <c r="R894" s="10">
        <f t="shared" si="36"/>
        <v>0</v>
      </c>
      <c r="S894" s="19">
        <f>0.358*Q894</f>
        <v>0</v>
      </c>
      <c r="T894" s="20">
        <f>0.00066*Q894</f>
        <v>0</v>
      </c>
      <c r="U894" s="21"/>
      <c r="V894" s="22" t="s">
        <v>3871</v>
      </c>
      <c r="W894" s="22" t="s">
        <v>191</v>
      </c>
      <c r="X894" s="3"/>
      <c r="Y894" s="3" t="s">
        <v>3872</v>
      </c>
      <c r="Z894" s="3" t="s">
        <v>52</v>
      </c>
      <c r="AA894" s="3" t="s">
        <v>1611</v>
      </c>
      <c r="AB894" s="3"/>
      <c r="AC894" s="3" t="str">
        <f>HYPERLINK("https://knigipp.ru/api/getInfo/image/7e1bdf7e-977d-11ef-a267-00155d82e908")</f>
        <v>https://knigipp.ru/api/getInfo/image/7e1bdf7e-977d-11ef-a267-00155d82e908</v>
      </c>
      <c r="AD894" s="32">
        <v>288</v>
      </c>
      <c r="AE894" s="3" t="s">
        <v>740</v>
      </c>
      <c r="AF894" s="3" t="s">
        <v>127</v>
      </c>
      <c r="AG894" s="3"/>
      <c r="AH894" s="3" t="s">
        <v>56</v>
      </c>
      <c r="AI894" s="3"/>
      <c r="AJ894" s="3"/>
      <c r="AK894" s="3" t="str">
        <f>HYPERLINK("https://knigipp.ru/api/getInfo/item/7e1bdf7e-977d-11ef-a267-00155d82e908")</f>
        <v>https://knigipp.ru/api/getInfo/item/7e1bdf7e-977d-11ef-a267-00155d82e908</v>
      </c>
      <c r="AL894" s="3" t="s">
        <v>3866</v>
      </c>
    </row>
    <row r="895" spans="1:38" ht="21" customHeight="1" outlineLevel="4" x14ac:dyDescent="0.2">
      <c r="A895" s="2">
        <v>662</v>
      </c>
      <c r="B895" s="3" t="s">
        <v>3873</v>
      </c>
      <c r="C895" s="49" t="s">
        <v>3874</v>
      </c>
      <c r="D895" s="49"/>
      <c r="E895" s="49"/>
      <c r="F895" s="49"/>
      <c r="G895" s="4" t="s">
        <v>3875</v>
      </c>
      <c r="H895" s="8"/>
      <c r="I895" s="9" t="s">
        <v>3864</v>
      </c>
      <c r="J895" s="10"/>
      <c r="K895" s="11">
        <v>20</v>
      </c>
      <c r="L895" s="10"/>
      <c r="M895" s="10" t="s">
        <v>47</v>
      </c>
      <c r="N895" s="10"/>
      <c r="O895" s="2">
        <v>2</v>
      </c>
      <c r="P895" s="17">
        <f>318*(1-S3/100)</f>
        <v>318</v>
      </c>
      <c r="Q895" s="18"/>
      <c r="R895" s="10">
        <f t="shared" si="36"/>
        <v>0</v>
      </c>
      <c r="S895" s="19">
        <f>0.352*Q895</f>
        <v>0</v>
      </c>
      <c r="T895" s="20">
        <f>0.00057*Q895</f>
        <v>0</v>
      </c>
      <c r="U895" s="21"/>
      <c r="V895" s="22" t="s">
        <v>3876</v>
      </c>
      <c r="W895" s="22" t="s">
        <v>191</v>
      </c>
      <c r="X895" s="3"/>
      <c r="Y895" s="3" t="s">
        <v>3877</v>
      </c>
      <c r="Z895" s="3" t="s">
        <v>52</v>
      </c>
      <c r="AA895" s="3"/>
      <c r="AB895" s="3"/>
      <c r="AC895" s="3" t="str">
        <f>HYPERLINK("https://knigipp.ru/api/getInfo/image/ffb076af-27c1-11ee-a23d-00155d82e902")</f>
        <v>https://knigipp.ru/api/getInfo/image/ffb076af-27c1-11ee-a23d-00155d82e902</v>
      </c>
      <c r="AD895" s="32">
        <v>288</v>
      </c>
      <c r="AE895" s="3" t="s">
        <v>740</v>
      </c>
      <c r="AF895" s="3" t="s">
        <v>127</v>
      </c>
      <c r="AG895" s="3"/>
      <c r="AH895" s="3" t="s">
        <v>56</v>
      </c>
      <c r="AI895" s="3"/>
      <c r="AJ895" s="3"/>
      <c r="AK895" s="3" t="str">
        <f>HYPERLINK("https://knigipp.ru/api/getInfo/item/ffb076af-27c1-11ee-a23d-00155d82e902")</f>
        <v>https://knigipp.ru/api/getInfo/item/ffb076af-27c1-11ee-a23d-00155d82e902</v>
      </c>
      <c r="AL895" s="3" t="s">
        <v>3866</v>
      </c>
    </row>
    <row r="896" spans="1:38" ht="21" customHeight="1" outlineLevel="4" x14ac:dyDescent="0.2">
      <c r="A896" s="2">
        <v>663</v>
      </c>
      <c r="B896" s="3" t="s">
        <v>3878</v>
      </c>
      <c r="C896" s="49" t="s">
        <v>3879</v>
      </c>
      <c r="D896" s="49"/>
      <c r="E896" s="49"/>
      <c r="F896" s="49"/>
      <c r="G896" s="4" t="s">
        <v>3880</v>
      </c>
      <c r="H896" s="8"/>
      <c r="I896" s="9" t="s">
        <v>3870</v>
      </c>
      <c r="J896" s="10"/>
      <c r="K896" s="11">
        <v>20</v>
      </c>
      <c r="L896" s="10"/>
      <c r="M896" s="10" t="s">
        <v>47</v>
      </c>
      <c r="N896" s="10"/>
      <c r="O896" s="2">
        <v>2</v>
      </c>
      <c r="P896" s="17">
        <f>318*(1-S3/100)</f>
        <v>318</v>
      </c>
      <c r="Q896" s="18"/>
      <c r="R896" s="10">
        <f t="shared" si="36"/>
        <v>0</v>
      </c>
      <c r="S896" s="19">
        <f>0.367*Q896</f>
        <v>0</v>
      </c>
      <c r="T896" s="20">
        <f>0.00066*Q896</f>
        <v>0</v>
      </c>
      <c r="U896" s="21"/>
      <c r="V896" s="22" t="s">
        <v>3881</v>
      </c>
      <c r="W896" s="22" t="s">
        <v>191</v>
      </c>
      <c r="X896" s="3"/>
      <c r="Y896" s="3" t="s">
        <v>3882</v>
      </c>
      <c r="Z896" s="3" t="s">
        <v>52</v>
      </c>
      <c r="AA896" s="3"/>
      <c r="AB896" s="3"/>
      <c r="AC896" s="3" t="str">
        <f>HYPERLINK("https://knigipp.ru/api/getInfo/image/67586e10-2a47-11ef-a261-00155d82e908")</f>
        <v>https://knigipp.ru/api/getInfo/image/67586e10-2a47-11ef-a261-00155d82e908</v>
      </c>
      <c r="AD896" s="32">
        <v>288</v>
      </c>
      <c r="AE896" s="3" t="s">
        <v>740</v>
      </c>
      <c r="AF896" s="3" t="s">
        <v>127</v>
      </c>
      <c r="AG896" s="3"/>
      <c r="AH896" s="3" t="s">
        <v>56</v>
      </c>
      <c r="AI896" s="3"/>
      <c r="AJ896" s="3"/>
      <c r="AK896" s="3" t="str">
        <f>HYPERLINK("https://knigipp.ru/api/getInfo/item/67586e10-2a47-11ef-a261-00155d82e908")</f>
        <v>https://knigipp.ru/api/getInfo/item/67586e10-2a47-11ef-a261-00155d82e908</v>
      </c>
      <c r="AL896" s="3" t="s">
        <v>3866</v>
      </c>
    </row>
    <row r="897" spans="1:38" ht="21" customHeight="1" outlineLevel="4" x14ac:dyDescent="0.2">
      <c r="A897" s="2">
        <v>664</v>
      </c>
      <c r="B897" s="3" t="s">
        <v>3883</v>
      </c>
      <c r="C897" s="49" t="s">
        <v>3884</v>
      </c>
      <c r="D897" s="49"/>
      <c r="E897" s="49"/>
      <c r="F897" s="49"/>
      <c r="G897" s="4" t="s">
        <v>3885</v>
      </c>
      <c r="H897" s="8"/>
      <c r="I897" s="9" t="s">
        <v>3864</v>
      </c>
      <c r="J897" s="10"/>
      <c r="K897" s="11">
        <v>20</v>
      </c>
      <c r="L897" s="10"/>
      <c r="M897" s="10" t="s">
        <v>47</v>
      </c>
      <c r="N897" s="10"/>
      <c r="O897" s="2">
        <v>2</v>
      </c>
      <c r="P897" s="17">
        <f>318*(1-S3/100)</f>
        <v>318</v>
      </c>
      <c r="Q897" s="18"/>
      <c r="R897" s="10">
        <f t="shared" si="36"/>
        <v>0</v>
      </c>
      <c r="S897" s="19">
        <f>0.361*Q897</f>
        <v>0</v>
      </c>
      <c r="T897" s="20">
        <f>0.00054*Q897</f>
        <v>0</v>
      </c>
      <c r="U897" s="21"/>
      <c r="V897" s="22" t="s">
        <v>3886</v>
      </c>
      <c r="W897" s="22" t="s">
        <v>191</v>
      </c>
      <c r="X897" s="3"/>
      <c r="Y897" s="3" t="s">
        <v>3887</v>
      </c>
      <c r="Z897" s="3" t="s">
        <v>52</v>
      </c>
      <c r="AA897" s="3"/>
      <c r="AB897" s="3"/>
      <c r="AC897" s="3" t="str">
        <f>HYPERLINK("https://knigipp.ru/api/getInfo/image/6cb6515b-27c0-11ee-a23d-00155d82e902")</f>
        <v>https://knigipp.ru/api/getInfo/image/6cb6515b-27c0-11ee-a23d-00155d82e902</v>
      </c>
      <c r="AD897" s="32">
        <v>288</v>
      </c>
      <c r="AE897" s="3" t="s">
        <v>740</v>
      </c>
      <c r="AF897" s="3" t="s">
        <v>127</v>
      </c>
      <c r="AG897" s="3"/>
      <c r="AH897" s="3" t="s">
        <v>56</v>
      </c>
      <c r="AI897" s="3"/>
      <c r="AJ897" s="3"/>
      <c r="AK897" s="3" t="str">
        <f>HYPERLINK("https://knigipp.ru/api/getInfo/item/6cb6515b-27c0-11ee-a23d-00155d82e902")</f>
        <v>https://knigipp.ru/api/getInfo/item/6cb6515b-27c0-11ee-a23d-00155d82e902</v>
      </c>
      <c r="AL897" s="3" t="s">
        <v>3866</v>
      </c>
    </row>
    <row r="898" spans="1:38" ht="21" customHeight="1" outlineLevel="4" x14ac:dyDescent="0.2">
      <c r="A898" s="2">
        <v>665</v>
      </c>
      <c r="B898" s="3" t="s">
        <v>3888</v>
      </c>
      <c r="C898" s="49" t="s">
        <v>3889</v>
      </c>
      <c r="D898" s="49"/>
      <c r="E898" s="49"/>
      <c r="F898" s="49"/>
      <c r="G898" s="4" t="s">
        <v>3890</v>
      </c>
      <c r="H898" s="8"/>
      <c r="I898" s="9" t="s">
        <v>3864</v>
      </c>
      <c r="J898" s="10"/>
      <c r="K898" s="11">
        <v>30</v>
      </c>
      <c r="L898" s="10"/>
      <c r="M898" s="10" t="s">
        <v>47</v>
      </c>
      <c r="N898" s="10"/>
      <c r="O898" s="2">
        <v>2</v>
      </c>
      <c r="P898" s="17">
        <f>318*(1-S3/100)</f>
        <v>318</v>
      </c>
      <c r="Q898" s="18"/>
      <c r="R898" s="10">
        <f t="shared" si="36"/>
        <v>0</v>
      </c>
      <c r="S898" s="19">
        <f>0.356*Q898</f>
        <v>0</v>
      </c>
      <c r="T898" s="30">
        <f>0.0006*Q898</f>
        <v>0</v>
      </c>
      <c r="U898" s="21"/>
      <c r="V898" s="22" t="s">
        <v>3891</v>
      </c>
      <c r="W898" s="22" t="s">
        <v>191</v>
      </c>
      <c r="X898" s="3"/>
      <c r="Y898" s="3"/>
      <c r="Z898" s="3" t="s">
        <v>52</v>
      </c>
      <c r="AA898" s="3"/>
      <c r="AB898" s="3"/>
      <c r="AC898" s="3" t="str">
        <f>HYPERLINK("https://knigipp.ru/api/getInfo/image/a502bbd5-b3b0-11ee-a259-00155d82e908")</f>
        <v>https://knigipp.ru/api/getInfo/image/a502bbd5-b3b0-11ee-a259-00155d82e908</v>
      </c>
      <c r="AD898" s="32">
        <v>288</v>
      </c>
      <c r="AE898" s="3" t="s">
        <v>740</v>
      </c>
      <c r="AF898" s="3" t="s">
        <v>127</v>
      </c>
      <c r="AG898" s="3"/>
      <c r="AH898" s="3" t="s">
        <v>56</v>
      </c>
      <c r="AI898" s="3"/>
      <c r="AJ898" s="3"/>
      <c r="AK898" s="3" t="str">
        <f>HYPERLINK("https://knigipp.ru/api/getInfo/item/a502bbd5-b3b0-11ee-a259-00155d82e908")</f>
        <v>https://knigipp.ru/api/getInfo/item/a502bbd5-b3b0-11ee-a259-00155d82e908</v>
      </c>
      <c r="AL898" s="3" t="s">
        <v>3866</v>
      </c>
    </row>
    <row r="899" spans="1:38" ht="21" customHeight="1" outlineLevel="4" x14ac:dyDescent="0.2">
      <c r="A899" s="2">
        <v>666</v>
      </c>
      <c r="B899" s="3" t="s">
        <v>3892</v>
      </c>
      <c r="C899" s="49" t="s">
        <v>3893</v>
      </c>
      <c r="D899" s="49"/>
      <c r="E899" s="49"/>
      <c r="F899" s="49"/>
      <c r="G899" s="4" t="s">
        <v>3894</v>
      </c>
      <c r="H899" s="8"/>
      <c r="I899" s="9" t="s">
        <v>3870</v>
      </c>
      <c r="J899" s="10"/>
      <c r="K899" s="11">
        <v>30</v>
      </c>
      <c r="L899" s="10"/>
      <c r="M899" s="10" t="s">
        <v>47</v>
      </c>
      <c r="N899" s="10"/>
      <c r="O899" s="2">
        <v>2</v>
      </c>
      <c r="P899" s="17">
        <f>318*(1-S3/100)</f>
        <v>318</v>
      </c>
      <c r="Q899" s="18"/>
      <c r="R899" s="10">
        <f t="shared" si="36"/>
        <v>0</v>
      </c>
      <c r="S899" s="19">
        <f>0.361*Q899</f>
        <v>0</v>
      </c>
      <c r="T899" s="20">
        <f>0.00066*Q899</f>
        <v>0</v>
      </c>
      <c r="U899" s="21"/>
      <c r="V899" s="22" t="s">
        <v>3895</v>
      </c>
      <c r="W899" s="22" t="s">
        <v>191</v>
      </c>
      <c r="X899" s="3"/>
      <c r="Y899" s="3" t="s">
        <v>3896</v>
      </c>
      <c r="Z899" s="3" t="s">
        <v>52</v>
      </c>
      <c r="AA899" s="3"/>
      <c r="AB899" s="3"/>
      <c r="AC899" s="3" t="str">
        <f>HYPERLINK("https://knigipp.ru/api/getInfo/image/a9727ac2-977d-11ef-a267-00155d82e908")</f>
        <v>https://knigipp.ru/api/getInfo/image/a9727ac2-977d-11ef-a267-00155d82e908</v>
      </c>
      <c r="AD899" s="32">
        <v>288</v>
      </c>
      <c r="AE899" s="3" t="s">
        <v>740</v>
      </c>
      <c r="AF899" s="3" t="s">
        <v>127</v>
      </c>
      <c r="AG899" s="3"/>
      <c r="AH899" s="3" t="s">
        <v>56</v>
      </c>
      <c r="AI899" s="3"/>
      <c r="AJ899" s="3"/>
      <c r="AK899" s="3" t="str">
        <f>HYPERLINK("https://knigipp.ru/api/getInfo/item/a9727ac2-977d-11ef-a267-00155d82e908")</f>
        <v>https://knigipp.ru/api/getInfo/item/a9727ac2-977d-11ef-a267-00155d82e908</v>
      </c>
      <c r="AL899" s="3" t="s">
        <v>3866</v>
      </c>
    </row>
    <row r="900" spans="1:38" ht="23.1" customHeight="1" outlineLevel="3" x14ac:dyDescent="0.2">
      <c r="A900" s="48" t="s">
        <v>3897</v>
      </c>
      <c r="B900" s="48"/>
      <c r="C900" s="48"/>
      <c r="D900" s="48"/>
      <c r="E900" s="48"/>
      <c r="F900" s="48"/>
    </row>
    <row r="901" spans="1:38" ht="21" customHeight="1" outlineLevel="4" x14ac:dyDescent="0.2">
      <c r="A901" s="2">
        <v>667</v>
      </c>
      <c r="B901" s="3" t="s">
        <v>3898</v>
      </c>
      <c r="C901" s="49" t="s">
        <v>3899</v>
      </c>
      <c r="D901" s="49"/>
      <c r="E901" s="49"/>
      <c r="F901" s="49"/>
      <c r="G901" s="4" t="s">
        <v>3900</v>
      </c>
      <c r="H901" s="8"/>
      <c r="I901" s="9" t="s">
        <v>3870</v>
      </c>
      <c r="J901" s="10"/>
      <c r="K901" s="11">
        <v>20</v>
      </c>
      <c r="L901" s="10"/>
      <c r="M901" s="10" t="s">
        <v>304</v>
      </c>
      <c r="N901" s="10"/>
      <c r="O901" s="2">
        <v>3</v>
      </c>
      <c r="P901" s="17">
        <f>287*(1-S3/100)</f>
        <v>287</v>
      </c>
      <c r="Q901" s="18"/>
      <c r="R901" s="10">
        <f>P901*Q901</f>
        <v>0</v>
      </c>
      <c r="S901" s="19">
        <f>0.353*Q901</f>
        <v>0</v>
      </c>
      <c r="T901" s="20">
        <f>0.00063*Q901</f>
        <v>0</v>
      </c>
      <c r="U901" s="21"/>
      <c r="V901" s="22" t="s">
        <v>3901</v>
      </c>
      <c r="W901" s="22" t="s">
        <v>191</v>
      </c>
      <c r="X901" s="3"/>
      <c r="Y901" s="3"/>
      <c r="Z901" s="3" t="s">
        <v>52</v>
      </c>
      <c r="AA901" s="3"/>
      <c r="AB901" s="3"/>
      <c r="AC901" s="3" t="str">
        <f>HYPERLINK("https://knigipp.ru/api/getInfo/image/2cdd1450-9649-11ed-a22d-00155d82e902")</f>
        <v>https://knigipp.ru/api/getInfo/image/2cdd1450-9649-11ed-a22d-00155d82e902</v>
      </c>
      <c r="AD901" s="32">
        <v>288</v>
      </c>
      <c r="AE901" s="3" t="s">
        <v>740</v>
      </c>
      <c r="AF901" s="3" t="s">
        <v>127</v>
      </c>
      <c r="AG901" s="3"/>
      <c r="AH901" s="3" t="s">
        <v>56</v>
      </c>
      <c r="AI901" s="3"/>
      <c r="AJ901" s="3"/>
      <c r="AK901" s="3" t="str">
        <f>HYPERLINK("https://knigipp.ru/api/getInfo/item/2cdd1450-9649-11ed-a22d-00155d82e902")</f>
        <v>https://knigipp.ru/api/getInfo/item/2cdd1450-9649-11ed-a22d-00155d82e902</v>
      </c>
      <c r="AL901" s="3" t="s">
        <v>3902</v>
      </c>
    </row>
    <row r="902" spans="1:38" ht="21" customHeight="1" outlineLevel="4" x14ac:dyDescent="0.2">
      <c r="A902" s="2">
        <v>668</v>
      </c>
      <c r="B902" s="3" t="s">
        <v>3903</v>
      </c>
      <c r="C902" s="49" t="s">
        <v>3904</v>
      </c>
      <c r="D902" s="49"/>
      <c r="E902" s="49"/>
      <c r="F902" s="49"/>
      <c r="G902" s="4" t="s">
        <v>3905</v>
      </c>
      <c r="H902" s="8"/>
      <c r="I902" s="9" t="s">
        <v>3870</v>
      </c>
      <c r="J902" s="10"/>
      <c r="K902" s="11">
        <v>20</v>
      </c>
      <c r="L902" s="10"/>
      <c r="M902" s="10" t="s">
        <v>47</v>
      </c>
      <c r="N902" s="10"/>
      <c r="O902" s="2">
        <v>3</v>
      </c>
      <c r="P902" s="17">
        <f>287*(1-S3/100)</f>
        <v>287</v>
      </c>
      <c r="Q902" s="18"/>
      <c r="R902" s="10">
        <f>P902*Q902</f>
        <v>0</v>
      </c>
      <c r="S902" s="19">
        <f>0.446*Q902</f>
        <v>0</v>
      </c>
      <c r="T902" s="20">
        <f>0.00071*Q902</f>
        <v>0</v>
      </c>
      <c r="U902" s="21"/>
      <c r="V902" s="22" t="s">
        <v>3906</v>
      </c>
      <c r="W902" s="22" t="s">
        <v>191</v>
      </c>
      <c r="X902" s="3"/>
      <c r="Y902" s="3"/>
      <c r="Z902" s="3" t="s">
        <v>52</v>
      </c>
      <c r="AA902" s="3"/>
      <c r="AB902" s="3"/>
      <c r="AC902" s="3" t="str">
        <f>HYPERLINK("https://knigipp.ru/api/getInfo/image/085d5816-48e9-11ef-a262-00155d82e908")</f>
        <v>https://knigipp.ru/api/getInfo/image/085d5816-48e9-11ef-a262-00155d82e908</v>
      </c>
      <c r="AD902" s="32">
        <v>288</v>
      </c>
      <c r="AE902" s="3" t="s">
        <v>740</v>
      </c>
      <c r="AF902" s="3" t="s">
        <v>127</v>
      </c>
      <c r="AG902" s="3"/>
      <c r="AH902" s="3" t="s">
        <v>56</v>
      </c>
      <c r="AI902" s="3"/>
      <c r="AJ902" s="3"/>
      <c r="AK902" s="3" t="str">
        <f>HYPERLINK("https://knigipp.ru/api/getInfo/item/085d5816-48e9-11ef-a262-00155d82e908")</f>
        <v>https://knigipp.ru/api/getInfo/item/085d5816-48e9-11ef-a262-00155d82e908</v>
      </c>
      <c r="AL902" s="3" t="s">
        <v>3902</v>
      </c>
    </row>
    <row r="903" spans="1:38" ht="21" customHeight="1" outlineLevel="4" x14ac:dyDescent="0.2">
      <c r="A903" s="2">
        <v>669</v>
      </c>
      <c r="B903" s="3" t="s">
        <v>3907</v>
      </c>
      <c r="C903" s="49" t="s">
        <v>3908</v>
      </c>
      <c r="D903" s="49"/>
      <c r="E903" s="49"/>
      <c r="F903" s="49"/>
      <c r="G903" s="4" t="s">
        <v>3909</v>
      </c>
      <c r="H903" s="8"/>
      <c r="I903" s="9" t="s">
        <v>3870</v>
      </c>
      <c r="J903" s="10"/>
      <c r="K903" s="11">
        <v>20</v>
      </c>
      <c r="L903" s="10"/>
      <c r="M903" s="10" t="s">
        <v>47</v>
      </c>
      <c r="N903" s="10"/>
      <c r="O903" s="2">
        <v>3</v>
      </c>
      <c r="P903" s="17">
        <f>287*(1-S3/100)</f>
        <v>287</v>
      </c>
      <c r="Q903" s="18"/>
      <c r="R903" s="10">
        <f>P903*Q903</f>
        <v>0</v>
      </c>
      <c r="S903" s="19">
        <f>0.446*Q903</f>
        <v>0</v>
      </c>
      <c r="T903" s="20">
        <f>0.00071*Q903</f>
        <v>0</v>
      </c>
      <c r="U903" s="21"/>
      <c r="V903" s="22" t="s">
        <v>3910</v>
      </c>
      <c r="W903" s="22" t="s">
        <v>191</v>
      </c>
      <c r="X903" s="3"/>
      <c r="Y903" s="3"/>
      <c r="Z903" s="3" t="s">
        <v>52</v>
      </c>
      <c r="AA903" s="3"/>
      <c r="AB903" s="3"/>
      <c r="AC903" s="3" t="str">
        <f>HYPERLINK("https://knigipp.ru/api/getInfo/image/6a558c61-d7d3-11ee-a25a-00155d82e908")</f>
        <v>https://knigipp.ru/api/getInfo/image/6a558c61-d7d3-11ee-a25a-00155d82e908</v>
      </c>
      <c r="AD903" s="32">
        <v>288</v>
      </c>
      <c r="AE903" s="3" t="s">
        <v>740</v>
      </c>
      <c r="AF903" s="3" t="s">
        <v>127</v>
      </c>
      <c r="AG903" s="3"/>
      <c r="AH903" s="3" t="s">
        <v>56</v>
      </c>
      <c r="AI903" s="3"/>
      <c r="AJ903" s="3"/>
      <c r="AK903" s="3" t="str">
        <f>HYPERLINK("https://knigipp.ru/api/getInfo/item/6a558c61-d7d3-11ee-a25a-00155d82e908")</f>
        <v>https://knigipp.ru/api/getInfo/item/6a558c61-d7d3-11ee-a25a-00155d82e908</v>
      </c>
      <c r="AL903" s="3" t="s">
        <v>3902</v>
      </c>
    </row>
    <row r="904" spans="1:38" ht="21" customHeight="1" outlineLevel="4" x14ac:dyDescent="0.2">
      <c r="A904" s="2">
        <v>670</v>
      </c>
      <c r="B904" s="3" t="s">
        <v>3911</v>
      </c>
      <c r="C904" s="49" t="s">
        <v>3912</v>
      </c>
      <c r="D904" s="49"/>
      <c r="E904" s="49"/>
      <c r="F904" s="49"/>
      <c r="G904" s="4" t="s">
        <v>3913</v>
      </c>
      <c r="H904" s="8"/>
      <c r="I904" s="9" t="s">
        <v>3870</v>
      </c>
      <c r="J904" s="10"/>
      <c r="K904" s="11">
        <v>20</v>
      </c>
      <c r="L904" s="10"/>
      <c r="M904" s="10" t="s">
        <v>47</v>
      </c>
      <c r="N904" s="10"/>
      <c r="O904" s="2">
        <v>3</v>
      </c>
      <c r="P904" s="17">
        <f>287*(1-S3/100)</f>
        <v>287</v>
      </c>
      <c r="Q904" s="18"/>
      <c r="R904" s="10">
        <f>P904*Q904</f>
        <v>0</v>
      </c>
      <c r="S904" s="19">
        <f>0.359*Q904</f>
        <v>0</v>
      </c>
      <c r="T904" s="20">
        <f>0.00052*Q904</f>
        <v>0</v>
      </c>
      <c r="U904" s="21"/>
      <c r="V904" s="22" t="s">
        <v>3914</v>
      </c>
      <c r="W904" s="22" t="s">
        <v>191</v>
      </c>
      <c r="X904" s="3"/>
      <c r="Y904" s="3"/>
      <c r="Z904" s="3" t="s">
        <v>52</v>
      </c>
      <c r="AA904" s="3"/>
      <c r="AB904" s="3"/>
      <c r="AC904" s="3" t="str">
        <f>HYPERLINK("https://knigipp.ru/api/getInfo/image/7fe9f253-199b-11ee-a23b-00155d82e902")</f>
        <v>https://knigipp.ru/api/getInfo/image/7fe9f253-199b-11ee-a23b-00155d82e902</v>
      </c>
      <c r="AD904" s="32">
        <v>288</v>
      </c>
      <c r="AE904" s="3" t="s">
        <v>740</v>
      </c>
      <c r="AF904" s="3" t="s">
        <v>127</v>
      </c>
      <c r="AG904" s="3"/>
      <c r="AH904" s="3" t="s">
        <v>56</v>
      </c>
      <c r="AI904" s="3"/>
      <c r="AJ904" s="3"/>
      <c r="AK904" s="3" t="str">
        <f>HYPERLINK("https://knigipp.ru/api/getInfo/item/7fe9f253-199b-11ee-a23b-00155d82e902")</f>
        <v>https://knigipp.ru/api/getInfo/item/7fe9f253-199b-11ee-a23b-00155d82e902</v>
      </c>
      <c r="AL904" s="3" t="s">
        <v>3902</v>
      </c>
    </row>
    <row r="905" spans="1:38" ht="21" customHeight="1" outlineLevel="4" x14ac:dyDescent="0.2">
      <c r="A905" s="2">
        <v>671</v>
      </c>
      <c r="B905" s="3" t="s">
        <v>3915</v>
      </c>
      <c r="C905" s="49" t="s">
        <v>3916</v>
      </c>
      <c r="D905" s="49"/>
      <c r="E905" s="49"/>
      <c r="F905" s="49"/>
      <c r="G905" s="4" t="s">
        <v>3917</v>
      </c>
      <c r="H905" s="8"/>
      <c r="I905" s="9" t="s">
        <v>3870</v>
      </c>
      <c r="J905" s="10"/>
      <c r="K905" s="11">
        <v>20</v>
      </c>
      <c r="L905" s="10"/>
      <c r="M905" s="10" t="s">
        <v>47</v>
      </c>
      <c r="N905" s="10"/>
      <c r="O905" s="2">
        <v>3</v>
      </c>
      <c r="P905" s="17">
        <f>287*(1-S3/100)</f>
        <v>287</v>
      </c>
      <c r="Q905" s="18"/>
      <c r="R905" s="10">
        <f>P905*Q905</f>
        <v>0</v>
      </c>
      <c r="S905" s="19">
        <f>0.355*Q905</f>
        <v>0</v>
      </c>
      <c r="T905" s="20">
        <f>0.00063*Q905</f>
        <v>0</v>
      </c>
      <c r="U905" s="21"/>
      <c r="V905" s="22" t="s">
        <v>3918</v>
      </c>
      <c r="W905" s="22" t="s">
        <v>191</v>
      </c>
      <c r="X905" s="3"/>
      <c r="Y905" s="3"/>
      <c r="Z905" s="3" t="s">
        <v>52</v>
      </c>
      <c r="AA905" s="3"/>
      <c r="AB905" s="3"/>
      <c r="AC905" s="3" t="str">
        <f>HYPERLINK("https://knigipp.ru/api/getInfo/image/eee49b80-9648-11ed-a22d-00155d82e902")</f>
        <v>https://knigipp.ru/api/getInfo/image/eee49b80-9648-11ed-a22d-00155d82e902</v>
      </c>
      <c r="AD905" s="32">
        <v>288</v>
      </c>
      <c r="AE905" s="3" t="s">
        <v>740</v>
      </c>
      <c r="AF905" s="3" t="s">
        <v>127</v>
      </c>
      <c r="AG905" s="3"/>
      <c r="AH905" s="3" t="s">
        <v>56</v>
      </c>
      <c r="AI905" s="3"/>
      <c r="AJ905" s="3"/>
      <c r="AK905" s="3" t="str">
        <f>HYPERLINK("https://knigipp.ru/api/getInfo/item/eee49b80-9648-11ed-a22d-00155d82e902")</f>
        <v>https://knigipp.ru/api/getInfo/item/eee49b80-9648-11ed-a22d-00155d82e902</v>
      </c>
      <c r="AL905" s="3" t="s">
        <v>3902</v>
      </c>
    </row>
    <row r="906" spans="1:38" ht="23.1" customHeight="1" outlineLevel="3" x14ac:dyDescent="0.2">
      <c r="A906" s="48" t="s">
        <v>3919</v>
      </c>
      <c r="B906" s="48"/>
      <c r="C906" s="48"/>
      <c r="D906" s="48"/>
      <c r="E906" s="48"/>
      <c r="F906" s="48"/>
    </row>
    <row r="907" spans="1:38" ht="21" customHeight="1" outlineLevel="4" x14ac:dyDescent="0.2">
      <c r="A907" s="2">
        <v>672</v>
      </c>
      <c r="B907" s="3" t="s">
        <v>3920</v>
      </c>
      <c r="C907" s="49" t="s">
        <v>3921</v>
      </c>
      <c r="D907" s="49"/>
      <c r="E907" s="49"/>
      <c r="F907" s="49"/>
      <c r="G907" s="4" t="s">
        <v>3922</v>
      </c>
      <c r="H907" s="8"/>
      <c r="I907" s="9" t="s">
        <v>3923</v>
      </c>
      <c r="J907" s="10"/>
      <c r="K907" s="11">
        <v>40</v>
      </c>
      <c r="L907" s="10"/>
      <c r="M907" s="10" t="s">
        <v>47</v>
      </c>
      <c r="N907" s="10"/>
      <c r="O907" s="2">
        <v>15</v>
      </c>
      <c r="P907" s="17">
        <f>41*(1-S3/100)</f>
        <v>41</v>
      </c>
      <c r="Q907" s="18"/>
      <c r="R907" s="10">
        <f>P907*Q907</f>
        <v>0</v>
      </c>
      <c r="S907" s="19">
        <f>0.017*Q907</f>
        <v>0</v>
      </c>
      <c r="T907" s="20">
        <f>0.00001*Q907</f>
        <v>0</v>
      </c>
      <c r="U907" s="21"/>
      <c r="V907" s="22" t="s">
        <v>3924</v>
      </c>
      <c r="W907" s="22" t="s">
        <v>191</v>
      </c>
      <c r="X907" s="3"/>
      <c r="Y907" s="3" t="s">
        <v>3925</v>
      </c>
      <c r="Z907" s="3" t="s">
        <v>52</v>
      </c>
      <c r="AA907" s="3"/>
      <c r="AB907" s="3"/>
      <c r="AC907" s="3" t="str">
        <f>HYPERLINK("https://knigipp.ru/api/getInfo/image/0089182c-6122-11ee-a245-00155d82e902")</f>
        <v>https://knigipp.ru/api/getInfo/image/0089182c-6122-11ee-a245-00155d82e902</v>
      </c>
      <c r="AD907" s="32">
        <v>24</v>
      </c>
      <c r="AE907" s="3"/>
      <c r="AF907" s="3" t="s">
        <v>136</v>
      </c>
      <c r="AG907" s="3"/>
      <c r="AH907" s="3" t="s">
        <v>56</v>
      </c>
      <c r="AI907" s="3"/>
      <c r="AJ907" s="3"/>
      <c r="AK907" s="3" t="str">
        <f>HYPERLINK("https://knigipp.ru/api/getInfo/item/0089182c-6122-11ee-a245-00155d82e902")</f>
        <v>https://knigipp.ru/api/getInfo/item/0089182c-6122-11ee-a245-00155d82e902</v>
      </c>
      <c r="AL907" s="3" t="s">
        <v>3926</v>
      </c>
    </row>
    <row r="908" spans="1:38" ht="21" customHeight="1" outlineLevel="4" x14ac:dyDescent="0.2">
      <c r="A908" s="2">
        <v>673</v>
      </c>
      <c r="B908" s="3" t="s">
        <v>3927</v>
      </c>
      <c r="C908" s="49" t="s">
        <v>3928</v>
      </c>
      <c r="D908" s="49"/>
      <c r="E908" s="49"/>
      <c r="F908" s="49"/>
      <c r="G908" s="4" t="s">
        <v>3929</v>
      </c>
      <c r="H908" s="8"/>
      <c r="I908" s="9" t="s">
        <v>3923</v>
      </c>
      <c r="J908" s="10"/>
      <c r="K908" s="11">
        <v>40</v>
      </c>
      <c r="L908" s="10"/>
      <c r="M908" s="10" t="s">
        <v>304</v>
      </c>
      <c r="N908" s="10"/>
      <c r="O908" s="2">
        <v>15</v>
      </c>
      <c r="P908" s="17">
        <f>41*(1-S3/100)</f>
        <v>41</v>
      </c>
      <c r="Q908" s="18"/>
      <c r="R908" s="10">
        <f>P908*Q908</f>
        <v>0</v>
      </c>
      <c r="S908" s="19">
        <f>0.013*Q908</f>
        <v>0</v>
      </c>
      <c r="T908" s="20">
        <f>0.00003*Q908</f>
        <v>0</v>
      </c>
      <c r="U908" s="21"/>
      <c r="V908" s="22" t="s">
        <v>3930</v>
      </c>
      <c r="W908" s="22" t="s">
        <v>191</v>
      </c>
      <c r="X908" s="3"/>
      <c r="Y908" s="3"/>
      <c r="Z908" s="3" t="s">
        <v>52</v>
      </c>
      <c r="AA908" s="3"/>
      <c r="AB908" s="3"/>
      <c r="AC908" s="3" t="str">
        <f>HYPERLINK("https://knigipp.ru/api/getInfo/image/d4a31bd9-f5d9-11ef-a274-00155d82e908")</f>
        <v>https://knigipp.ru/api/getInfo/image/d4a31bd9-f5d9-11ef-a274-00155d82e908</v>
      </c>
      <c r="AD908" s="32">
        <v>24</v>
      </c>
      <c r="AE908" s="3" t="s">
        <v>54</v>
      </c>
      <c r="AF908" s="3" t="s">
        <v>136</v>
      </c>
      <c r="AG908" s="3"/>
      <c r="AH908" s="3" t="s">
        <v>56</v>
      </c>
      <c r="AI908" s="3"/>
      <c r="AJ908" s="3"/>
      <c r="AK908" s="3" t="str">
        <f>HYPERLINK("https://knigipp.ru/api/getInfo/item/d4a31bd9-f5d9-11ef-a274-00155d82e908")</f>
        <v>https://knigipp.ru/api/getInfo/item/d4a31bd9-f5d9-11ef-a274-00155d82e908</v>
      </c>
      <c r="AL908" s="3" t="s">
        <v>3926</v>
      </c>
    </row>
    <row r="909" spans="1:38" ht="23.1" customHeight="1" outlineLevel="3" x14ac:dyDescent="0.2">
      <c r="A909" s="48" t="s">
        <v>3931</v>
      </c>
      <c r="B909" s="48"/>
      <c r="C909" s="48"/>
      <c r="D909" s="48"/>
      <c r="E909" s="48"/>
      <c r="F909" s="48"/>
    </row>
    <row r="910" spans="1:38" ht="21" customHeight="1" outlineLevel="4" x14ac:dyDescent="0.2">
      <c r="A910" s="2">
        <v>674</v>
      </c>
      <c r="B910" s="3" t="s">
        <v>3932</v>
      </c>
      <c r="C910" s="49" t="s">
        <v>3933</v>
      </c>
      <c r="D910" s="49"/>
      <c r="E910" s="49"/>
      <c r="F910" s="49"/>
      <c r="G910" s="4" t="s">
        <v>3934</v>
      </c>
      <c r="H910" s="8"/>
      <c r="I910" s="9" t="s">
        <v>3923</v>
      </c>
      <c r="J910" s="10"/>
      <c r="K910" s="11">
        <v>40</v>
      </c>
      <c r="L910" s="10"/>
      <c r="M910" s="10" t="s">
        <v>47</v>
      </c>
      <c r="N910" s="10"/>
      <c r="O910" s="2">
        <v>7</v>
      </c>
      <c r="P910" s="17">
        <f>97*(1-S3/100)</f>
        <v>97</v>
      </c>
      <c r="Q910" s="18"/>
      <c r="R910" s="10">
        <f>P910*Q910</f>
        <v>0</v>
      </c>
      <c r="S910" s="19">
        <f>0.043*Q910</f>
        <v>0</v>
      </c>
      <c r="T910" s="20">
        <f>0.00007*Q910</f>
        <v>0</v>
      </c>
      <c r="U910" s="21"/>
      <c r="V910" s="22" t="s">
        <v>3935</v>
      </c>
      <c r="W910" s="22" t="s">
        <v>191</v>
      </c>
      <c r="X910" s="3"/>
      <c r="Y910" s="3"/>
      <c r="Z910" s="3" t="s">
        <v>52</v>
      </c>
      <c r="AA910" s="3"/>
      <c r="AB910" s="3"/>
      <c r="AC910" s="3" t="str">
        <f>HYPERLINK("https://knigipp.ru/api/getInfo/image/600efd5e-5fbe-11ef-a262-00155d82e908")</f>
        <v>https://knigipp.ru/api/getInfo/image/600efd5e-5fbe-11ef-a262-00155d82e908</v>
      </c>
      <c r="AD910" s="32">
        <v>24</v>
      </c>
      <c r="AE910" s="3" t="s">
        <v>740</v>
      </c>
      <c r="AF910" s="3" t="s">
        <v>127</v>
      </c>
      <c r="AG910" s="3"/>
      <c r="AH910" s="3" t="s">
        <v>56</v>
      </c>
      <c r="AI910" s="3"/>
      <c r="AJ910" s="3"/>
      <c r="AK910" s="3" t="str">
        <f>HYPERLINK("https://knigipp.ru/api/getInfo/item/600efd5e-5fbe-11ef-a262-00155d82e908")</f>
        <v>https://knigipp.ru/api/getInfo/item/600efd5e-5fbe-11ef-a262-00155d82e908</v>
      </c>
      <c r="AL910" s="3" t="s">
        <v>3936</v>
      </c>
    </row>
    <row r="911" spans="1:38" ht="21" customHeight="1" outlineLevel="4" x14ac:dyDescent="0.2">
      <c r="A911" s="2">
        <v>675</v>
      </c>
      <c r="B911" s="3" t="s">
        <v>3937</v>
      </c>
      <c r="C911" s="49" t="s">
        <v>3938</v>
      </c>
      <c r="D911" s="49"/>
      <c r="E911" s="49"/>
      <c r="F911" s="49"/>
      <c r="G911" s="4" t="s">
        <v>3939</v>
      </c>
      <c r="H911" s="8"/>
      <c r="I911" s="9" t="s">
        <v>3923</v>
      </c>
      <c r="J911" s="10"/>
      <c r="K911" s="11">
        <v>40</v>
      </c>
      <c r="L911" s="10"/>
      <c r="M911" s="10" t="s">
        <v>47</v>
      </c>
      <c r="N911" s="10"/>
      <c r="O911" s="2">
        <v>7</v>
      </c>
      <c r="P911" s="17">
        <f>97*(1-S3/100)</f>
        <v>97</v>
      </c>
      <c r="Q911" s="18"/>
      <c r="R911" s="10">
        <f>P911*Q911</f>
        <v>0</v>
      </c>
      <c r="S911" s="19">
        <f>0.046*Q911</f>
        <v>0</v>
      </c>
      <c r="T911" s="20">
        <f>0.00011*Q911</f>
        <v>0</v>
      </c>
      <c r="U911" s="21"/>
      <c r="V911" s="22" t="s">
        <v>3940</v>
      </c>
      <c r="W911" s="22" t="s">
        <v>191</v>
      </c>
      <c r="X911" s="3"/>
      <c r="Y911" s="3"/>
      <c r="Z911" s="3" t="s">
        <v>52</v>
      </c>
      <c r="AA911" s="3"/>
      <c r="AB911" s="3"/>
      <c r="AC911" s="3" t="str">
        <f>HYPERLINK("https://knigipp.ru/api/getInfo/image/879a4eb9-5fbe-11ef-a262-00155d82e908")</f>
        <v>https://knigipp.ru/api/getInfo/image/879a4eb9-5fbe-11ef-a262-00155d82e908</v>
      </c>
      <c r="AD911" s="32">
        <v>24</v>
      </c>
      <c r="AE911" s="3" t="s">
        <v>740</v>
      </c>
      <c r="AF911" s="3" t="s">
        <v>127</v>
      </c>
      <c r="AG911" s="3"/>
      <c r="AH911" s="3" t="s">
        <v>56</v>
      </c>
      <c r="AI911" s="3"/>
      <c r="AJ911" s="3"/>
      <c r="AK911" s="3" t="str">
        <f>HYPERLINK("https://knigipp.ru/api/getInfo/item/879a4eb9-5fbe-11ef-a262-00155d82e908")</f>
        <v>https://knigipp.ru/api/getInfo/item/879a4eb9-5fbe-11ef-a262-00155d82e908</v>
      </c>
      <c r="AL911" s="3" t="s">
        <v>3936</v>
      </c>
    </row>
    <row r="912" spans="1:38" ht="21" customHeight="1" outlineLevel="4" x14ac:dyDescent="0.2">
      <c r="A912" s="2">
        <v>676</v>
      </c>
      <c r="B912" s="3" t="s">
        <v>3941</v>
      </c>
      <c r="C912" s="49" t="s">
        <v>3942</v>
      </c>
      <c r="D912" s="49"/>
      <c r="E912" s="49"/>
      <c r="F912" s="49"/>
      <c r="G912" s="4" t="s">
        <v>3943</v>
      </c>
      <c r="H912" s="8"/>
      <c r="I912" s="9" t="s">
        <v>3923</v>
      </c>
      <c r="J912" s="10"/>
      <c r="K912" s="11">
        <v>40</v>
      </c>
      <c r="L912" s="10"/>
      <c r="M912" s="10" t="s">
        <v>47</v>
      </c>
      <c r="N912" s="10"/>
      <c r="O912" s="2">
        <v>7</v>
      </c>
      <c r="P912" s="17">
        <f>97*(1-S3/100)</f>
        <v>97</v>
      </c>
      <c r="Q912" s="18"/>
      <c r="R912" s="10">
        <f>P912*Q912</f>
        <v>0</v>
      </c>
      <c r="S912" s="19">
        <f>0.043*Q912</f>
        <v>0</v>
      </c>
      <c r="T912" s="20">
        <f>0.00007*Q912</f>
        <v>0</v>
      </c>
      <c r="U912" s="21"/>
      <c r="V912" s="22" t="s">
        <v>3944</v>
      </c>
      <c r="W912" s="22" t="s">
        <v>191</v>
      </c>
      <c r="X912" s="3"/>
      <c r="Y912" s="3"/>
      <c r="Z912" s="3" t="s">
        <v>52</v>
      </c>
      <c r="AA912" s="3"/>
      <c r="AB912" s="3"/>
      <c r="AC912" s="3" t="str">
        <f>HYPERLINK("https://knigipp.ru/api/getInfo/image/1e6b23e0-5fbe-11ef-a262-00155d82e908")</f>
        <v>https://knigipp.ru/api/getInfo/image/1e6b23e0-5fbe-11ef-a262-00155d82e908</v>
      </c>
      <c r="AD912" s="32">
        <v>24</v>
      </c>
      <c r="AE912" s="3" t="s">
        <v>740</v>
      </c>
      <c r="AF912" s="3" t="s">
        <v>127</v>
      </c>
      <c r="AG912" s="3"/>
      <c r="AH912" s="3" t="s">
        <v>56</v>
      </c>
      <c r="AI912" s="3"/>
      <c r="AJ912" s="3"/>
      <c r="AK912" s="3" t="str">
        <f>HYPERLINK("https://knigipp.ru/api/getInfo/item/1e6b23e0-5fbe-11ef-a262-00155d82e908")</f>
        <v>https://knigipp.ru/api/getInfo/item/1e6b23e0-5fbe-11ef-a262-00155d82e908</v>
      </c>
      <c r="AL912" s="3" t="s">
        <v>3936</v>
      </c>
    </row>
    <row r="913" spans="1:38" ht="21" customHeight="1" outlineLevel="4" x14ac:dyDescent="0.2">
      <c r="A913" s="2">
        <v>677</v>
      </c>
      <c r="B913" s="3" t="s">
        <v>3945</v>
      </c>
      <c r="C913" s="49" t="s">
        <v>3946</v>
      </c>
      <c r="D913" s="49"/>
      <c r="E913" s="49"/>
      <c r="F913" s="49"/>
      <c r="G913" s="4" t="s">
        <v>3947</v>
      </c>
      <c r="H913" s="8"/>
      <c r="I913" s="9" t="s">
        <v>3923</v>
      </c>
      <c r="J913" s="10"/>
      <c r="K913" s="11">
        <v>40</v>
      </c>
      <c r="L913" s="10"/>
      <c r="M913" s="10" t="s">
        <v>47</v>
      </c>
      <c r="N913" s="10"/>
      <c r="O913" s="2">
        <v>7</v>
      </c>
      <c r="P913" s="17">
        <f>97*(1-S3/100)</f>
        <v>97</v>
      </c>
      <c r="Q913" s="18"/>
      <c r="R913" s="10">
        <f>P913*Q913</f>
        <v>0</v>
      </c>
      <c r="S913" s="19">
        <f>0.046*Q913</f>
        <v>0</v>
      </c>
      <c r="T913" s="20">
        <f>0.00008*Q913</f>
        <v>0</v>
      </c>
      <c r="U913" s="21"/>
      <c r="V913" s="22" t="s">
        <v>3948</v>
      </c>
      <c r="W913" s="22" t="s">
        <v>191</v>
      </c>
      <c r="X913" s="3"/>
      <c r="Y913" s="3"/>
      <c r="Z913" s="3" t="s">
        <v>52</v>
      </c>
      <c r="AA913" s="3"/>
      <c r="AB913" s="3"/>
      <c r="AC913" s="3" t="str">
        <f>HYPERLINK("https://knigipp.ru/api/getInfo/image/d30cb829-5fbe-11ef-a262-00155d82e908")</f>
        <v>https://knigipp.ru/api/getInfo/image/d30cb829-5fbe-11ef-a262-00155d82e908</v>
      </c>
      <c r="AD913" s="32">
        <v>24</v>
      </c>
      <c r="AE913" s="3" t="s">
        <v>740</v>
      </c>
      <c r="AF913" s="3" t="s">
        <v>127</v>
      </c>
      <c r="AG913" s="3"/>
      <c r="AH913" s="3" t="s">
        <v>56</v>
      </c>
      <c r="AI913" s="3"/>
      <c r="AJ913" s="3"/>
      <c r="AK913" s="3" t="str">
        <f>HYPERLINK("https://knigipp.ru/api/getInfo/item/d30cb829-5fbe-11ef-a262-00155d82e908")</f>
        <v>https://knigipp.ru/api/getInfo/item/d30cb829-5fbe-11ef-a262-00155d82e908</v>
      </c>
      <c r="AL913" s="3" t="s">
        <v>3936</v>
      </c>
    </row>
    <row r="914" spans="1:38" ht="23.1" customHeight="1" outlineLevel="2" x14ac:dyDescent="0.2">
      <c r="A914" s="47" t="s">
        <v>3949</v>
      </c>
      <c r="B914" s="47"/>
      <c r="C914" s="47"/>
      <c r="D914" s="47"/>
      <c r="E914" s="47"/>
      <c r="F914" s="47"/>
    </row>
    <row r="915" spans="1:38" ht="23.1" customHeight="1" outlineLevel="3" x14ac:dyDescent="0.2">
      <c r="A915" s="48" t="s">
        <v>3950</v>
      </c>
      <c r="B915" s="48"/>
      <c r="C915" s="48"/>
      <c r="D915" s="48"/>
      <c r="E915" s="48"/>
      <c r="F915" s="48"/>
    </row>
    <row r="916" spans="1:38" ht="21" customHeight="1" outlineLevel="4" x14ac:dyDescent="0.2">
      <c r="A916" s="2">
        <v>678</v>
      </c>
      <c r="B916" s="3" t="s">
        <v>3951</v>
      </c>
      <c r="C916" s="49" t="s">
        <v>3952</v>
      </c>
      <c r="D916" s="49"/>
      <c r="E916" s="49"/>
      <c r="F916" s="49"/>
      <c r="G916" s="4" t="s">
        <v>3953</v>
      </c>
      <c r="H916" s="8"/>
      <c r="I916" s="9" t="s">
        <v>3954</v>
      </c>
      <c r="J916" s="10"/>
      <c r="K916" s="11">
        <v>30</v>
      </c>
      <c r="L916" s="10"/>
      <c r="M916" s="10" t="s">
        <v>47</v>
      </c>
      <c r="N916" s="10"/>
      <c r="O916" s="2">
        <v>4</v>
      </c>
      <c r="P916" s="17">
        <f>179*(1-S3/100)</f>
        <v>179</v>
      </c>
      <c r="Q916" s="18"/>
      <c r="R916" s="10">
        <f>P916*Q916</f>
        <v>0</v>
      </c>
      <c r="S916" s="19">
        <f>0.059*Q916</f>
        <v>0</v>
      </c>
      <c r="T916" s="20">
        <f>0.00011*Q916</f>
        <v>0</v>
      </c>
      <c r="U916" s="21"/>
      <c r="V916" s="22" t="s">
        <v>3955</v>
      </c>
      <c r="W916" s="22" t="s">
        <v>191</v>
      </c>
      <c r="X916" s="3"/>
      <c r="Y916" s="3"/>
      <c r="Z916" s="3" t="s">
        <v>52</v>
      </c>
      <c r="AA916" s="3"/>
      <c r="AB916" s="3"/>
      <c r="AC916" s="3" t="str">
        <f>HYPERLINK("https://knigipp.ru/api/getInfo/image/accb4567-7310-11ee-a248-00155d82e902")</f>
        <v>https://knigipp.ru/api/getInfo/image/accb4567-7310-11ee-a248-00155d82e902</v>
      </c>
      <c r="AD916" s="32">
        <v>8</v>
      </c>
      <c r="AE916" s="3"/>
      <c r="AF916" s="3" t="s">
        <v>136</v>
      </c>
      <c r="AG916" s="3"/>
      <c r="AH916" s="3" t="s">
        <v>56</v>
      </c>
      <c r="AI916" s="3"/>
      <c r="AJ916" s="3"/>
      <c r="AK916" s="3" t="str">
        <f>HYPERLINK("https://knigipp.ru/api/getInfo/item/accb4567-7310-11ee-a248-00155d82e902")</f>
        <v>https://knigipp.ru/api/getInfo/item/accb4567-7310-11ee-a248-00155d82e902</v>
      </c>
      <c r="AL916" s="3" t="s">
        <v>614</v>
      </c>
    </row>
    <row r="917" spans="1:38" ht="21" customHeight="1" outlineLevel="4" x14ac:dyDescent="0.2">
      <c r="A917" s="2">
        <v>679</v>
      </c>
      <c r="B917" s="3" t="s">
        <v>3956</v>
      </c>
      <c r="C917" s="49" t="s">
        <v>3957</v>
      </c>
      <c r="D917" s="49"/>
      <c r="E917" s="49"/>
      <c r="F917" s="49"/>
      <c r="G917" s="4" t="s">
        <v>3958</v>
      </c>
      <c r="H917" s="8"/>
      <c r="I917" s="9" t="s">
        <v>3954</v>
      </c>
      <c r="J917" s="10"/>
      <c r="K917" s="11">
        <v>30</v>
      </c>
      <c r="L917" s="10"/>
      <c r="M917" s="10" t="s">
        <v>78</v>
      </c>
      <c r="N917" s="10"/>
      <c r="O917" s="2">
        <v>4</v>
      </c>
      <c r="P917" s="17">
        <f>179*(1-S3/100)</f>
        <v>179</v>
      </c>
      <c r="Q917" s="18"/>
      <c r="R917" s="10">
        <f>P917*Q917</f>
        <v>0</v>
      </c>
      <c r="S917" s="19">
        <f>0.058*Q917</f>
        <v>0</v>
      </c>
      <c r="T917" s="20">
        <f>0.00032*Q917</f>
        <v>0</v>
      </c>
      <c r="U917" s="21"/>
      <c r="V917" s="22" t="s">
        <v>3959</v>
      </c>
      <c r="W917" s="22" t="s">
        <v>191</v>
      </c>
      <c r="X917" s="3"/>
      <c r="Y917" s="3"/>
      <c r="Z917" s="3" t="s">
        <v>52</v>
      </c>
      <c r="AA917" s="3"/>
      <c r="AB917" s="3"/>
      <c r="AC917" s="3" t="str">
        <f>HYPERLINK("https://knigipp.ru/api/getInfo/image/e32577d3-7310-11ee-a248-00155d82e902")</f>
        <v>https://knigipp.ru/api/getInfo/image/e32577d3-7310-11ee-a248-00155d82e902</v>
      </c>
      <c r="AD917" s="32">
        <v>8</v>
      </c>
      <c r="AE917" s="3" t="s">
        <v>54</v>
      </c>
      <c r="AF917" s="3" t="s">
        <v>136</v>
      </c>
      <c r="AG917" s="3"/>
      <c r="AH917" s="3" t="s">
        <v>56</v>
      </c>
      <c r="AI917" s="3"/>
      <c r="AJ917" s="3"/>
      <c r="AK917" s="3" t="str">
        <f>HYPERLINK("https://knigipp.ru/api/getInfo/item/e32577d3-7310-11ee-a248-00155d82e902")</f>
        <v>https://knigipp.ru/api/getInfo/item/e32577d3-7310-11ee-a248-00155d82e902</v>
      </c>
      <c r="AL917" s="3" t="s">
        <v>614</v>
      </c>
    </row>
    <row r="918" spans="1:38" ht="23.1" customHeight="1" outlineLevel="3" x14ac:dyDescent="0.2">
      <c r="A918" s="48" t="s">
        <v>3960</v>
      </c>
      <c r="B918" s="48"/>
      <c r="C918" s="48"/>
      <c r="D918" s="48"/>
      <c r="E918" s="48"/>
      <c r="F918" s="48"/>
    </row>
    <row r="919" spans="1:38" ht="21" customHeight="1" outlineLevel="4" x14ac:dyDescent="0.2">
      <c r="A919" s="2">
        <v>680</v>
      </c>
      <c r="B919" s="3" t="s">
        <v>3961</v>
      </c>
      <c r="C919" s="49" t="s">
        <v>3962</v>
      </c>
      <c r="D919" s="49"/>
      <c r="E919" s="49"/>
      <c r="F919" s="49"/>
      <c r="G919" s="4" t="s">
        <v>3963</v>
      </c>
      <c r="H919" s="8"/>
      <c r="I919" s="9" t="s">
        <v>3964</v>
      </c>
      <c r="J919" s="10"/>
      <c r="K919" s="11">
        <v>50</v>
      </c>
      <c r="L919" s="10"/>
      <c r="M919" s="10" t="s">
        <v>78</v>
      </c>
      <c r="N919" s="10"/>
      <c r="O919" s="2">
        <v>5</v>
      </c>
      <c r="P919" s="17">
        <f>119.7*(1-S3/100)</f>
        <v>119.7</v>
      </c>
      <c r="Q919" s="18"/>
      <c r="R919" s="10">
        <f>P919*Q919</f>
        <v>0</v>
      </c>
      <c r="S919" s="19">
        <f>0.057*Q919</f>
        <v>0</v>
      </c>
      <c r="T919" s="20">
        <f>0.00028*Q919</f>
        <v>0</v>
      </c>
      <c r="U919" s="21"/>
      <c r="V919" s="22" t="s">
        <v>3965</v>
      </c>
      <c r="W919" s="22" t="s">
        <v>191</v>
      </c>
      <c r="X919" s="3"/>
      <c r="Y919" s="3" t="s">
        <v>3966</v>
      </c>
      <c r="Z919" s="3" t="s">
        <v>52</v>
      </c>
      <c r="AA919" s="3" t="s">
        <v>3967</v>
      </c>
      <c r="AB919" s="3"/>
      <c r="AC919" s="3" t="str">
        <f>HYPERLINK("https://knigipp.ru/api/getInfo/image/cb84c221-7fc4-11ef-a265-00155d82e908")</f>
        <v>https://knigipp.ru/api/getInfo/image/cb84c221-7fc4-11ef-a265-00155d82e908</v>
      </c>
      <c r="AD919" s="32">
        <v>8</v>
      </c>
      <c r="AE919" s="3" t="s">
        <v>54</v>
      </c>
      <c r="AF919" s="3" t="s">
        <v>136</v>
      </c>
      <c r="AG919" s="3"/>
      <c r="AH919" s="3" t="s">
        <v>56</v>
      </c>
      <c r="AI919" s="3"/>
      <c r="AJ919" s="3"/>
      <c r="AK919" s="3" t="str">
        <f>HYPERLINK("https://knigipp.ru/api/getInfo/item/cb84c221-7fc4-11ef-a265-00155d82e908")</f>
        <v>https://knigipp.ru/api/getInfo/item/cb84c221-7fc4-11ef-a265-00155d82e908</v>
      </c>
      <c r="AL919" s="3" t="s">
        <v>1155</v>
      </c>
    </row>
    <row r="920" spans="1:38" ht="21" customHeight="1" outlineLevel="4" x14ac:dyDescent="0.2">
      <c r="A920" s="2">
        <v>681</v>
      </c>
      <c r="B920" s="3" t="s">
        <v>3968</v>
      </c>
      <c r="C920" s="49" t="s">
        <v>3969</v>
      </c>
      <c r="D920" s="49"/>
      <c r="E920" s="49"/>
      <c r="F920" s="49"/>
      <c r="G920" s="4" t="s">
        <v>3970</v>
      </c>
      <c r="H920" s="8"/>
      <c r="I920" s="9" t="s">
        <v>3964</v>
      </c>
      <c r="J920" s="10"/>
      <c r="K920" s="11">
        <v>50</v>
      </c>
      <c r="L920" s="10"/>
      <c r="M920" s="10" t="s">
        <v>47</v>
      </c>
      <c r="N920" s="10"/>
      <c r="O920" s="2">
        <v>5</v>
      </c>
      <c r="P920" s="17">
        <f>119.7*(1-S3/100)</f>
        <v>119.7</v>
      </c>
      <c r="Q920" s="18"/>
      <c r="R920" s="10">
        <f>P920*Q920</f>
        <v>0</v>
      </c>
      <c r="S920" s="19">
        <f>0.059*Q920</f>
        <v>0</v>
      </c>
      <c r="T920" s="20">
        <f>0.00023*Q920</f>
        <v>0</v>
      </c>
      <c r="U920" s="21"/>
      <c r="V920" s="22" t="s">
        <v>3971</v>
      </c>
      <c r="W920" s="22" t="s">
        <v>191</v>
      </c>
      <c r="X920" s="3"/>
      <c r="Y920" s="3" t="s">
        <v>3966</v>
      </c>
      <c r="Z920" s="3" t="s">
        <v>52</v>
      </c>
      <c r="AA920" s="3" t="s">
        <v>3967</v>
      </c>
      <c r="AB920" s="3"/>
      <c r="AC920" s="3" t="str">
        <f>HYPERLINK("https://knigipp.ru/api/getInfo/image/f704c6e2-7fcd-11ef-a265-00155d82e908")</f>
        <v>https://knigipp.ru/api/getInfo/image/f704c6e2-7fcd-11ef-a265-00155d82e908</v>
      </c>
      <c r="AD920" s="32">
        <v>8</v>
      </c>
      <c r="AE920" s="3" t="s">
        <v>54</v>
      </c>
      <c r="AF920" s="3" t="s">
        <v>136</v>
      </c>
      <c r="AG920" s="3"/>
      <c r="AH920" s="3" t="s">
        <v>56</v>
      </c>
      <c r="AI920" s="3"/>
      <c r="AJ920" s="3"/>
      <c r="AK920" s="3" t="str">
        <f>HYPERLINK("https://knigipp.ru/api/getInfo/item/f704c6e2-7fcd-11ef-a265-00155d82e908")</f>
        <v>https://knigipp.ru/api/getInfo/item/f704c6e2-7fcd-11ef-a265-00155d82e908</v>
      </c>
      <c r="AL920" s="3" t="s">
        <v>1155</v>
      </c>
    </row>
    <row r="921" spans="1:38" ht="23.1" customHeight="1" outlineLevel="3" x14ac:dyDescent="0.2">
      <c r="A921" s="48" t="s">
        <v>3972</v>
      </c>
      <c r="B921" s="48"/>
      <c r="C921" s="48"/>
      <c r="D921" s="48"/>
      <c r="E921" s="48"/>
      <c r="F921" s="48"/>
    </row>
    <row r="922" spans="1:38" ht="21" customHeight="1" outlineLevel="4" x14ac:dyDescent="0.2">
      <c r="A922" s="2">
        <v>682</v>
      </c>
      <c r="B922" s="3" t="s">
        <v>3973</v>
      </c>
      <c r="C922" s="49" t="s">
        <v>3974</v>
      </c>
      <c r="D922" s="49"/>
      <c r="E922" s="49"/>
      <c r="F922" s="49"/>
      <c r="G922" s="4" t="s">
        <v>3975</v>
      </c>
      <c r="H922" s="8"/>
      <c r="I922" s="9"/>
      <c r="J922" s="10"/>
      <c r="K922" s="11">
        <v>50</v>
      </c>
      <c r="L922" s="10"/>
      <c r="M922" s="10" t="s">
        <v>47</v>
      </c>
      <c r="N922" s="10"/>
      <c r="O922" s="2">
        <v>3</v>
      </c>
      <c r="P922" s="17">
        <f>199*(1-S3/100)</f>
        <v>199</v>
      </c>
      <c r="Q922" s="18"/>
      <c r="R922" s="10">
        <f>P922*Q922</f>
        <v>0</v>
      </c>
      <c r="S922" s="28">
        <f>0.06*Q922</f>
        <v>0</v>
      </c>
      <c r="T922" s="20">
        <f>0.00056*Q922</f>
        <v>0</v>
      </c>
      <c r="U922" s="21"/>
      <c r="V922" s="22" t="s">
        <v>3976</v>
      </c>
      <c r="W922" s="22" t="s">
        <v>191</v>
      </c>
      <c r="X922" s="3"/>
      <c r="Y922" s="3" t="s">
        <v>3977</v>
      </c>
      <c r="Z922" s="3" t="s">
        <v>52</v>
      </c>
      <c r="AA922" s="3"/>
      <c r="AB922" s="3"/>
      <c r="AC922" s="3" t="str">
        <f>HYPERLINK("https://knigipp.ru/api/getInfo/image/18d08360-6d47-11f0-a284-00155d82e908")</f>
        <v>https://knigipp.ru/api/getInfo/image/18d08360-6d47-11f0-a284-00155d82e908</v>
      </c>
      <c r="AD922" s="32">
        <v>8</v>
      </c>
      <c r="AE922" s="3" t="s">
        <v>54</v>
      </c>
      <c r="AF922" s="3" t="s">
        <v>136</v>
      </c>
      <c r="AG922" s="3"/>
      <c r="AH922" s="3" t="s">
        <v>56</v>
      </c>
      <c r="AI922" s="3"/>
      <c r="AJ922" s="3"/>
      <c r="AK922" s="3" t="str">
        <f>HYPERLINK("https://knigipp.ru/api/getInfo/item/18d08360-6d47-11f0-a284-00155d82e908")</f>
        <v>https://knigipp.ru/api/getInfo/item/18d08360-6d47-11f0-a284-00155d82e908</v>
      </c>
      <c r="AL922" s="3" t="s">
        <v>1155</v>
      </c>
    </row>
    <row r="923" spans="1:38" ht="21" customHeight="1" outlineLevel="4" x14ac:dyDescent="0.2">
      <c r="A923" s="2">
        <v>683</v>
      </c>
      <c r="B923" s="3" t="s">
        <v>3978</v>
      </c>
      <c r="C923" s="49" t="s">
        <v>3979</v>
      </c>
      <c r="D923" s="49"/>
      <c r="E923" s="49"/>
      <c r="F923" s="49"/>
      <c r="G923" s="4" t="s">
        <v>3980</v>
      </c>
      <c r="H923" s="8"/>
      <c r="I923" s="9"/>
      <c r="J923" s="10"/>
      <c r="K923" s="11">
        <v>50</v>
      </c>
      <c r="L923" s="10"/>
      <c r="M923" s="10" t="s">
        <v>47</v>
      </c>
      <c r="N923" s="10"/>
      <c r="O923" s="2">
        <v>3</v>
      </c>
      <c r="P923" s="17">
        <f>199*(1-S3/100)</f>
        <v>199</v>
      </c>
      <c r="Q923" s="18"/>
      <c r="R923" s="10">
        <f>P923*Q923</f>
        <v>0</v>
      </c>
      <c r="S923" s="28">
        <f>0.06*Q923</f>
        <v>0</v>
      </c>
      <c r="T923" s="20">
        <f>0.00029*Q923</f>
        <v>0</v>
      </c>
      <c r="U923" s="21"/>
      <c r="V923" s="22" t="s">
        <v>3981</v>
      </c>
      <c r="W923" s="22" t="s">
        <v>191</v>
      </c>
      <c r="X923" s="3"/>
      <c r="Y923" s="3" t="s">
        <v>3982</v>
      </c>
      <c r="Z923" s="3" t="s">
        <v>52</v>
      </c>
      <c r="AA923" s="3"/>
      <c r="AB923" s="3"/>
      <c r="AC923" s="3" t="str">
        <f>HYPERLINK("https://knigipp.ru/api/getInfo/image/a84583eb-6d47-11f0-a284-00155d82e908")</f>
        <v>https://knigipp.ru/api/getInfo/image/a84583eb-6d47-11f0-a284-00155d82e908</v>
      </c>
      <c r="AD923" s="32">
        <v>8</v>
      </c>
      <c r="AE923" s="3" t="s">
        <v>54</v>
      </c>
      <c r="AF923" s="3" t="s">
        <v>136</v>
      </c>
      <c r="AG923" s="3"/>
      <c r="AH923" s="3" t="s">
        <v>56</v>
      </c>
      <c r="AI923" s="3"/>
      <c r="AJ923" s="3"/>
      <c r="AK923" s="3" t="str">
        <f>HYPERLINK("https://knigipp.ru/api/getInfo/item/a84583eb-6d47-11f0-a284-00155d82e908")</f>
        <v>https://knigipp.ru/api/getInfo/item/a84583eb-6d47-11f0-a284-00155d82e908</v>
      </c>
      <c r="AL923" s="3" t="s">
        <v>1155</v>
      </c>
    </row>
    <row r="924" spans="1:38" ht="21" customHeight="1" outlineLevel="4" x14ac:dyDescent="0.2">
      <c r="A924" s="2">
        <v>684</v>
      </c>
      <c r="B924" s="3" t="s">
        <v>3983</v>
      </c>
      <c r="C924" s="49" t="s">
        <v>3984</v>
      </c>
      <c r="D924" s="49"/>
      <c r="E924" s="49"/>
      <c r="F924" s="49"/>
      <c r="G924" s="4" t="s">
        <v>3985</v>
      </c>
      <c r="H924" s="8"/>
      <c r="I924" s="9"/>
      <c r="J924" s="10"/>
      <c r="K924" s="11">
        <v>50</v>
      </c>
      <c r="L924" s="10"/>
      <c r="M924" s="10" t="s">
        <v>47</v>
      </c>
      <c r="N924" s="10"/>
      <c r="O924" s="2">
        <v>3</v>
      </c>
      <c r="P924" s="17">
        <f>199*(1-S3/100)</f>
        <v>199</v>
      </c>
      <c r="Q924" s="18"/>
      <c r="R924" s="10">
        <f>P924*Q924</f>
        <v>0</v>
      </c>
      <c r="S924" s="28">
        <f>0.06*Q924</f>
        <v>0</v>
      </c>
      <c r="T924" s="20">
        <f>0.00028*Q924</f>
        <v>0</v>
      </c>
      <c r="U924" s="21"/>
      <c r="V924" s="22" t="s">
        <v>3986</v>
      </c>
      <c r="W924" s="22" t="s">
        <v>191</v>
      </c>
      <c r="X924" s="3"/>
      <c r="Y924" s="3" t="s">
        <v>3987</v>
      </c>
      <c r="Z924" s="3" t="s">
        <v>52</v>
      </c>
      <c r="AA924" s="3"/>
      <c r="AB924" s="3"/>
      <c r="AC924" s="3" t="str">
        <f>HYPERLINK("https://knigipp.ru/api/getInfo/image/47dc81a7-6d47-11f0-a284-00155d82e908")</f>
        <v>https://knigipp.ru/api/getInfo/image/47dc81a7-6d47-11f0-a284-00155d82e908</v>
      </c>
      <c r="AD924" s="32">
        <v>8</v>
      </c>
      <c r="AE924" s="3" t="s">
        <v>54</v>
      </c>
      <c r="AF924" s="3" t="s">
        <v>136</v>
      </c>
      <c r="AG924" s="3"/>
      <c r="AH924" s="3" t="s">
        <v>56</v>
      </c>
      <c r="AI924" s="3"/>
      <c r="AJ924" s="3"/>
      <c r="AK924" s="3" t="str">
        <f>HYPERLINK("https://knigipp.ru/api/getInfo/item/47dc81a7-6d47-11f0-a284-00155d82e908")</f>
        <v>https://knigipp.ru/api/getInfo/item/47dc81a7-6d47-11f0-a284-00155d82e908</v>
      </c>
      <c r="AL924" s="3" t="s">
        <v>1155</v>
      </c>
    </row>
    <row r="925" spans="1:38" ht="21" customHeight="1" outlineLevel="4" x14ac:dyDescent="0.2">
      <c r="A925" s="2">
        <v>685</v>
      </c>
      <c r="B925" s="3" t="s">
        <v>3988</v>
      </c>
      <c r="C925" s="49" t="s">
        <v>3989</v>
      </c>
      <c r="D925" s="49"/>
      <c r="E925" s="49"/>
      <c r="F925" s="49"/>
      <c r="G925" s="4" t="s">
        <v>3990</v>
      </c>
      <c r="H925" s="8"/>
      <c r="I925" s="9"/>
      <c r="J925" s="10"/>
      <c r="K925" s="11">
        <v>50</v>
      </c>
      <c r="L925" s="10"/>
      <c r="M925" s="10" t="s">
        <v>47</v>
      </c>
      <c r="N925" s="10"/>
      <c r="O925" s="2">
        <v>3</v>
      </c>
      <c r="P925" s="17">
        <f>199*(1-S3/100)</f>
        <v>199</v>
      </c>
      <c r="Q925" s="18"/>
      <c r="R925" s="10">
        <f>P925*Q925</f>
        <v>0</v>
      </c>
      <c r="S925" s="19">
        <f>0.059*Q925</f>
        <v>0</v>
      </c>
      <c r="T925" s="20">
        <f>0.00033*Q925</f>
        <v>0</v>
      </c>
      <c r="U925" s="21"/>
      <c r="V925" s="22" t="s">
        <v>3991</v>
      </c>
      <c r="W925" s="22" t="s">
        <v>191</v>
      </c>
      <c r="X925" s="3"/>
      <c r="Y925" s="3" t="s">
        <v>3992</v>
      </c>
      <c r="Z925" s="3" t="s">
        <v>52</v>
      </c>
      <c r="AA925" s="3"/>
      <c r="AB925" s="3"/>
      <c r="AC925" s="3" t="str">
        <f>HYPERLINK("https://knigipp.ru/api/getInfo/image/7635d0d9-6d47-11f0-a284-00155d82e908")</f>
        <v>https://knigipp.ru/api/getInfo/image/7635d0d9-6d47-11f0-a284-00155d82e908</v>
      </c>
      <c r="AD925" s="32">
        <v>8</v>
      </c>
      <c r="AE925" s="3" t="s">
        <v>54</v>
      </c>
      <c r="AF925" s="3" t="s">
        <v>136</v>
      </c>
      <c r="AG925" s="3"/>
      <c r="AH925" s="3" t="s">
        <v>56</v>
      </c>
      <c r="AI925" s="3"/>
      <c r="AJ925" s="3"/>
      <c r="AK925" s="3" t="str">
        <f>HYPERLINK("https://knigipp.ru/api/getInfo/item/7635d0d9-6d47-11f0-a284-00155d82e908")</f>
        <v>https://knigipp.ru/api/getInfo/item/7635d0d9-6d47-11f0-a284-00155d82e908</v>
      </c>
      <c r="AL925" s="3" t="s">
        <v>1155</v>
      </c>
    </row>
    <row r="926" spans="1:38" ht="23.1" customHeight="1" outlineLevel="3" x14ac:dyDescent="0.2">
      <c r="A926" s="48" t="s">
        <v>3993</v>
      </c>
      <c r="B926" s="48"/>
      <c r="C926" s="48"/>
      <c r="D926" s="48"/>
      <c r="E926" s="48"/>
      <c r="F926" s="48"/>
    </row>
    <row r="927" spans="1:38" ht="21" customHeight="1" outlineLevel="4" x14ac:dyDescent="0.2">
      <c r="A927" s="2">
        <v>686</v>
      </c>
      <c r="B927" s="3" t="s">
        <v>3994</v>
      </c>
      <c r="C927" s="49" t="s">
        <v>3995</v>
      </c>
      <c r="D927" s="49"/>
      <c r="E927" s="49"/>
      <c r="F927" s="49"/>
      <c r="G927" s="4" t="s">
        <v>3996</v>
      </c>
      <c r="H927" s="8"/>
      <c r="I927" s="9" t="s">
        <v>3997</v>
      </c>
      <c r="J927" s="10"/>
      <c r="K927" s="11">
        <v>300</v>
      </c>
      <c r="L927" s="11">
        <v>20</v>
      </c>
      <c r="M927" s="10" t="s">
        <v>78</v>
      </c>
      <c r="N927" s="10"/>
      <c r="O927" s="2">
        <v>20</v>
      </c>
      <c r="P927" s="17">
        <f>53*(1-S3/100)</f>
        <v>53</v>
      </c>
      <c r="Q927" s="18"/>
      <c r="R927" s="10">
        <f>P927*Q927</f>
        <v>0</v>
      </c>
      <c r="S927" s="19">
        <f>0.012*Q927</f>
        <v>0</v>
      </c>
      <c r="T927" s="20">
        <f>0.00001*Q927</f>
        <v>0</v>
      </c>
      <c r="U927" s="21"/>
      <c r="V927" s="22" t="s">
        <v>3998</v>
      </c>
      <c r="W927" s="22" t="s">
        <v>191</v>
      </c>
      <c r="X927" s="3"/>
      <c r="Y927" s="3"/>
      <c r="Z927" s="3" t="s">
        <v>52</v>
      </c>
      <c r="AA927" s="3"/>
      <c r="AB927" s="3"/>
      <c r="AC927" s="3" t="str">
        <f>HYPERLINK("https://knigipp.ru/api/getInfo/image/292191ad-4552-11ed-a216-ac1f6b442185")</f>
        <v>https://knigipp.ru/api/getInfo/image/292191ad-4552-11ed-a216-ac1f6b442185</v>
      </c>
      <c r="AD927" s="32">
        <v>4</v>
      </c>
      <c r="AE927" s="3"/>
      <c r="AF927" s="3" t="s">
        <v>452</v>
      </c>
      <c r="AG927" s="3"/>
      <c r="AH927" s="3" t="s">
        <v>56</v>
      </c>
      <c r="AI927" s="3"/>
      <c r="AJ927" s="3"/>
      <c r="AK927" s="3" t="str">
        <f>HYPERLINK("https://knigipp.ru/api/getInfo/item/292191ad-4552-11ed-a216-ac1f6b442185")</f>
        <v>https://knigipp.ru/api/getInfo/item/292191ad-4552-11ed-a216-ac1f6b442185</v>
      </c>
      <c r="AL927" s="3" t="s">
        <v>3999</v>
      </c>
    </row>
    <row r="928" spans="1:38" ht="21" customHeight="1" outlineLevel="4" x14ac:dyDescent="0.2">
      <c r="A928" s="2">
        <v>687</v>
      </c>
      <c r="B928" s="3" t="s">
        <v>4000</v>
      </c>
      <c r="C928" s="49" t="s">
        <v>4001</v>
      </c>
      <c r="D928" s="49"/>
      <c r="E928" s="49"/>
      <c r="F928" s="49"/>
      <c r="G928" s="4" t="s">
        <v>4002</v>
      </c>
      <c r="H928" s="8"/>
      <c r="I928" s="9" t="s">
        <v>3997</v>
      </c>
      <c r="J928" s="10"/>
      <c r="K928" s="11">
        <v>300</v>
      </c>
      <c r="L928" s="11">
        <v>20</v>
      </c>
      <c r="M928" s="10" t="s">
        <v>78</v>
      </c>
      <c r="N928" s="10"/>
      <c r="O928" s="2">
        <v>20</v>
      </c>
      <c r="P928" s="17">
        <f>53*(1-S3/100)</f>
        <v>53</v>
      </c>
      <c r="Q928" s="18"/>
      <c r="R928" s="10">
        <f>P928*Q928</f>
        <v>0</v>
      </c>
      <c r="S928" s="19">
        <f>0.011*Q928</f>
        <v>0</v>
      </c>
      <c r="T928" s="20">
        <f>0.00002*Q928</f>
        <v>0</v>
      </c>
      <c r="U928" s="21"/>
      <c r="V928" s="22" t="s">
        <v>4003</v>
      </c>
      <c r="W928" s="22" t="s">
        <v>191</v>
      </c>
      <c r="X928" s="3"/>
      <c r="Y928" s="3"/>
      <c r="Z928" s="3" t="s">
        <v>52</v>
      </c>
      <c r="AA928" s="3"/>
      <c r="AB928" s="3"/>
      <c r="AC928" s="3" t="str">
        <f>HYPERLINK("https://knigipp.ru/api/getInfo/image/eb8a2f05-4551-11ed-a216-ac1f6b442185")</f>
        <v>https://knigipp.ru/api/getInfo/image/eb8a2f05-4551-11ed-a216-ac1f6b442185</v>
      </c>
      <c r="AD928" s="32">
        <v>4</v>
      </c>
      <c r="AE928" s="3"/>
      <c r="AF928" s="3" t="s">
        <v>452</v>
      </c>
      <c r="AG928" s="3"/>
      <c r="AH928" s="3" t="s">
        <v>56</v>
      </c>
      <c r="AI928" s="3"/>
      <c r="AJ928" s="3"/>
      <c r="AK928" s="3" t="str">
        <f>HYPERLINK("https://knigipp.ru/api/getInfo/item/eb8a2f05-4551-11ed-a216-ac1f6b442185")</f>
        <v>https://knigipp.ru/api/getInfo/item/eb8a2f05-4551-11ed-a216-ac1f6b442185</v>
      </c>
      <c r="AL928" s="3" t="s">
        <v>3999</v>
      </c>
    </row>
    <row r="929" spans="1:38" ht="21" customHeight="1" outlineLevel="4" x14ac:dyDescent="0.2">
      <c r="A929" s="2">
        <v>688</v>
      </c>
      <c r="B929" s="3" t="s">
        <v>4004</v>
      </c>
      <c r="C929" s="49" t="s">
        <v>4005</v>
      </c>
      <c r="D929" s="49"/>
      <c r="E929" s="49"/>
      <c r="F929" s="49"/>
      <c r="G929" s="4" t="s">
        <v>4006</v>
      </c>
      <c r="H929" s="8"/>
      <c r="I929" s="9" t="s">
        <v>3997</v>
      </c>
      <c r="J929" s="10"/>
      <c r="K929" s="11">
        <v>300</v>
      </c>
      <c r="L929" s="11">
        <v>20</v>
      </c>
      <c r="M929" s="10" t="s">
        <v>78</v>
      </c>
      <c r="N929" s="10"/>
      <c r="O929" s="2">
        <v>20</v>
      </c>
      <c r="P929" s="17">
        <f>53*(1-S3/100)</f>
        <v>53</v>
      </c>
      <c r="Q929" s="18"/>
      <c r="R929" s="10">
        <f>P929*Q929</f>
        <v>0</v>
      </c>
      <c r="S929" s="19">
        <f>0.012*Q929</f>
        <v>0</v>
      </c>
      <c r="T929" s="20">
        <f>0.00003*Q929</f>
        <v>0</v>
      </c>
      <c r="U929" s="21"/>
      <c r="V929" s="22" t="s">
        <v>4007</v>
      </c>
      <c r="W929" s="22" t="s">
        <v>191</v>
      </c>
      <c r="X929" s="3"/>
      <c r="Y929" s="3"/>
      <c r="Z929" s="3" t="s">
        <v>52</v>
      </c>
      <c r="AA929" s="3"/>
      <c r="AB929" s="3"/>
      <c r="AC929" s="3" t="str">
        <f>HYPERLINK("https://knigipp.ru/api/getInfo/image/b3d3f341-4551-11ed-a216-ac1f6b442185")</f>
        <v>https://knigipp.ru/api/getInfo/image/b3d3f341-4551-11ed-a216-ac1f6b442185</v>
      </c>
      <c r="AD929" s="32">
        <v>4</v>
      </c>
      <c r="AE929" s="3"/>
      <c r="AF929" s="3" t="s">
        <v>452</v>
      </c>
      <c r="AG929" s="3"/>
      <c r="AH929" s="3" t="s">
        <v>56</v>
      </c>
      <c r="AI929" s="3"/>
      <c r="AJ929" s="3"/>
      <c r="AK929" s="3" t="str">
        <f>HYPERLINK("https://knigipp.ru/api/getInfo/item/b3d3f341-4551-11ed-a216-ac1f6b442185")</f>
        <v>https://knigipp.ru/api/getInfo/item/b3d3f341-4551-11ed-a216-ac1f6b442185</v>
      </c>
      <c r="AL929" s="3" t="s">
        <v>4008</v>
      </c>
    </row>
    <row r="930" spans="1:38" ht="23.1" customHeight="1" outlineLevel="3" x14ac:dyDescent="0.2">
      <c r="A930" s="48" t="s">
        <v>4009</v>
      </c>
      <c r="B930" s="48"/>
      <c r="C930" s="48"/>
      <c r="D930" s="48"/>
      <c r="E930" s="48"/>
      <c r="F930" s="48"/>
    </row>
    <row r="931" spans="1:38" ht="21" customHeight="1" outlineLevel="4" x14ac:dyDescent="0.2">
      <c r="A931" s="2">
        <v>689</v>
      </c>
      <c r="B931" s="3" t="s">
        <v>4010</v>
      </c>
      <c r="C931" s="49" t="s">
        <v>4011</v>
      </c>
      <c r="D931" s="49"/>
      <c r="E931" s="49"/>
      <c r="F931" s="49"/>
      <c r="G931" s="4" t="s">
        <v>4012</v>
      </c>
      <c r="H931" s="8"/>
      <c r="I931" s="9" t="s">
        <v>4013</v>
      </c>
      <c r="J931" s="10"/>
      <c r="K931" s="11">
        <v>240</v>
      </c>
      <c r="L931" s="11">
        <v>20</v>
      </c>
      <c r="M931" s="10" t="s">
        <v>47</v>
      </c>
      <c r="N931" s="10"/>
      <c r="O931" s="2">
        <v>20</v>
      </c>
      <c r="P931" s="17">
        <f>99*(1-S3/100)</f>
        <v>99</v>
      </c>
      <c r="Q931" s="18"/>
      <c r="R931" s="10">
        <f>P931*Q931</f>
        <v>0</v>
      </c>
      <c r="S931" s="19">
        <f>0.018*Q931</f>
        <v>0</v>
      </c>
      <c r="T931" s="20">
        <f>0.00003*Q931</f>
        <v>0</v>
      </c>
      <c r="U931" s="21"/>
      <c r="V931" s="22" t="s">
        <v>4014</v>
      </c>
      <c r="W931" s="22" t="s">
        <v>191</v>
      </c>
      <c r="X931" s="3"/>
      <c r="Y931" s="3"/>
      <c r="Z931" s="3" t="s">
        <v>52</v>
      </c>
      <c r="AA931" s="3"/>
      <c r="AB931" s="3"/>
      <c r="AC931" s="3" t="str">
        <f>HYPERLINK("https://knigipp.ru/api/getInfo/image/e6e5b597-118e-11ed-a215-ac1f6b442185")</f>
        <v>https://knigipp.ru/api/getInfo/image/e6e5b597-118e-11ed-a215-ac1f6b442185</v>
      </c>
      <c r="AD931" s="32">
        <v>3</v>
      </c>
      <c r="AE931" s="3"/>
      <c r="AF931" s="3" t="s">
        <v>452</v>
      </c>
      <c r="AG931" s="3"/>
      <c r="AH931" s="3" t="s">
        <v>56</v>
      </c>
      <c r="AI931" s="3"/>
      <c r="AJ931" s="3"/>
      <c r="AK931" s="3" t="str">
        <f>HYPERLINK("https://knigipp.ru/api/getInfo/item/e6e5b597-118e-11ed-a215-ac1f6b442185")</f>
        <v>https://knigipp.ru/api/getInfo/item/e6e5b597-118e-11ed-a215-ac1f6b442185</v>
      </c>
      <c r="AL931" s="3" t="s">
        <v>4015</v>
      </c>
    </row>
    <row r="932" spans="1:38" ht="21" customHeight="1" outlineLevel="4" x14ac:dyDescent="0.2">
      <c r="A932" s="2">
        <v>690</v>
      </c>
      <c r="B932" s="3" t="s">
        <v>4016</v>
      </c>
      <c r="C932" s="49" t="s">
        <v>4017</v>
      </c>
      <c r="D932" s="49"/>
      <c r="E932" s="49"/>
      <c r="F932" s="49"/>
      <c r="G932" s="4" t="s">
        <v>4018</v>
      </c>
      <c r="H932" s="8"/>
      <c r="I932" s="9" t="s">
        <v>4013</v>
      </c>
      <c r="J932" s="10"/>
      <c r="K932" s="11">
        <v>240</v>
      </c>
      <c r="L932" s="11">
        <v>20</v>
      </c>
      <c r="M932" s="10" t="s">
        <v>304</v>
      </c>
      <c r="N932" s="10"/>
      <c r="O932" s="2">
        <v>20</v>
      </c>
      <c r="P932" s="17">
        <f>99*(1-S3/100)</f>
        <v>99</v>
      </c>
      <c r="Q932" s="18"/>
      <c r="R932" s="10">
        <f>P932*Q932</f>
        <v>0</v>
      </c>
      <c r="S932" s="10">
        <v>0</v>
      </c>
      <c r="T932" s="10">
        <v>0</v>
      </c>
      <c r="U932" s="21"/>
      <c r="V932" s="22" t="s">
        <v>4019</v>
      </c>
      <c r="W932" s="22" t="s">
        <v>191</v>
      </c>
      <c r="X932" s="3"/>
      <c r="Y932" s="3"/>
      <c r="Z932" s="3" t="s">
        <v>52</v>
      </c>
      <c r="AA932" s="3"/>
      <c r="AB932" s="3"/>
      <c r="AC932" s="3" t="str">
        <f>HYPERLINK("https://knigipp.ru/api/getInfo/image/1896432d-118e-11ed-a215-ac1f6b442185")</f>
        <v>https://knigipp.ru/api/getInfo/image/1896432d-118e-11ed-a215-ac1f6b442185</v>
      </c>
      <c r="AD932" s="32">
        <v>3</v>
      </c>
      <c r="AE932" s="3"/>
      <c r="AF932" s="3" t="s">
        <v>452</v>
      </c>
      <c r="AG932" s="3"/>
      <c r="AH932" s="3" t="s">
        <v>56</v>
      </c>
      <c r="AI932" s="3"/>
      <c r="AJ932" s="3"/>
      <c r="AK932" s="3" t="str">
        <f>HYPERLINK("https://knigipp.ru/api/getInfo/item/1896432d-118e-11ed-a215-ac1f6b442185")</f>
        <v>https://knigipp.ru/api/getInfo/item/1896432d-118e-11ed-a215-ac1f6b442185</v>
      </c>
      <c r="AL932" s="3" t="s">
        <v>4015</v>
      </c>
    </row>
    <row r="933" spans="1:38" ht="21" customHeight="1" outlineLevel="4" x14ac:dyDescent="0.2">
      <c r="A933" s="2">
        <v>691</v>
      </c>
      <c r="B933" s="3" t="s">
        <v>4020</v>
      </c>
      <c r="C933" s="49" t="s">
        <v>4021</v>
      </c>
      <c r="D933" s="49"/>
      <c r="E933" s="49"/>
      <c r="F933" s="49"/>
      <c r="G933" s="4" t="s">
        <v>4022</v>
      </c>
      <c r="H933" s="8"/>
      <c r="I933" s="9" t="s">
        <v>4013</v>
      </c>
      <c r="J933" s="10"/>
      <c r="K933" s="11">
        <v>240</v>
      </c>
      <c r="L933" s="11">
        <v>20</v>
      </c>
      <c r="M933" s="10" t="s">
        <v>47</v>
      </c>
      <c r="N933" s="10"/>
      <c r="O933" s="2">
        <v>20</v>
      </c>
      <c r="P933" s="17">
        <f>99*(1-S3/100)</f>
        <v>99</v>
      </c>
      <c r="Q933" s="18"/>
      <c r="R933" s="10">
        <f>P933*Q933</f>
        <v>0</v>
      </c>
      <c r="S933" s="19">
        <f>0.018*Q933</f>
        <v>0</v>
      </c>
      <c r="T933" s="20">
        <f>0.00003*Q933</f>
        <v>0</v>
      </c>
      <c r="U933" s="21"/>
      <c r="V933" s="22" t="s">
        <v>4023</v>
      </c>
      <c r="W933" s="22" t="s">
        <v>191</v>
      </c>
      <c r="X933" s="3"/>
      <c r="Y933" s="3"/>
      <c r="Z933" s="3" t="s">
        <v>52</v>
      </c>
      <c r="AA933" s="3"/>
      <c r="AB933" s="3"/>
      <c r="AC933" s="3" t="str">
        <f>HYPERLINK("https://knigipp.ru/api/getInfo/image/1951d1b5-118f-11ed-a215-ac1f6b442185")</f>
        <v>https://knigipp.ru/api/getInfo/image/1951d1b5-118f-11ed-a215-ac1f6b442185</v>
      </c>
      <c r="AD933" s="32">
        <v>3</v>
      </c>
      <c r="AE933" s="3"/>
      <c r="AF933" s="3" t="s">
        <v>452</v>
      </c>
      <c r="AG933" s="3"/>
      <c r="AH933" s="3" t="s">
        <v>56</v>
      </c>
      <c r="AI933" s="3"/>
      <c r="AJ933" s="3"/>
      <c r="AK933" s="3" t="str">
        <f>HYPERLINK("https://knigipp.ru/api/getInfo/item/1951d1b5-118f-11ed-a215-ac1f6b442185")</f>
        <v>https://knigipp.ru/api/getInfo/item/1951d1b5-118f-11ed-a215-ac1f6b442185</v>
      </c>
      <c r="AL933" s="3" t="s">
        <v>4015</v>
      </c>
    </row>
    <row r="934" spans="1:38" ht="23.1" customHeight="1" outlineLevel="3" x14ac:dyDescent="0.2">
      <c r="A934" s="48" t="s">
        <v>4024</v>
      </c>
      <c r="B934" s="48"/>
      <c r="C934" s="48"/>
      <c r="D934" s="48"/>
      <c r="E934" s="48"/>
      <c r="F934" s="48"/>
    </row>
    <row r="935" spans="1:38" ht="21" customHeight="1" outlineLevel="4" x14ac:dyDescent="0.2">
      <c r="A935" s="2">
        <v>692</v>
      </c>
      <c r="B935" s="3" t="s">
        <v>4025</v>
      </c>
      <c r="C935" s="49" t="s">
        <v>4026</v>
      </c>
      <c r="D935" s="49"/>
      <c r="E935" s="49"/>
      <c r="F935" s="49"/>
      <c r="G935" s="4" t="s">
        <v>4027</v>
      </c>
      <c r="H935" s="8"/>
      <c r="I935" s="9" t="s">
        <v>4028</v>
      </c>
      <c r="J935" s="10"/>
      <c r="K935" s="38">
        <v>3000</v>
      </c>
      <c r="L935" s="11">
        <v>20</v>
      </c>
      <c r="M935" s="10" t="s">
        <v>47</v>
      </c>
      <c r="N935" s="10"/>
      <c r="O935" s="2">
        <v>20</v>
      </c>
      <c r="P935" s="17">
        <f>29*(1-S3/100)</f>
        <v>29</v>
      </c>
      <c r="Q935" s="18"/>
      <c r="R935" s="10">
        <f>P935*Q935</f>
        <v>0</v>
      </c>
      <c r="S935" s="19">
        <f>0.001*Q935</f>
        <v>0</v>
      </c>
      <c r="T935" s="20">
        <f>0.00002*Q935</f>
        <v>0</v>
      </c>
      <c r="U935" s="21"/>
      <c r="V935" s="22" t="s">
        <v>4029</v>
      </c>
      <c r="W935" s="22" t="s">
        <v>191</v>
      </c>
      <c r="X935" s="3"/>
      <c r="Y935" s="3"/>
      <c r="Z935" s="3" t="s">
        <v>52</v>
      </c>
      <c r="AA935" s="3"/>
      <c r="AB935" s="3"/>
      <c r="AC935" s="3" t="str">
        <f>HYPERLINK("https://knigipp.ru/api/getInfo/image/271ff0f1-03fd-11ed-a213-ac1f6b442185")</f>
        <v>https://knigipp.ru/api/getInfo/image/271ff0f1-03fd-11ed-a213-ac1f6b442185</v>
      </c>
      <c r="AD935" s="32">
        <v>1</v>
      </c>
      <c r="AE935" s="3"/>
      <c r="AF935" s="3" t="s">
        <v>452</v>
      </c>
      <c r="AG935" s="3"/>
      <c r="AH935" s="3" t="s">
        <v>56</v>
      </c>
      <c r="AI935" s="3"/>
      <c r="AJ935" s="3"/>
      <c r="AK935" s="3" t="str">
        <f>HYPERLINK("https://knigipp.ru/api/getInfo/item/271ff0f1-03fd-11ed-a213-ac1f6b442185")</f>
        <v>https://knigipp.ru/api/getInfo/item/271ff0f1-03fd-11ed-a213-ac1f6b442185</v>
      </c>
      <c r="AL935" s="3" t="s">
        <v>4030</v>
      </c>
    </row>
    <row r="936" spans="1:38" ht="21" customHeight="1" outlineLevel="4" x14ac:dyDescent="0.2">
      <c r="A936" s="2">
        <v>693</v>
      </c>
      <c r="B936" s="3" t="s">
        <v>4031</v>
      </c>
      <c r="C936" s="49" t="s">
        <v>4032</v>
      </c>
      <c r="D936" s="49"/>
      <c r="E936" s="49"/>
      <c r="F936" s="49"/>
      <c r="G936" s="4" t="s">
        <v>4033</v>
      </c>
      <c r="H936" s="8"/>
      <c r="I936" s="9" t="s">
        <v>4034</v>
      </c>
      <c r="J936" s="10"/>
      <c r="K936" s="38">
        <v>3000</v>
      </c>
      <c r="L936" s="11">
        <v>20</v>
      </c>
      <c r="M936" s="10" t="s">
        <v>304</v>
      </c>
      <c r="N936" s="10"/>
      <c r="O936" s="2">
        <v>20</v>
      </c>
      <c r="P936" s="17">
        <f>29*(1-S3/100)</f>
        <v>29</v>
      </c>
      <c r="Q936" s="18"/>
      <c r="R936" s="10">
        <f>P936*Q936</f>
        <v>0</v>
      </c>
      <c r="S936" s="19">
        <f>0.016*Q936</f>
        <v>0</v>
      </c>
      <c r="T936" s="20">
        <f>0.00003*Q936</f>
        <v>0</v>
      </c>
      <c r="U936" s="21"/>
      <c r="V936" s="22" t="s">
        <v>4035</v>
      </c>
      <c r="W936" s="22" t="s">
        <v>191</v>
      </c>
      <c r="X936" s="3"/>
      <c r="Y936" s="3"/>
      <c r="Z936" s="3" t="s">
        <v>52</v>
      </c>
      <c r="AA936" s="3"/>
      <c r="AB936" s="3"/>
      <c r="AC936" s="3" t="str">
        <f>HYPERLINK("https://knigipp.ru/api/getInfo/image/a0eba42a-cba3-11ec-a212-ac1f6b442185")</f>
        <v>https://knigipp.ru/api/getInfo/image/a0eba42a-cba3-11ec-a212-ac1f6b442185</v>
      </c>
      <c r="AD936" s="32">
        <v>1</v>
      </c>
      <c r="AE936" s="3"/>
      <c r="AF936" s="3" t="s">
        <v>452</v>
      </c>
      <c r="AG936" s="3"/>
      <c r="AH936" s="3" t="s">
        <v>56</v>
      </c>
      <c r="AI936" s="3"/>
      <c r="AJ936" s="3"/>
      <c r="AK936" s="3" t="str">
        <f>HYPERLINK("https://knigipp.ru/api/getInfo/item/a0eba42a-cba3-11ec-a212-ac1f6b442185")</f>
        <v>https://knigipp.ru/api/getInfo/item/a0eba42a-cba3-11ec-a212-ac1f6b442185</v>
      </c>
      <c r="AL936" s="3" t="s">
        <v>4030</v>
      </c>
    </row>
    <row r="937" spans="1:38" ht="21" customHeight="1" outlineLevel="4" x14ac:dyDescent="0.2">
      <c r="A937" s="2">
        <v>694</v>
      </c>
      <c r="B937" s="3" t="s">
        <v>4036</v>
      </c>
      <c r="C937" s="49" t="s">
        <v>4037</v>
      </c>
      <c r="D937" s="49"/>
      <c r="E937" s="49"/>
      <c r="F937" s="49"/>
      <c r="G937" s="4" t="s">
        <v>4038</v>
      </c>
      <c r="H937" s="8"/>
      <c r="I937" s="9" t="s">
        <v>4028</v>
      </c>
      <c r="J937" s="10"/>
      <c r="K937" s="38">
        <v>3000</v>
      </c>
      <c r="L937" s="11">
        <v>20</v>
      </c>
      <c r="M937" s="10" t="s">
        <v>47</v>
      </c>
      <c r="N937" s="10"/>
      <c r="O937" s="2">
        <v>20</v>
      </c>
      <c r="P937" s="17">
        <f>29*(1-S3/100)</f>
        <v>29</v>
      </c>
      <c r="Q937" s="18"/>
      <c r="R937" s="10">
        <f>P937*Q937</f>
        <v>0</v>
      </c>
      <c r="S937" s="19">
        <f>0.053*Q937</f>
        <v>0</v>
      </c>
      <c r="T937" s="20">
        <f>0.00005*Q937</f>
        <v>0</v>
      </c>
      <c r="U937" s="21"/>
      <c r="V937" s="22" t="s">
        <v>4039</v>
      </c>
      <c r="W937" s="22" t="s">
        <v>191</v>
      </c>
      <c r="X937" s="3"/>
      <c r="Y937" s="3"/>
      <c r="Z937" s="3" t="s">
        <v>52</v>
      </c>
      <c r="AA937" s="3"/>
      <c r="AB937" s="3"/>
      <c r="AC937" s="3" t="str">
        <f>HYPERLINK("https://knigipp.ru/api/getInfo/image/f09bfcd5-03fc-11ed-a213-ac1f6b442185")</f>
        <v>https://knigipp.ru/api/getInfo/image/f09bfcd5-03fc-11ed-a213-ac1f6b442185</v>
      </c>
      <c r="AD937" s="32">
        <v>1</v>
      </c>
      <c r="AE937" s="3"/>
      <c r="AF937" s="3" t="s">
        <v>452</v>
      </c>
      <c r="AG937" s="3"/>
      <c r="AH937" s="3" t="s">
        <v>56</v>
      </c>
      <c r="AI937" s="3"/>
      <c r="AJ937" s="3"/>
      <c r="AK937" s="3" t="str">
        <f>HYPERLINK("https://knigipp.ru/api/getInfo/item/f09bfcd5-03fc-11ed-a213-ac1f6b442185")</f>
        <v>https://knigipp.ru/api/getInfo/item/f09bfcd5-03fc-11ed-a213-ac1f6b442185</v>
      </c>
      <c r="AL937" s="3" t="s">
        <v>4030</v>
      </c>
    </row>
    <row r="938" spans="1:38" ht="23.1" customHeight="1" outlineLevel="3" x14ac:dyDescent="0.2">
      <c r="A938" s="48" t="s">
        <v>4040</v>
      </c>
      <c r="B938" s="48"/>
      <c r="C938" s="48"/>
      <c r="D938" s="48"/>
      <c r="E938" s="48"/>
      <c r="F938" s="48"/>
    </row>
    <row r="939" spans="1:38" ht="21" customHeight="1" outlineLevel="4" x14ac:dyDescent="0.2">
      <c r="A939" s="2">
        <v>695</v>
      </c>
      <c r="B939" s="3" t="s">
        <v>4041</v>
      </c>
      <c r="C939" s="49" t="s">
        <v>4042</v>
      </c>
      <c r="D939" s="49"/>
      <c r="E939" s="49"/>
      <c r="F939" s="49"/>
      <c r="G939" s="4" t="s">
        <v>4043</v>
      </c>
      <c r="H939" s="8"/>
      <c r="I939" s="9" t="s">
        <v>4044</v>
      </c>
      <c r="J939" s="10"/>
      <c r="K939" s="11">
        <v>50</v>
      </c>
      <c r="L939" s="10"/>
      <c r="M939" s="10" t="s">
        <v>78</v>
      </c>
      <c r="N939" s="10"/>
      <c r="O939" s="2">
        <v>5</v>
      </c>
      <c r="P939" s="17">
        <f>119*(1-S3/100)</f>
        <v>119</v>
      </c>
      <c r="Q939" s="18"/>
      <c r="R939" s="10">
        <f>P939*Q939</f>
        <v>0</v>
      </c>
      <c r="S939" s="10">
        <v>0</v>
      </c>
      <c r="T939" s="10">
        <v>0</v>
      </c>
      <c r="U939" s="21"/>
      <c r="V939" s="22" t="s">
        <v>4045</v>
      </c>
      <c r="W939" s="22" t="s">
        <v>191</v>
      </c>
      <c r="X939" s="3"/>
      <c r="Y939" s="3"/>
      <c r="Z939" s="3" t="s">
        <v>52</v>
      </c>
      <c r="AA939" s="3"/>
      <c r="AB939" s="3"/>
      <c r="AC939" s="3" t="str">
        <f>HYPERLINK("https://knigipp.ru/api/getInfo/image/85bfaa11-cba0-11ec-a212-ac1f6b442185")</f>
        <v>https://knigipp.ru/api/getInfo/image/85bfaa11-cba0-11ec-a212-ac1f6b442185</v>
      </c>
      <c r="AD939" s="32">
        <v>8</v>
      </c>
      <c r="AE939" s="3"/>
      <c r="AF939" s="3" t="s">
        <v>136</v>
      </c>
      <c r="AG939" s="3"/>
      <c r="AH939" s="3" t="s">
        <v>56</v>
      </c>
      <c r="AI939" s="3"/>
      <c r="AJ939" s="3"/>
      <c r="AK939" s="3" t="str">
        <f>HYPERLINK("https://knigipp.ru/api/getInfo/item/85bfaa11-cba0-11ec-a212-ac1f6b442185")</f>
        <v>https://knigipp.ru/api/getInfo/item/85bfaa11-cba0-11ec-a212-ac1f6b442185</v>
      </c>
      <c r="AL939" s="3" t="s">
        <v>4046</v>
      </c>
    </row>
    <row r="940" spans="1:38" ht="23.1" customHeight="1" outlineLevel="3" x14ac:dyDescent="0.2">
      <c r="A940" s="48" t="s">
        <v>4047</v>
      </c>
      <c r="B940" s="48"/>
      <c r="C940" s="48"/>
      <c r="D940" s="48"/>
      <c r="E940" s="48"/>
      <c r="F940" s="48"/>
    </row>
    <row r="941" spans="1:38" ht="21" customHeight="1" outlineLevel="4" x14ac:dyDescent="0.2">
      <c r="A941" s="2">
        <v>696</v>
      </c>
      <c r="B941" s="3" t="s">
        <v>4048</v>
      </c>
      <c r="C941" s="49" t="s">
        <v>4049</v>
      </c>
      <c r="D941" s="49"/>
      <c r="E941" s="49"/>
      <c r="F941" s="49"/>
      <c r="G941" s="4" t="s">
        <v>4050</v>
      </c>
      <c r="H941" s="8"/>
      <c r="I941" s="9" t="s">
        <v>4051</v>
      </c>
      <c r="J941" s="10"/>
      <c r="K941" s="11">
        <v>50</v>
      </c>
      <c r="L941" s="10"/>
      <c r="M941" s="10" t="s">
        <v>304</v>
      </c>
      <c r="N941" s="10"/>
      <c r="O941" s="2">
        <v>4</v>
      </c>
      <c r="P941" s="17">
        <f>179*(1-S3/100)</f>
        <v>179</v>
      </c>
      <c r="Q941" s="18"/>
      <c r="R941" s="10">
        <f>P941*Q941</f>
        <v>0</v>
      </c>
      <c r="S941" s="19">
        <f>0.043*Q941</f>
        <v>0</v>
      </c>
      <c r="T941" s="20">
        <f>0.00009*Q941</f>
        <v>0</v>
      </c>
      <c r="U941" s="21"/>
      <c r="V941" s="22" t="s">
        <v>4052</v>
      </c>
      <c r="W941" s="22" t="s">
        <v>191</v>
      </c>
      <c r="X941" s="3"/>
      <c r="Y941" s="3" t="s">
        <v>4053</v>
      </c>
      <c r="Z941" s="3" t="s">
        <v>52</v>
      </c>
      <c r="AA941" s="3"/>
      <c r="AB941" s="3"/>
      <c r="AC941" s="3" t="str">
        <f>HYPERLINK("https://knigipp.ru/api/getInfo/image/7eb464e5-1f4d-11ef-a25f-00155d82e908")</f>
        <v>https://knigipp.ru/api/getInfo/image/7eb464e5-1f4d-11ef-a25f-00155d82e908</v>
      </c>
      <c r="AD941" s="32">
        <v>8</v>
      </c>
      <c r="AE941" s="3" t="s">
        <v>54</v>
      </c>
      <c r="AF941" s="3" t="s">
        <v>136</v>
      </c>
      <c r="AG941" s="3"/>
      <c r="AH941" s="3" t="s">
        <v>56</v>
      </c>
      <c r="AI941" s="3"/>
      <c r="AJ941" s="3"/>
      <c r="AK941" s="3" t="str">
        <f>HYPERLINK("https://knigipp.ru/api/getInfo/item/7eb464e5-1f4d-11ef-a25f-00155d82e908")</f>
        <v>https://knigipp.ru/api/getInfo/item/7eb464e5-1f4d-11ef-a25f-00155d82e908</v>
      </c>
      <c r="AL941" s="3" t="s">
        <v>665</v>
      </c>
    </row>
    <row r="942" spans="1:38" ht="23.1" customHeight="1" outlineLevel="3" x14ac:dyDescent="0.2">
      <c r="A942" s="48" t="s">
        <v>4054</v>
      </c>
      <c r="B942" s="48"/>
      <c r="C942" s="48"/>
      <c r="D942" s="48"/>
      <c r="E942" s="48"/>
      <c r="F942" s="48"/>
    </row>
    <row r="943" spans="1:38" ht="21" customHeight="1" outlineLevel="4" x14ac:dyDescent="0.2">
      <c r="A943" s="2">
        <v>697</v>
      </c>
      <c r="B943" s="3" t="s">
        <v>4055</v>
      </c>
      <c r="C943" s="49" t="s">
        <v>4056</v>
      </c>
      <c r="D943" s="49"/>
      <c r="E943" s="49"/>
      <c r="F943" s="49"/>
      <c r="G943" s="4" t="s">
        <v>4057</v>
      </c>
      <c r="H943" s="8"/>
      <c r="I943" s="9" t="s">
        <v>4058</v>
      </c>
      <c r="J943" s="10"/>
      <c r="K943" s="11">
        <v>80</v>
      </c>
      <c r="L943" s="10"/>
      <c r="M943" s="10" t="s">
        <v>47</v>
      </c>
      <c r="N943" s="10"/>
      <c r="O943" s="2">
        <v>4</v>
      </c>
      <c r="P943" s="17">
        <f>155*(1-S3/100)</f>
        <v>155</v>
      </c>
      <c r="Q943" s="18"/>
      <c r="R943" s="10">
        <f>P943*Q943</f>
        <v>0</v>
      </c>
      <c r="S943" s="19">
        <f>0.032*Q943</f>
        <v>0</v>
      </c>
      <c r="T943" s="20">
        <f>0.00006*Q943</f>
        <v>0</v>
      </c>
      <c r="U943" s="21"/>
      <c r="V943" s="22" t="s">
        <v>4059</v>
      </c>
      <c r="W943" s="22" t="s">
        <v>191</v>
      </c>
      <c r="X943" s="3"/>
      <c r="Y943" s="3"/>
      <c r="Z943" s="3" t="s">
        <v>52</v>
      </c>
      <c r="AA943" s="3"/>
      <c r="AB943" s="3"/>
      <c r="AC943" s="3" t="str">
        <f>HYPERLINK("https://knigipp.ru/api/getInfo/image/2fe2ed54-d1e9-11ec-a212-ac1f6b442185")</f>
        <v>https://knigipp.ru/api/getInfo/image/2fe2ed54-d1e9-11ec-a212-ac1f6b442185</v>
      </c>
      <c r="AD943" s="32">
        <v>8</v>
      </c>
      <c r="AE943" s="3"/>
      <c r="AF943" s="3" t="s">
        <v>452</v>
      </c>
      <c r="AG943" s="3"/>
      <c r="AH943" s="3" t="s">
        <v>56</v>
      </c>
      <c r="AI943" s="3"/>
      <c r="AJ943" s="3"/>
      <c r="AK943" s="3" t="str">
        <f>HYPERLINK("https://knigipp.ru/api/getInfo/item/2fe2ed54-d1e9-11ec-a212-ac1f6b442185")</f>
        <v>https://knigipp.ru/api/getInfo/item/2fe2ed54-d1e9-11ec-a212-ac1f6b442185</v>
      </c>
      <c r="AL943" s="3" t="s">
        <v>4060</v>
      </c>
    </row>
    <row r="944" spans="1:38" ht="23.1" customHeight="1" outlineLevel="2" x14ac:dyDescent="0.2">
      <c r="A944" s="47" t="s">
        <v>4061</v>
      </c>
      <c r="B944" s="47"/>
      <c r="C944" s="47"/>
      <c r="D944" s="47"/>
      <c r="E944" s="47"/>
      <c r="F944" s="47"/>
    </row>
    <row r="945" spans="1:38" ht="23.1" customHeight="1" outlineLevel="3" x14ac:dyDescent="0.2">
      <c r="A945" s="48" t="s">
        <v>4062</v>
      </c>
      <c r="B945" s="48"/>
      <c r="C945" s="48"/>
      <c r="D945" s="48"/>
      <c r="E945" s="48"/>
      <c r="F945" s="48"/>
    </row>
    <row r="946" spans="1:38" ht="21" customHeight="1" outlineLevel="4" x14ac:dyDescent="0.2">
      <c r="A946" s="2">
        <v>698</v>
      </c>
      <c r="B946" s="3" t="s">
        <v>4063</v>
      </c>
      <c r="C946" s="49" t="s">
        <v>4064</v>
      </c>
      <c r="D946" s="49"/>
      <c r="E946" s="49"/>
      <c r="F946" s="49"/>
      <c r="G946" s="4" t="s">
        <v>4065</v>
      </c>
      <c r="H946" s="8"/>
      <c r="I946" s="9" t="s">
        <v>4066</v>
      </c>
      <c r="J946" s="10"/>
      <c r="K946" s="11">
        <v>10</v>
      </c>
      <c r="L946" s="10"/>
      <c r="M946" s="10" t="s">
        <v>47</v>
      </c>
      <c r="N946" s="10"/>
      <c r="O946" s="2">
        <v>3</v>
      </c>
      <c r="P946" s="17">
        <f>219*(1-S3/100)</f>
        <v>219</v>
      </c>
      <c r="Q946" s="18"/>
      <c r="R946" s="10">
        <f t="shared" ref="R946:R977" si="37">P946*Q946</f>
        <v>0</v>
      </c>
      <c r="S946" s="19">
        <f>0.294*Q946</f>
        <v>0</v>
      </c>
      <c r="T946" s="20">
        <f>0.00066*Q946</f>
        <v>0</v>
      </c>
      <c r="U946" s="21"/>
      <c r="V946" s="22" t="s">
        <v>4067</v>
      </c>
      <c r="W946" s="22" t="s">
        <v>191</v>
      </c>
      <c r="X946" s="3"/>
      <c r="Y946" s="3" t="s">
        <v>4068</v>
      </c>
      <c r="Z946" s="3" t="s">
        <v>52</v>
      </c>
      <c r="AA946" s="3"/>
      <c r="AB946" s="3"/>
      <c r="AC946" s="3" t="str">
        <f>HYPERLINK("https://knigipp.ru/api/getInfo/image/fd0e7842-c4e1-11ef-a268-00155d82e908")</f>
        <v>https://knigipp.ru/api/getInfo/image/fd0e7842-c4e1-11ef-a268-00155d82e908</v>
      </c>
      <c r="AD946" s="32">
        <v>160</v>
      </c>
      <c r="AE946" s="3" t="s">
        <v>481</v>
      </c>
      <c r="AF946" s="3" t="s">
        <v>127</v>
      </c>
      <c r="AG946" s="32">
        <v>70</v>
      </c>
      <c r="AH946" s="3" t="s">
        <v>56</v>
      </c>
      <c r="AI946" s="3"/>
      <c r="AJ946" s="3" t="s">
        <v>4069</v>
      </c>
      <c r="AK946" s="3" t="str">
        <f>HYPERLINK("https://knigipp.ru/api/getInfo/item/fd0e7842-c4e1-11ef-a268-00155d82e908")</f>
        <v>https://knigipp.ru/api/getInfo/item/fd0e7842-c4e1-11ef-a268-00155d82e908</v>
      </c>
      <c r="AL946" s="3" t="s">
        <v>2576</v>
      </c>
    </row>
    <row r="947" spans="1:38" ht="21" customHeight="1" outlineLevel="4" x14ac:dyDescent="0.2">
      <c r="A947" s="2">
        <v>699</v>
      </c>
      <c r="B947" s="3" t="s">
        <v>4070</v>
      </c>
      <c r="C947" s="49" t="s">
        <v>4071</v>
      </c>
      <c r="D947" s="49"/>
      <c r="E947" s="49"/>
      <c r="F947" s="49"/>
      <c r="G947" s="4" t="s">
        <v>4072</v>
      </c>
      <c r="H947" s="8"/>
      <c r="I947" s="9" t="s">
        <v>4066</v>
      </c>
      <c r="J947" s="10"/>
      <c r="K947" s="11">
        <v>10</v>
      </c>
      <c r="L947" s="10"/>
      <c r="M947" s="10" t="s">
        <v>47</v>
      </c>
      <c r="N947" s="10"/>
      <c r="O947" s="2">
        <v>3</v>
      </c>
      <c r="P947" s="17">
        <f>219*(1-S3/100)</f>
        <v>219</v>
      </c>
      <c r="Q947" s="18"/>
      <c r="R947" s="10">
        <f t="shared" si="37"/>
        <v>0</v>
      </c>
      <c r="S947" s="19">
        <f>0.294*Q947</f>
        <v>0</v>
      </c>
      <c r="T947" s="20">
        <f>0.00033*Q947</f>
        <v>0</v>
      </c>
      <c r="U947" s="21"/>
      <c r="V947" s="22" t="s">
        <v>4073</v>
      </c>
      <c r="W947" s="22" t="s">
        <v>191</v>
      </c>
      <c r="X947" s="3"/>
      <c r="Y947" s="3"/>
      <c r="Z947" s="3"/>
      <c r="AA947" s="3"/>
      <c r="AB947" s="3"/>
      <c r="AC947" s="3" t="str">
        <f>HYPERLINK("https://knigipp.ru/api/getInfo/image/a8849eb4-cba6-11ec-a212-ac1f6b442185")</f>
        <v>https://knigipp.ru/api/getInfo/image/a8849eb4-cba6-11ec-a212-ac1f6b442185</v>
      </c>
      <c r="AD947" s="32">
        <v>160</v>
      </c>
      <c r="AE947" s="3"/>
      <c r="AF947" s="3" t="s">
        <v>127</v>
      </c>
      <c r="AG947" s="32">
        <v>70</v>
      </c>
      <c r="AH947" s="3" t="s">
        <v>56</v>
      </c>
      <c r="AI947" s="3"/>
      <c r="AJ947" s="3" t="s">
        <v>4069</v>
      </c>
      <c r="AK947" s="3" t="str">
        <f>HYPERLINK("https://knigipp.ru/api/getInfo/item/a8849eb4-cba6-11ec-a212-ac1f6b442185")</f>
        <v>https://knigipp.ru/api/getInfo/item/a8849eb4-cba6-11ec-a212-ac1f6b442185</v>
      </c>
      <c r="AL947" s="3" t="s">
        <v>2576</v>
      </c>
    </row>
    <row r="948" spans="1:38" ht="21" customHeight="1" outlineLevel="4" x14ac:dyDescent="0.2">
      <c r="A948" s="2">
        <v>700</v>
      </c>
      <c r="B948" s="3" t="s">
        <v>4074</v>
      </c>
      <c r="C948" s="49" t="s">
        <v>4075</v>
      </c>
      <c r="D948" s="49"/>
      <c r="E948" s="49"/>
      <c r="F948" s="49"/>
      <c r="G948" s="4" t="s">
        <v>4076</v>
      </c>
      <c r="H948" s="8"/>
      <c r="I948" s="9" t="s">
        <v>4066</v>
      </c>
      <c r="J948" s="10"/>
      <c r="K948" s="11">
        <v>10</v>
      </c>
      <c r="L948" s="10"/>
      <c r="M948" s="10" t="s">
        <v>47</v>
      </c>
      <c r="N948" s="10"/>
      <c r="O948" s="2">
        <v>3</v>
      </c>
      <c r="P948" s="17">
        <f>219*(1-S3/100)</f>
        <v>219</v>
      </c>
      <c r="Q948" s="18"/>
      <c r="R948" s="10">
        <f t="shared" si="37"/>
        <v>0</v>
      </c>
      <c r="S948" s="19">
        <f>0.295*Q948</f>
        <v>0</v>
      </c>
      <c r="T948" s="20">
        <f>0.00053*Q948</f>
        <v>0</v>
      </c>
      <c r="U948" s="21"/>
      <c r="V948" s="22" t="s">
        <v>4077</v>
      </c>
      <c r="W948" s="22" t="s">
        <v>191</v>
      </c>
      <c r="X948" s="3"/>
      <c r="Y948" s="3"/>
      <c r="Z948" s="3" t="s">
        <v>52</v>
      </c>
      <c r="AA948" s="3"/>
      <c r="AB948" s="3"/>
      <c r="AC948" s="3" t="str">
        <f>HYPERLINK("https://knigipp.ru/api/getInfo/image/e223c7f6-b6cc-11ee-a25a-00155d82e908")</f>
        <v>https://knigipp.ru/api/getInfo/image/e223c7f6-b6cc-11ee-a25a-00155d82e908</v>
      </c>
      <c r="AD948" s="32">
        <v>160</v>
      </c>
      <c r="AE948" s="3" t="s">
        <v>481</v>
      </c>
      <c r="AF948" s="3" t="s">
        <v>127</v>
      </c>
      <c r="AG948" s="32">
        <v>70</v>
      </c>
      <c r="AH948" s="3" t="s">
        <v>56</v>
      </c>
      <c r="AI948" s="3"/>
      <c r="AJ948" s="3" t="s">
        <v>4069</v>
      </c>
      <c r="AK948" s="3" t="str">
        <f>HYPERLINK("https://knigipp.ru/api/getInfo/item/e223c7f6-b6cc-11ee-a25a-00155d82e908")</f>
        <v>https://knigipp.ru/api/getInfo/item/e223c7f6-b6cc-11ee-a25a-00155d82e908</v>
      </c>
      <c r="AL948" s="3" t="s">
        <v>2576</v>
      </c>
    </row>
    <row r="949" spans="1:38" ht="21" customHeight="1" outlineLevel="4" x14ac:dyDescent="0.2">
      <c r="A949" s="2">
        <v>701</v>
      </c>
      <c r="B949" s="3" t="s">
        <v>4078</v>
      </c>
      <c r="C949" s="49" t="s">
        <v>4079</v>
      </c>
      <c r="D949" s="49"/>
      <c r="E949" s="49"/>
      <c r="F949" s="49"/>
      <c r="G949" s="4" t="s">
        <v>4080</v>
      </c>
      <c r="H949" s="8"/>
      <c r="I949" s="9" t="s">
        <v>4066</v>
      </c>
      <c r="J949" s="10"/>
      <c r="K949" s="11">
        <v>10</v>
      </c>
      <c r="L949" s="10"/>
      <c r="M949" s="10" t="s">
        <v>47</v>
      </c>
      <c r="N949" s="10"/>
      <c r="O949" s="2">
        <v>3</v>
      </c>
      <c r="P949" s="17">
        <f>219*(1-S3/100)</f>
        <v>219</v>
      </c>
      <c r="Q949" s="18"/>
      <c r="R949" s="10">
        <f t="shared" si="37"/>
        <v>0</v>
      </c>
      <c r="S949" s="19">
        <f>0.296*Q949</f>
        <v>0</v>
      </c>
      <c r="T949" s="30">
        <f>0.0007*Q949</f>
        <v>0</v>
      </c>
      <c r="U949" s="21"/>
      <c r="V949" s="22" t="s">
        <v>4081</v>
      </c>
      <c r="W949" s="22" t="s">
        <v>191</v>
      </c>
      <c r="X949" s="3"/>
      <c r="Y949" s="3"/>
      <c r="Z949" s="3"/>
      <c r="AA949" s="3"/>
      <c r="AB949" s="3"/>
      <c r="AC949" s="3" t="str">
        <f>HYPERLINK("https://knigipp.ru/api/getInfo/image/440e7931-e1a4-11ec-a213-ac1f6b442185")</f>
        <v>https://knigipp.ru/api/getInfo/image/440e7931-e1a4-11ec-a213-ac1f6b442185</v>
      </c>
      <c r="AD949" s="32">
        <v>160</v>
      </c>
      <c r="AE949" s="3"/>
      <c r="AF949" s="3" t="s">
        <v>127</v>
      </c>
      <c r="AG949" s="32">
        <v>70</v>
      </c>
      <c r="AH949" s="3" t="s">
        <v>56</v>
      </c>
      <c r="AI949" s="3"/>
      <c r="AJ949" s="3" t="s">
        <v>4069</v>
      </c>
      <c r="AK949" s="3" t="str">
        <f>HYPERLINK("https://knigipp.ru/api/getInfo/item/440e7931-e1a4-11ec-a213-ac1f6b442185")</f>
        <v>https://knigipp.ru/api/getInfo/item/440e7931-e1a4-11ec-a213-ac1f6b442185</v>
      </c>
      <c r="AL949" s="3" t="s">
        <v>2576</v>
      </c>
    </row>
    <row r="950" spans="1:38" ht="21" customHeight="1" outlineLevel="4" x14ac:dyDescent="0.2">
      <c r="A950" s="2">
        <v>702</v>
      </c>
      <c r="B950" s="3" t="s">
        <v>4082</v>
      </c>
      <c r="C950" s="49" t="s">
        <v>4083</v>
      </c>
      <c r="D950" s="49"/>
      <c r="E950" s="49"/>
      <c r="F950" s="49"/>
      <c r="G950" s="4" t="s">
        <v>4084</v>
      </c>
      <c r="H950" s="8"/>
      <c r="I950" s="9" t="s">
        <v>4066</v>
      </c>
      <c r="J950" s="10"/>
      <c r="K950" s="11">
        <v>10</v>
      </c>
      <c r="L950" s="10"/>
      <c r="M950" s="10" t="s">
        <v>47</v>
      </c>
      <c r="N950" s="10"/>
      <c r="O950" s="2">
        <v>3</v>
      </c>
      <c r="P950" s="17">
        <f>219*(1-S3/100)</f>
        <v>219</v>
      </c>
      <c r="Q950" s="18"/>
      <c r="R950" s="10">
        <f t="shared" si="37"/>
        <v>0</v>
      </c>
      <c r="S950" s="19">
        <f>0.305*Q950</f>
        <v>0</v>
      </c>
      <c r="T950" s="20">
        <f>0.00054*Q950</f>
        <v>0</v>
      </c>
      <c r="U950" s="21"/>
      <c r="V950" s="22" t="s">
        <v>4085</v>
      </c>
      <c r="W950" s="22" t="s">
        <v>191</v>
      </c>
      <c r="X950" s="3"/>
      <c r="Y950" s="3"/>
      <c r="Z950" s="3" t="s">
        <v>52</v>
      </c>
      <c r="AA950" s="3"/>
      <c r="AB950" s="3"/>
      <c r="AC950" s="3" t="str">
        <f>HYPERLINK("https://knigipp.ru/api/getInfo/image/04152c04-4547-11ed-a216-ac1f6b442185")</f>
        <v>https://knigipp.ru/api/getInfo/image/04152c04-4547-11ed-a216-ac1f6b442185</v>
      </c>
      <c r="AD950" s="32">
        <v>160</v>
      </c>
      <c r="AE950" s="3" t="s">
        <v>355</v>
      </c>
      <c r="AF950" s="3" t="s">
        <v>127</v>
      </c>
      <c r="AG950" s="32">
        <v>70</v>
      </c>
      <c r="AH950" s="3" t="s">
        <v>56</v>
      </c>
      <c r="AI950" s="3"/>
      <c r="AJ950" s="3" t="s">
        <v>4069</v>
      </c>
      <c r="AK950" s="3" t="str">
        <f>HYPERLINK("https://knigipp.ru/api/getInfo/item/04152c04-4547-11ed-a216-ac1f6b442185")</f>
        <v>https://knigipp.ru/api/getInfo/item/04152c04-4547-11ed-a216-ac1f6b442185</v>
      </c>
      <c r="AL950" s="3" t="s">
        <v>2576</v>
      </c>
    </row>
    <row r="951" spans="1:38" ht="21" customHeight="1" outlineLevel="4" x14ac:dyDescent="0.2">
      <c r="A951" s="2">
        <v>703</v>
      </c>
      <c r="B951" s="3" t="s">
        <v>4086</v>
      </c>
      <c r="C951" s="49" t="s">
        <v>4087</v>
      </c>
      <c r="D951" s="49"/>
      <c r="E951" s="49"/>
      <c r="F951" s="49"/>
      <c r="G951" s="4" t="s">
        <v>4088</v>
      </c>
      <c r="H951" s="8"/>
      <c r="I951" s="9" t="s">
        <v>4066</v>
      </c>
      <c r="J951" s="10"/>
      <c r="K951" s="11">
        <v>10</v>
      </c>
      <c r="L951" s="10"/>
      <c r="M951" s="10" t="s">
        <v>47</v>
      </c>
      <c r="N951" s="10"/>
      <c r="O951" s="2">
        <v>3</v>
      </c>
      <c r="P951" s="17">
        <f>219*(1-S3/100)</f>
        <v>219</v>
      </c>
      <c r="Q951" s="18"/>
      <c r="R951" s="10">
        <f t="shared" si="37"/>
        <v>0</v>
      </c>
      <c r="S951" s="19">
        <f>0.292*Q951</f>
        <v>0</v>
      </c>
      <c r="T951" s="20">
        <f>0.00049*Q951</f>
        <v>0</v>
      </c>
      <c r="U951" s="21"/>
      <c r="V951" s="22" t="s">
        <v>4089</v>
      </c>
      <c r="W951" s="22" t="s">
        <v>191</v>
      </c>
      <c r="X951" s="3"/>
      <c r="Y951" s="3"/>
      <c r="Z951" s="3"/>
      <c r="AA951" s="3"/>
      <c r="AB951" s="3"/>
      <c r="AC951" s="3" t="str">
        <f>HYPERLINK("https://knigipp.ru/api/getInfo/image/99066c33-e1a3-11ec-a213-ac1f6b442185")</f>
        <v>https://knigipp.ru/api/getInfo/image/99066c33-e1a3-11ec-a213-ac1f6b442185</v>
      </c>
      <c r="AD951" s="32">
        <v>160</v>
      </c>
      <c r="AE951" s="3"/>
      <c r="AF951" s="3" t="s">
        <v>127</v>
      </c>
      <c r="AG951" s="32">
        <v>70</v>
      </c>
      <c r="AH951" s="3" t="s">
        <v>56</v>
      </c>
      <c r="AI951" s="3"/>
      <c r="AJ951" s="3" t="s">
        <v>4069</v>
      </c>
      <c r="AK951" s="3" t="str">
        <f>HYPERLINK("https://knigipp.ru/api/getInfo/item/99066c33-e1a3-11ec-a213-ac1f6b442185")</f>
        <v>https://knigipp.ru/api/getInfo/item/99066c33-e1a3-11ec-a213-ac1f6b442185</v>
      </c>
      <c r="AL951" s="3" t="s">
        <v>2576</v>
      </c>
    </row>
    <row r="952" spans="1:38" ht="21" customHeight="1" outlineLevel="4" x14ac:dyDescent="0.2">
      <c r="A952" s="2">
        <v>704</v>
      </c>
      <c r="B952" s="3" t="s">
        <v>4090</v>
      </c>
      <c r="C952" s="49" t="s">
        <v>4091</v>
      </c>
      <c r="D952" s="49"/>
      <c r="E952" s="49"/>
      <c r="F952" s="49"/>
      <c r="G952" s="4" t="s">
        <v>4092</v>
      </c>
      <c r="H952" s="8"/>
      <c r="I952" s="9" t="s">
        <v>4066</v>
      </c>
      <c r="J952" s="10"/>
      <c r="K952" s="11">
        <v>10</v>
      </c>
      <c r="L952" s="10"/>
      <c r="M952" s="10" t="s">
        <v>47</v>
      </c>
      <c r="N952" s="10"/>
      <c r="O952" s="2">
        <v>3</v>
      </c>
      <c r="P952" s="17">
        <f>219*(1-S3/100)</f>
        <v>219</v>
      </c>
      <c r="Q952" s="18"/>
      <c r="R952" s="10">
        <f t="shared" si="37"/>
        <v>0</v>
      </c>
      <c r="S952" s="19">
        <f>0.298*Q952</f>
        <v>0</v>
      </c>
      <c r="T952" s="20">
        <f>0.00062*Q952</f>
        <v>0</v>
      </c>
      <c r="U952" s="21"/>
      <c r="V952" s="22" t="s">
        <v>4093</v>
      </c>
      <c r="W952" s="22" t="s">
        <v>191</v>
      </c>
      <c r="X952" s="3"/>
      <c r="Y952" s="3"/>
      <c r="Z952" s="3" t="s">
        <v>52</v>
      </c>
      <c r="AA952" s="3"/>
      <c r="AB952" s="3"/>
      <c r="AC952" s="3" t="str">
        <f>HYPERLINK("https://knigipp.ru/api/getInfo/image/576ecf65-199a-11ee-a23b-00155d82e902")</f>
        <v>https://knigipp.ru/api/getInfo/image/576ecf65-199a-11ee-a23b-00155d82e902</v>
      </c>
      <c r="AD952" s="32">
        <v>160</v>
      </c>
      <c r="AE952" s="3" t="s">
        <v>355</v>
      </c>
      <c r="AF952" s="3" t="s">
        <v>127</v>
      </c>
      <c r="AG952" s="32">
        <v>70</v>
      </c>
      <c r="AH952" s="3" t="s">
        <v>56</v>
      </c>
      <c r="AI952" s="3"/>
      <c r="AJ952" s="3" t="s">
        <v>4069</v>
      </c>
      <c r="AK952" s="3" t="str">
        <f>HYPERLINK("https://knigipp.ru/api/getInfo/item/576ecf65-199a-11ee-a23b-00155d82e902")</f>
        <v>https://knigipp.ru/api/getInfo/item/576ecf65-199a-11ee-a23b-00155d82e902</v>
      </c>
      <c r="AL952" s="3" t="s">
        <v>2576</v>
      </c>
    </row>
    <row r="953" spans="1:38" ht="21" customHeight="1" outlineLevel="4" x14ac:dyDescent="0.2">
      <c r="A953" s="2">
        <v>705</v>
      </c>
      <c r="B953" s="3" t="s">
        <v>4094</v>
      </c>
      <c r="C953" s="49" t="s">
        <v>4095</v>
      </c>
      <c r="D953" s="49"/>
      <c r="E953" s="49"/>
      <c r="F953" s="49"/>
      <c r="G953" s="4" t="s">
        <v>4096</v>
      </c>
      <c r="H953" s="8"/>
      <c r="I953" s="9" t="s">
        <v>4066</v>
      </c>
      <c r="J953" s="10"/>
      <c r="K953" s="11">
        <v>10</v>
      </c>
      <c r="L953" s="10"/>
      <c r="M953" s="10" t="s">
        <v>47</v>
      </c>
      <c r="N953" s="10"/>
      <c r="O953" s="2">
        <v>3</v>
      </c>
      <c r="P953" s="17">
        <f>219*(1-S3/100)</f>
        <v>219</v>
      </c>
      <c r="Q953" s="18"/>
      <c r="R953" s="10">
        <f t="shared" si="37"/>
        <v>0</v>
      </c>
      <c r="S953" s="19">
        <f>0.298*Q953</f>
        <v>0</v>
      </c>
      <c r="T953" s="20">
        <f>0.00053*Q953</f>
        <v>0</v>
      </c>
      <c r="U953" s="21"/>
      <c r="V953" s="22" t="s">
        <v>4097</v>
      </c>
      <c r="W953" s="22" t="s">
        <v>191</v>
      </c>
      <c r="X953" s="3"/>
      <c r="Y953" s="3"/>
      <c r="Z953" s="3" t="s">
        <v>52</v>
      </c>
      <c r="AA953" s="3"/>
      <c r="AB953" s="3"/>
      <c r="AC953" s="3" t="str">
        <f>HYPERLINK("https://knigipp.ru/api/getInfo/image/bb26a0a3-4547-11ed-a216-ac1f6b442185")</f>
        <v>https://knigipp.ru/api/getInfo/image/bb26a0a3-4547-11ed-a216-ac1f6b442185</v>
      </c>
      <c r="AD953" s="32">
        <v>160</v>
      </c>
      <c r="AE953" s="3" t="s">
        <v>355</v>
      </c>
      <c r="AF953" s="3" t="s">
        <v>127</v>
      </c>
      <c r="AG953" s="32">
        <v>70</v>
      </c>
      <c r="AH953" s="3" t="s">
        <v>56</v>
      </c>
      <c r="AI953" s="3"/>
      <c r="AJ953" s="3" t="s">
        <v>4069</v>
      </c>
      <c r="AK953" s="3" t="str">
        <f>HYPERLINK("https://knigipp.ru/api/getInfo/item/bb26a0a3-4547-11ed-a216-ac1f6b442185")</f>
        <v>https://knigipp.ru/api/getInfo/item/bb26a0a3-4547-11ed-a216-ac1f6b442185</v>
      </c>
      <c r="AL953" s="3" t="s">
        <v>482</v>
      </c>
    </row>
    <row r="954" spans="1:38" ht="21" customHeight="1" outlineLevel="4" x14ac:dyDescent="0.2">
      <c r="A954" s="2">
        <v>706</v>
      </c>
      <c r="B954" s="3" t="s">
        <v>4098</v>
      </c>
      <c r="C954" s="49" t="s">
        <v>4099</v>
      </c>
      <c r="D954" s="49"/>
      <c r="E954" s="49"/>
      <c r="F954" s="49"/>
      <c r="G954" s="4" t="s">
        <v>4100</v>
      </c>
      <c r="H954" s="8"/>
      <c r="I954" s="9" t="s">
        <v>4066</v>
      </c>
      <c r="J954" s="10"/>
      <c r="K954" s="11">
        <v>10</v>
      </c>
      <c r="L954" s="10"/>
      <c r="M954" s="10" t="s">
        <v>47</v>
      </c>
      <c r="N954" s="10"/>
      <c r="O954" s="2">
        <v>3</v>
      </c>
      <c r="P954" s="17">
        <f>219*(1-S3/100)</f>
        <v>219</v>
      </c>
      <c r="Q954" s="18"/>
      <c r="R954" s="10">
        <f t="shared" si="37"/>
        <v>0</v>
      </c>
      <c r="S954" s="19">
        <f>0.303*Q954</f>
        <v>0</v>
      </c>
      <c r="T954" s="20">
        <f>0.00051*Q954</f>
        <v>0</v>
      </c>
      <c r="U954" s="21"/>
      <c r="V954" s="22" t="s">
        <v>4101</v>
      </c>
      <c r="W954" s="22" t="s">
        <v>191</v>
      </c>
      <c r="X954" s="3"/>
      <c r="Y954" s="3"/>
      <c r="Z954" s="3" t="s">
        <v>52</v>
      </c>
      <c r="AA954" s="3"/>
      <c r="AB954" s="3"/>
      <c r="AC954" s="3" t="str">
        <f>HYPERLINK("https://knigipp.ru/api/getInfo/image/7a05cfea-199a-11ee-a23b-00155d82e902")</f>
        <v>https://knigipp.ru/api/getInfo/image/7a05cfea-199a-11ee-a23b-00155d82e902</v>
      </c>
      <c r="AD954" s="32">
        <v>160</v>
      </c>
      <c r="AE954" s="3" t="s">
        <v>355</v>
      </c>
      <c r="AF954" s="3" t="s">
        <v>127</v>
      </c>
      <c r="AG954" s="32">
        <v>70</v>
      </c>
      <c r="AH954" s="3" t="s">
        <v>56</v>
      </c>
      <c r="AI954" s="3"/>
      <c r="AJ954" s="3" t="s">
        <v>4069</v>
      </c>
      <c r="AK954" s="3" t="str">
        <f>HYPERLINK("https://knigipp.ru/api/getInfo/item/7a05cfea-199a-11ee-a23b-00155d82e902")</f>
        <v>https://knigipp.ru/api/getInfo/item/7a05cfea-199a-11ee-a23b-00155d82e902</v>
      </c>
      <c r="AL954" s="3" t="s">
        <v>2576</v>
      </c>
    </row>
    <row r="955" spans="1:38" ht="21" customHeight="1" outlineLevel="4" x14ac:dyDescent="0.2">
      <c r="A955" s="2">
        <v>707</v>
      </c>
      <c r="B955" s="3" t="s">
        <v>4102</v>
      </c>
      <c r="C955" s="49" t="s">
        <v>4103</v>
      </c>
      <c r="D955" s="49"/>
      <c r="E955" s="49"/>
      <c r="F955" s="49"/>
      <c r="G955" s="4" t="s">
        <v>4104</v>
      </c>
      <c r="H955" s="8"/>
      <c r="I955" s="9" t="s">
        <v>4066</v>
      </c>
      <c r="J955" s="10"/>
      <c r="K955" s="11">
        <v>10</v>
      </c>
      <c r="L955" s="10"/>
      <c r="M955" s="10" t="s">
        <v>304</v>
      </c>
      <c r="N955" s="10"/>
      <c r="O955" s="2">
        <v>3</v>
      </c>
      <c r="P955" s="17">
        <f>219*(1-S3/100)</f>
        <v>219</v>
      </c>
      <c r="Q955" s="18"/>
      <c r="R955" s="10">
        <f t="shared" si="37"/>
        <v>0</v>
      </c>
      <c r="S955" s="19">
        <f>0.305*Q955</f>
        <v>0</v>
      </c>
      <c r="T955" s="20">
        <f>0.00054*Q955</f>
        <v>0</v>
      </c>
      <c r="U955" s="21"/>
      <c r="V955" s="22" t="s">
        <v>4105</v>
      </c>
      <c r="W955" s="22" t="s">
        <v>191</v>
      </c>
      <c r="X955" s="3"/>
      <c r="Y955" s="3"/>
      <c r="Z955" s="3"/>
      <c r="AA955" s="3"/>
      <c r="AB955" s="3"/>
      <c r="AC955" s="3" t="str">
        <f>HYPERLINK("https://knigipp.ru/api/getInfo/image/25ef5739-e1a3-11ec-a213-ac1f6b442185")</f>
        <v>https://knigipp.ru/api/getInfo/image/25ef5739-e1a3-11ec-a213-ac1f6b442185</v>
      </c>
      <c r="AD955" s="32">
        <v>160</v>
      </c>
      <c r="AE955" s="3"/>
      <c r="AF955" s="3" t="s">
        <v>127</v>
      </c>
      <c r="AG955" s="32">
        <v>70</v>
      </c>
      <c r="AH955" s="3" t="s">
        <v>56</v>
      </c>
      <c r="AI955" s="3"/>
      <c r="AJ955" s="3" t="s">
        <v>4069</v>
      </c>
      <c r="AK955" s="3" t="str">
        <f>HYPERLINK("https://knigipp.ru/api/getInfo/item/25ef5739-e1a3-11ec-a213-ac1f6b442185")</f>
        <v>https://knigipp.ru/api/getInfo/item/25ef5739-e1a3-11ec-a213-ac1f6b442185</v>
      </c>
      <c r="AL955" s="3" t="s">
        <v>2576</v>
      </c>
    </row>
    <row r="956" spans="1:38" ht="21" customHeight="1" outlineLevel="4" x14ac:dyDescent="0.2">
      <c r="A956" s="2">
        <v>708</v>
      </c>
      <c r="B956" s="3" t="s">
        <v>4106</v>
      </c>
      <c r="C956" s="49" t="s">
        <v>4107</v>
      </c>
      <c r="D956" s="49"/>
      <c r="E956" s="49"/>
      <c r="F956" s="49"/>
      <c r="G956" s="4" t="s">
        <v>4108</v>
      </c>
      <c r="H956" s="8"/>
      <c r="I956" s="9" t="s">
        <v>4066</v>
      </c>
      <c r="J956" s="10"/>
      <c r="K956" s="11">
        <v>10</v>
      </c>
      <c r="L956" s="10"/>
      <c r="M956" s="10" t="s">
        <v>47</v>
      </c>
      <c r="N956" s="10"/>
      <c r="O956" s="2">
        <v>3</v>
      </c>
      <c r="P956" s="17">
        <f>219*(1-S3/100)</f>
        <v>219</v>
      </c>
      <c r="Q956" s="18"/>
      <c r="R956" s="10">
        <f t="shared" si="37"/>
        <v>0</v>
      </c>
      <c r="S956" s="19">
        <f>0.295*Q956</f>
        <v>0</v>
      </c>
      <c r="T956" s="20">
        <f>0.00059*Q956</f>
        <v>0</v>
      </c>
      <c r="U956" s="21"/>
      <c r="V956" s="22" t="s">
        <v>4109</v>
      </c>
      <c r="W956" s="22" t="s">
        <v>191</v>
      </c>
      <c r="X956" s="3"/>
      <c r="Y956" s="3"/>
      <c r="Z956" s="3" t="s">
        <v>52</v>
      </c>
      <c r="AA956" s="3"/>
      <c r="AB956" s="3"/>
      <c r="AC956" s="3" t="str">
        <f>HYPERLINK("https://knigipp.ru/api/getInfo/image/2fd7824a-199a-11ee-a23b-00155d82e902")</f>
        <v>https://knigipp.ru/api/getInfo/image/2fd7824a-199a-11ee-a23b-00155d82e902</v>
      </c>
      <c r="AD956" s="32">
        <v>160</v>
      </c>
      <c r="AE956" s="3" t="s">
        <v>355</v>
      </c>
      <c r="AF956" s="3" t="s">
        <v>127</v>
      </c>
      <c r="AG956" s="32">
        <v>70</v>
      </c>
      <c r="AH956" s="3" t="s">
        <v>56</v>
      </c>
      <c r="AI956" s="3"/>
      <c r="AJ956" s="3" t="s">
        <v>4069</v>
      </c>
      <c r="AK956" s="3" t="str">
        <f>HYPERLINK("https://knigipp.ru/api/getInfo/item/2fd7824a-199a-11ee-a23b-00155d82e902")</f>
        <v>https://knigipp.ru/api/getInfo/item/2fd7824a-199a-11ee-a23b-00155d82e902</v>
      </c>
      <c r="AL956" s="3" t="s">
        <v>2576</v>
      </c>
    </row>
    <row r="957" spans="1:38" ht="21" customHeight="1" outlineLevel="4" x14ac:dyDescent="0.2">
      <c r="A957" s="2">
        <v>709</v>
      </c>
      <c r="B957" s="3" t="s">
        <v>4110</v>
      </c>
      <c r="C957" s="49" t="s">
        <v>4111</v>
      </c>
      <c r="D957" s="49"/>
      <c r="E957" s="49"/>
      <c r="F957" s="49"/>
      <c r="G957" s="4" t="s">
        <v>4112</v>
      </c>
      <c r="H957" s="8"/>
      <c r="I957" s="9" t="s">
        <v>4066</v>
      </c>
      <c r="J957" s="10"/>
      <c r="K957" s="11">
        <v>10</v>
      </c>
      <c r="L957" s="10"/>
      <c r="M957" s="10" t="s">
        <v>47</v>
      </c>
      <c r="N957" s="10"/>
      <c r="O957" s="2">
        <v>3</v>
      </c>
      <c r="P957" s="17">
        <f>219*(1-S3/100)</f>
        <v>219</v>
      </c>
      <c r="Q957" s="18"/>
      <c r="R957" s="10">
        <f t="shared" si="37"/>
        <v>0</v>
      </c>
      <c r="S957" s="19">
        <f>0.295*Q957</f>
        <v>0</v>
      </c>
      <c r="T957" s="20">
        <f>0.00053*Q957</f>
        <v>0</v>
      </c>
      <c r="U957" s="21"/>
      <c r="V957" s="22" t="s">
        <v>4113</v>
      </c>
      <c r="W957" s="22" t="s">
        <v>191</v>
      </c>
      <c r="X957" s="3"/>
      <c r="Y957" s="3"/>
      <c r="Z957" s="3" t="s">
        <v>52</v>
      </c>
      <c r="AA957" s="3"/>
      <c r="AB957" s="3"/>
      <c r="AC957" s="3" t="str">
        <f>HYPERLINK("https://knigipp.ru/api/getInfo/image/626d21b8-4547-11ed-a216-ac1f6b442185")</f>
        <v>https://knigipp.ru/api/getInfo/image/626d21b8-4547-11ed-a216-ac1f6b442185</v>
      </c>
      <c r="AD957" s="32">
        <v>160</v>
      </c>
      <c r="AE957" s="3" t="s">
        <v>355</v>
      </c>
      <c r="AF957" s="3" t="s">
        <v>127</v>
      </c>
      <c r="AG957" s="32">
        <v>70</v>
      </c>
      <c r="AH957" s="3" t="s">
        <v>56</v>
      </c>
      <c r="AI957" s="3"/>
      <c r="AJ957" s="3" t="s">
        <v>4069</v>
      </c>
      <c r="AK957" s="3" t="str">
        <f>HYPERLINK("https://knigipp.ru/api/getInfo/item/626d21b8-4547-11ed-a216-ac1f6b442185")</f>
        <v>https://knigipp.ru/api/getInfo/item/626d21b8-4547-11ed-a216-ac1f6b442185</v>
      </c>
      <c r="AL957" s="3" t="s">
        <v>2576</v>
      </c>
    </row>
    <row r="958" spans="1:38" ht="21" customHeight="1" outlineLevel="4" x14ac:dyDescent="0.2">
      <c r="A958" s="2">
        <v>710</v>
      </c>
      <c r="B958" s="3" t="s">
        <v>4114</v>
      </c>
      <c r="C958" s="49" t="s">
        <v>4115</v>
      </c>
      <c r="D958" s="49"/>
      <c r="E958" s="49"/>
      <c r="F958" s="49"/>
      <c r="G958" s="4" t="s">
        <v>4116</v>
      </c>
      <c r="H958" s="8"/>
      <c r="I958" s="9" t="s">
        <v>4066</v>
      </c>
      <c r="J958" s="10"/>
      <c r="K958" s="11">
        <v>10</v>
      </c>
      <c r="L958" s="10"/>
      <c r="M958" s="10" t="s">
        <v>47</v>
      </c>
      <c r="N958" s="10"/>
      <c r="O958" s="2">
        <v>3</v>
      </c>
      <c r="P958" s="17">
        <f>219*(1-S3/100)</f>
        <v>219</v>
      </c>
      <c r="Q958" s="18"/>
      <c r="R958" s="10">
        <f t="shared" si="37"/>
        <v>0</v>
      </c>
      <c r="S958" s="19">
        <f>0.301*Q958</f>
        <v>0</v>
      </c>
      <c r="T958" s="20">
        <f>0.00049*Q958</f>
        <v>0</v>
      </c>
      <c r="U958" s="21"/>
      <c r="V958" s="22" t="s">
        <v>4117</v>
      </c>
      <c r="W958" s="22" t="s">
        <v>191</v>
      </c>
      <c r="X958" s="3"/>
      <c r="Y958" s="3"/>
      <c r="Z958" s="3" t="s">
        <v>384</v>
      </c>
      <c r="AA958" s="3"/>
      <c r="AB958" s="3"/>
      <c r="AC958" s="3" t="str">
        <f>HYPERLINK("https://knigipp.ru/api/getInfo/image/a7d4584a-5225-11e9-a222-ac1f6b442184")</f>
        <v>https://knigipp.ru/api/getInfo/image/a7d4584a-5225-11e9-a222-ac1f6b442184</v>
      </c>
      <c r="AD958" s="32">
        <v>160</v>
      </c>
      <c r="AE958" s="3"/>
      <c r="AF958" s="3" t="s">
        <v>127</v>
      </c>
      <c r="AG958" s="32">
        <v>70</v>
      </c>
      <c r="AH958" s="3" t="s">
        <v>56</v>
      </c>
      <c r="AI958" s="3"/>
      <c r="AJ958" s="3"/>
      <c r="AK958" s="3" t="str">
        <f>HYPERLINK("https://knigipp.ru/api/getInfo/item/a7d4584a-5225-11e9-a222-ac1f6b442184")</f>
        <v>https://knigipp.ru/api/getInfo/item/a7d4584a-5225-11e9-a222-ac1f6b442184</v>
      </c>
      <c r="AL958" s="3" t="s">
        <v>2576</v>
      </c>
    </row>
    <row r="959" spans="1:38" ht="21" customHeight="1" outlineLevel="4" x14ac:dyDescent="0.2">
      <c r="A959" s="2">
        <v>711</v>
      </c>
      <c r="B959" s="3" t="s">
        <v>4118</v>
      </c>
      <c r="C959" s="49" t="s">
        <v>4119</v>
      </c>
      <c r="D959" s="49"/>
      <c r="E959" s="49"/>
      <c r="F959" s="49"/>
      <c r="G959" s="4" t="s">
        <v>4120</v>
      </c>
      <c r="H959" s="8"/>
      <c r="I959" s="9" t="s">
        <v>4066</v>
      </c>
      <c r="J959" s="10"/>
      <c r="K959" s="11">
        <v>10</v>
      </c>
      <c r="L959" s="10"/>
      <c r="M959" s="10" t="s">
        <v>47</v>
      </c>
      <c r="N959" s="10"/>
      <c r="O959" s="2">
        <v>3</v>
      </c>
      <c r="P959" s="17">
        <f>219*(1-S3/100)</f>
        <v>219</v>
      </c>
      <c r="Q959" s="18"/>
      <c r="R959" s="10">
        <f t="shared" si="37"/>
        <v>0</v>
      </c>
      <c r="S959" s="19">
        <f>0.252*Q959</f>
        <v>0</v>
      </c>
      <c r="T959" s="20">
        <f>0.00046*Q959</f>
        <v>0</v>
      </c>
      <c r="U959" s="21"/>
      <c r="V959" s="22" t="s">
        <v>4121</v>
      </c>
      <c r="W959" s="22" t="s">
        <v>191</v>
      </c>
      <c r="X959" s="3"/>
      <c r="Y959" s="3"/>
      <c r="Z959" s="3" t="s">
        <v>52</v>
      </c>
      <c r="AA959" s="3"/>
      <c r="AB959" s="3"/>
      <c r="AC959" s="3" t="str">
        <f>HYPERLINK("https://knigipp.ru/api/getInfo/image/0a140a4b-040e-11ed-a213-ac1f6b442185")</f>
        <v>https://knigipp.ru/api/getInfo/image/0a140a4b-040e-11ed-a213-ac1f6b442185</v>
      </c>
      <c r="AD959" s="32">
        <v>160</v>
      </c>
      <c r="AE959" s="3" t="s">
        <v>355</v>
      </c>
      <c r="AF959" s="3" t="s">
        <v>127</v>
      </c>
      <c r="AG959" s="32">
        <v>70</v>
      </c>
      <c r="AH959" s="3" t="s">
        <v>56</v>
      </c>
      <c r="AI959" s="3"/>
      <c r="AJ959" s="3" t="s">
        <v>4069</v>
      </c>
      <c r="AK959" s="3" t="str">
        <f>HYPERLINK("https://knigipp.ru/api/getInfo/item/0a140a4b-040e-11ed-a213-ac1f6b442185")</f>
        <v>https://knigipp.ru/api/getInfo/item/0a140a4b-040e-11ed-a213-ac1f6b442185</v>
      </c>
      <c r="AL959" s="3" t="s">
        <v>2576</v>
      </c>
    </row>
    <row r="960" spans="1:38" ht="21" customHeight="1" outlineLevel="4" x14ac:dyDescent="0.2">
      <c r="A960" s="2">
        <v>712</v>
      </c>
      <c r="B960" s="3" t="s">
        <v>4122</v>
      </c>
      <c r="C960" s="49" t="s">
        <v>4123</v>
      </c>
      <c r="D960" s="49"/>
      <c r="E960" s="49"/>
      <c r="F960" s="49"/>
      <c r="G960" s="4" t="s">
        <v>4124</v>
      </c>
      <c r="H960" s="8"/>
      <c r="I960" s="9" t="s">
        <v>4066</v>
      </c>
      <c r="J960" s="10"/>
      <c r="K960" s="11">
        <v>10</v>
      </c>
      <c r="L960" s="10"/>
      <c r="M960" s="10" t="s">
        <v>47</v>
      </c>
      <c r="N960" s="10"/>
      <c r="O960" s="2">
        <v>3</v>
      </c>
      <c r="P960" s="17">
        <f>219*(1-S3/100)</f>
        <v>219</v>
      </c>
      <c r="Q960" s="18"/>
      <c r="R960" s="10">
        <f t="shared" si="37"/>
        <v>0</v>
      </c>
      <c r="S960" s="19">
        <f>0.306*Q960</f>
        <v>0</v>
      </c>
      <c r="T960" s="30">
        <f>0.0005*Q960</f>
        <v>0</v>
      </c>
      <c r="U960" s="21"/>
      <c r="V960" s="22" t="s">
        <v>4125</v>
      </c>
      <c r="W960" s="22" t="s">
        <v>191</v>
      </c>
      <c r="X960" s="3"/>
      <c r="Y960" s="3"/>
      <c r="Z960" s="3" t="s">
        <v>384</v>
      </c>
      <c r="AA960" s="3"/>
      <c r="AB960" s="3"/>
      <c r="AC960" s="3" t="str">
        <f>HYPERLINK("https://knigipp.ru/api/getInfo/image/85747484-2f2b-11eb-a25d-ac1f6b442184")</f>
        <v>https://knigipp.ru/api/getInfo/image/85747484-2f2b-11eb-a25d-ac1f6b442184</v>
      </c>
      <c r="AD960" s="32">
        <v>160</v>
      </c>
      <c r="AE960" s="3"/>
      <c r="AF960" s="3" t="s">
        <v>127</v>
      </c>
      <c r="AG960" s="32">
        <v>70</v>
      </c>
      <c r="AH960" s="3" t="s">
        <v>56</v>
      </c>
      <c r="AI960" s="3"/>
      <c r="AJ960" s="3" t="s">
        <v>4069</v>
      </c>
      <c r="AK960" s="3" t="str">
        <f>HYPERLINK("https://knigipp.ru/api/getInfo/item/85747484-2f2b-11eb-a25d-ac1f6b442184")</f>
        <v>https://knigipp.ru/api/getInfo/item/85747484-2f2b-11eb-a25d-ac1f6b442184</v>
      </c>
      <c r="AL960" s="3" t="s">
        <v>2576</v>
      </c>
    </row>
    <row r="961" spans="1:38" ht="21" customHeight="1" outlineLevel="4" x14ac:dyDescent="0.2">
      <c r="A961" s="2">
        <v>713</v>
      </c>
      <c r="B961" s="3" t="s">
        <v>4126</v>
      </c>
      <c r="C961" s="49" t="s">
        <v>4127</v>
      </c>
      <c r="D961" s="49"/>
      <c r="E961" s="49"/>
      <c r="F961" s="49"/>
      <c r="G961" s="4" t="s">
        <v>4128</v>
      </c>
      <c r="H961" s="8"/>
      <c r="I961" s="9" t="s">
        <v>4066</v>
      </c>
      <c r="J961" s="10"/>
      <c r="K961" s="11">
        <v>10</v>
      </c>
      <c r="L961" s="10"/>
      <c r="M961" s="10" t="s">
        <v>47</v>
      </c>
      <c r="N961" s="10"/>
      <c r="O961" s="2">
        <v>3</v>
      </c>
      <c r="P961" s="17">
        <f>219*(1-S3/100)</f>
        <v>219</v>
      </c>
      <c r="Q961" s="18"/>
      <c r="R961" s="10">
        <f t="shared" si="37"/>
        <v>0</v>
      </c>
      <c r="S961" s="28">
        <f>0.29*Q961</f>
        <v>0</v>
      </c>
      <c r="T961" s="20">
        <f>0.00046*Q961</f>
        <v>0</v>
      </c>
      <c r="U961" s="21"/>
      <c r="V961" s="22" t="s">
        <v>4129</v>
      </c>
      <c r="W961" s="22" t="s">
        <v>191</v>
      </c>
      <c r="X961" s="3"/>
      <c r="Y961" s="3"/>
      <c r="Z961" s="3" t="s">
        <v>52</v>
      </c>
      <c r="AA961" s="3"/>
      <c r="AB961" s="3"/>
      <c r="AC961" s="3" t="str">
        <f>HYPERLINK("https://knigipp.ru/api/getInfo/image/2453354e-a1a4-11ea-a248-ac1f6b442184")</f>
        <v>https://knigipp.ru/api/getInfo/image/2453354e-a1a4-11ea-a248-ac1f6b442184</v>
      </c>
      <c r="AD961" s="32">
        <v>160</v>
      </c>
      <c r="AE961" s="3"/>
      <c r="AF961" s="3" t="s">
        <v>127</v>
      </c>
      <c r="AG961" s="32">
        <v>70</v>
      </c>
      <c r="AH961" s="3" t="s">
        <v>56</v>
      </c>
      <c r="AI961" s="3"/>
      <c r="AJ961" s="3" t="s">
        <v>4069</v>
      </c>
      <c r="AK961" s="3" t="str">
        <f>HYPERLINK("https://knigipp.ru/api/getInfo/item/2453354e-a1a4-11ea-a248-ac1f6b442184")</f>
        <v>https://knigipp.ru/api/getInfo/item/2453354e-a1a4-11ea-a248-ac1f6b442184</v>
      </c>
      <c r="AL961" s="3" t="s">
        <v>2576</v>
      </c>
    </row>
    <row r="962" spans="1:38" ht="21" customHeight="1" outlineLevel="4" x14ac:dyDescent="0.2">
      <c r="A962" s="2">
        <v>714</v>
      </c>
      <c r="B962" s="3" t="s">
        <v>4130</v>
      </c>
      <c r="C962" s="49" t="s">
        <v>4131</v>
      </c>
      <c r="D962" s="49"/>
      <c r="E962" s="49"/>
      <c r="F962" s="49"/>
      <c r="G962" s="4" t="s">
        <v>4132</v>
      </c>
      <c r="H962" s="8"/>
      <c r="I962" s="9" t="s">
        <v>4066</v>
      </c>
      <c r="J962" s="10"/>
      <c r="K962" s="11">
        <v>10</v>
      </c>
      <c r="L962" s="10"/>
      <c r="M962" s="10" t="s">
        <v>47</v>
      </c>
      <c r="N962" s="10"/>
      <c r="O962" s="2">
        <v>3</v>
      </c>
      <c r="P962" s="17">
        <f>219*(1-S3/100)</f>
        <v>219</v>
      </c>
      <c r="Q962" s="18"/>
      <c r="R962" s="10">
        <f t="shared" si="37"/>
        <v>0</v>
      </c>
      <c r="S962" s="19">
        <f>0.305*Q962</f>
        <v>0</v>
      </c>
      <c r="T962" s="20">
        <f>0.00054*Q962</f>
        <v>0</v>
      </c>
      <c r="U962" s="21"/>
      <c r="V962" s="22" t="s">
        <v>4133</v>
      </c>
      <c r="W962" s="22" t="s">
        <v>191</v>
      </c>
      <c r="X962" s="3"/>
      <c r="Y962" s="3" t="s">
        <v>4134</v>
      </c>
      <c r="Z962" s="3" t="s">
        <v>52</v>
      </c>
      <c r="AA962" s="3"/>
      <c r="AB962" s="3"/>
      <c r="AC962" s="3" t="str">
        <f>HYPERLINK("https://knigipp.ru/api/getInfo/image/112bc167-bea5-11ee-a25a-00155d82e908")</f>
        <v>https://knigipp.ru/api/getInfo/image/112bc167-bea5-11ee-a25a-00155d82e908</v>
      </c>
      <c r="AD962" s="32">
        <v>160</v>
      </c>
      <c r="AE962" s="3" t="s">
        <v>481</v>
      </c>
      <c r="AF962" s="3" t="s">
        <v>127</v>
      </c>
      <c r="AG962" s="32">
        <v>70</v>
      </c>
      <c r="AH962" s="3" t="s">
        <v>56</v>
      </c>
      <c r="AI962" s="3"/>
      <c r="AJ962" s="3" t="s">
        <v>4069</v>
      </c>
      <c r="AK962" s="3" t="str">
        <f>HYPERLINK("https://knigipp.ru/api/getInfo/item/112bc167-bea5-11ee-a25a-00155d82e908")</f>
        <v>https://knigipp.ru/api/getInfo/item/112bc167-bea5-11ee-a25a-00155d82e908</v>
      </c>
      <c r="AL962" s="3" t="s">
        <v>2576</v>
      </c>
    </row>
    <row r="963" spans="1:38" ht="21" customHeight="1" outlineLevel="4" x14ac:dyDescent="0.2">
      <c r="A963" s="2">
        <v>715</v>
      </c>
      <c r="B963" s="3" t="s">
        <v>4135</v>
      </c>
      <c r="C963" s="49" t="s">
        <v>4136</v>
      </c>
      <c r="D963" s="49"/>
      <c r="E963" s="49"/>
      <c r="F963" s="49"/>
      <c r="G963" s="4" t="s">
        <v>4137</v>
      </c>
      <c r="H963" s="8"/>
      <c r="I963" s="9" t="s">
        <v>4066</v>
      </c>
      <c r="J963" s="10"/>
      <c r="K963" s="11">
        <v>10</v>
      </c>
      <c r="L963" s="10"/>
      <c r="M963" s="10" t="s">
        <v>47</v>
      </c>
      <c r="N963" s="10"/>
      <c r="O963" s="2">
        <v>3</v>
      </c>
      <c r="P963" s="17">
        <f>219*(1-S3/100)</f>
        <v>219</v>
      </c>
      <c r="Q963" s="18"/>
      <c r="R963" s="10">
        <f t="shared" si="37"/>
        <v>0</v>
      </c>
      <c r="S963" s="19">
        <f>0.305*Q963</f>
        <v>0</v>
      </c>
      <c r="T963" s="20">
        <f>0.00054*Q963</f>
        <v>0</v>
      </c>
      <c r="U963" s="21"/>
      <c r="V963" s="22" t="s">
        <v>4138</v>
      </c>
      <c r="W963" s="22" t="s">
        <v>191</v>
      </c>
      <c r="X963" s="3"/>
      <c r="Y963" s="3" t="s">
        <v>4139</v>
      </c>
      <c r="Z963" s="3" t="s">
        <v>52</v>
      </c>
      <c r="AA963" s="3"/>
      <c r="AB963" s="3"/>
      <c r="AC963" s="3" t="str">
        <f>HYPERLINK("https://knigipp.ru/api/getInfo/image/9df1e709-bea4-11ee-a25a-00155d82e908")</f>
        <v>https://knigipp.ru/api/getInfo/image/9df1e709-bea4-11ee-a25a-00155d82e908</v>
      </c>
      <c r="AD963" s="32">
        <v>160</v>
      </c>
      <c r="AE963" s="3" t="s">
        <v>481</v>
      </c>
      <c r="AF963" s="3" t="s">
        <v>127</v>
      </c>
      <c r="AG963" s="32">
        <v>70</v>
      </c>
      <c r="AH963" s="3" t="s">
        <v>56</v>
      </c>
      <c r="AI963" s="3"/>
      <c r="AJ963" s="3" t="s">
        <v>4069</v>
      </c>
      <c r="AK963" s="3" t="str">
        <f>HYPERLINK("https://knigipp.ru/api/getInfo/item/9df1e709-bea4-11ee-a25a-00155d82e908")</f>
        <v>https://knigipp.ru/api/getInfo/item/9df1e709-bea4-11ee-a25a-00155d82e908</v>
      </c>
      <c r="AL963" s="3" t="s">
        <v>2576</v>
      </c>
    </row>
    <row r="964" spans="1:38" ht="21" customHeight="1" outlineLevel="4" x14ac:dyDescent="0.2">
      <c r="A964" s="2">
        <v>716</v>
      </c>
      <c r="B964" s="3" t="s">
        <v>4140</v>
      </c>
      <c r="C964" s="49" t="s">
        <v>4141</v>
      </c>
      <c r="D964" s="49"/>
      <c r="E964" s="49"/>
      <c r="F964" s="49"/>
      <c r="G964" s="4" t="s">
        <v>4142</v>
      </c>
      <c r="H964" s="8"/>
      <c r="I964" s="9" t="s">
        <v>4066</v>
      </c>
      <c r="J964" s="10"/>
      <c r="K964" s="11">
        <v>10</v>
      </c>
      <c r="L964" s="10"/>
      <c r="M964" s="10" t="s">
        <v>47</v>
      </c>
      <c r="N964" s="10"/>
      <c r="O964" s="2">
        <v>3</v>
      </c>
      <c r="P964" s="17">
        <f>219*(1-S3/100)</f>
        <v>219</v>
      </c>
      <c r="Q964" s="18"/>
      <c r="R964" s="10">
        <f t="shared" si="37"/>
        <v>0</v>
      </c>
      <c r="S964" s="19">
        <f>0.287*Q964</f>
        <v>0</v>
      </c>
      <c r="T964" s="20">
        <f>0.00055*Q964</f>
        <v>0</v>
      </c>
      <c r="U964" s="21"/>
      <c r="V964" s="22" t="s">
        <v>4143</v>
      </c>
      <c r="W964" s="22" t="s">
        <v>191</v>
      </c>
      <c r="X964" s="3"/>
      <c r="Y964" s="3"/>
      <c r="Z964" s="3" t="s">
        <v>384</v>
      </c>
      <c r="AA964" s="3"/>
      <c r="AB964" s="3"/>
      <c r="AC964" s="3" t="str">
        <f>HYPERLINK("https://knigipp.ru/api/getInfo/image/bab87db4-257c-11ea-a239-ac1f6b442184")</f>
        <v>https://knigipp.ru/api/getInfo/image/bab87db4-257c-11ea-a239-ac1f6b442184</v>
      </c>
      <c r="AD964" s="32">
        <v>160</v>
      </c>
      <c r="AE964" s="3"/>
      <c r="AF964" s="3" t="s">
        <v>127</v>
      </c>
      <c r="AG964" s="32">
        <v>70</v>
      </c>
      <c r="AH964" s="3" t="s">
        <v>56</v>
      </c>
      <c r="AI964" s="3"/>
      <c r="AJ964" s="3" t="s">
        <v>4069</v>
      </c>
      <c r="AK964" s="3" t="str">
        <f>HYPERLINK("https://knigipp.ru/api/getInfo/item/bab87db4-257c-11ea-a239-ac1f6b442184")</f>
        <v>https://knigipp.ru/api/getInfo/item/bab87db4-257c-11ea-a239-ac1f6b442184</v>
      </c>
      <c r="AL964" s="3" t="s">
        <v>2576</v>
      </c>
    </row>
    <row r="965" spans="1:38" ht="21" customHeight="1" outlineLevel="4" x14ac:dyDescent="0.2">
      <c r="A965" s="2">
        <v>717</v>
      </c>
      <c r="B965" s="3" t="s">
        <v>4144</v>
      </c>
      <c r="C965" s="49" t="s">
        <v>4145</v>
      </c>
      <c r="D965" s="49"/>
      <c r="E965" s="49"/>
      <c r="F965" s="49"/>
      <c r="G965" s="4" t="s">
        <v>4146</v>
      </c>
      <c r="H965" s="8"/>
      <c r="I965" s="9" t="s">
        <v>4066</v>
      </c>
      <c r="J965" s="10"/>
      <c r="K965" s="11">
        <v>10</v>
      </c>
      <c r="L965" s="10"/>
      <c r="M965" s="10" t="s">
        <v>47</v>
      </c>
      <c r="N965" s="10"/>
      <c r="O965" s="2">
        <v>3</v>
      </c>
      <c r="P965" s="17">
        <f>219*(1-S3/100)</f>
        <v>219</v>
      </c>
      <c r="Q965" s="18"/>
      <c r="R965" s="10">
        <f t="shared" si="37"/>
        <v>0</v>
      </c>
      <c r="S965" s="28">
        <f>2.98*Q965</f>
        <v>0</v>
      </c>
      <c r="T965" s="20">
        <f>0.00435*Q965</f>
        <v>0</v>
      </c>
      <c r="U965" s="21"/>
      <c r="V965" s="22" t="s">
        <v>4147</v>
      </c>
      <c r="W965" s="22" t="s">
        <v>191</v>
      </c>
      <c r="X965" s="3"/>
      <c r="Y965" s="3"/>
      <c r="Z965" s="3"/>
      <c r="AA965" s="3"/>
      <c r="AB965" s="3"/>
      <c r="AC965" s="3" t="str">
        <f>HYPERLINK("https://knigipp.ru/api/getInfo/image/e936f8c5-e04c-11ed-a233-00155d82e902")</f>
        <v>https://knigipp.ru/api/getInfo/image/e936f8c5-e04c-11ed-a233-00155d82e902</v>
      </c>
      <c r="AD965" s="32">
        <v>160</v>
      </c>
      <c r="AE965" s="3" t="s">
        <v>481</v>
      </c>
      <c r="AF965" s="3" t="s">
        <v>127</v>
      </c>
      <c r="AG965" s="32">
        <v>70</v>
      </c>
      <c r="AH965" s="3" t="s">
        <v>56</v>
      </c>
      <c r="AI965" s="3"/>
      <c r="AJ965" s="3" t="s">
        <v>4069</v>
      </c>
      <c r="AK965" s="3" t="str">
        <f>HYPERLINK("https://knigipp.ru/api/getInfo/item/e936f8c5-e04c-11ed-a233-00155d82e902")</f>
        <v>https://knigipp.ru/api/getInfo/item/e936f8c5-e04c-11ed-a233-00155d82e902</v>
      </c>
      <c r="AL965" s="3" t="s">
        <v>2576</v>
      </c>
    </row>
    <row r="966" spans="1:38" ht="21" customHeight="1" outlineLevel="4" x14ac:dyDescent="0.2">
      <c r="A966" s="2">
        <v>718</v>
      </c>
      <c r="B966" s="3" t="s">
        <v>4148</v>
      </c>
      <c r="C966" s="49" t="s">
        <v>4149</v>
      </c>
      <c r="D966" s="49"/>
      <c r="E966" s="49"/>
      <c r="F966" s="49"/>
      <c r="G966" s="4" t="s">
        <v>4150</v>
      </c>
      <c r="H966" s="8"/>
      <c r="I966" s="9" t="s">
        <v>4151</v>
      </c>
      <c r="J966" s="10"/>
      <c r="K966" s="11">
        <v>10</v>
      </c>
      <c r="L966" s="10"/>
      <c r="M966" s="10" t="s">
        <v>47</v>
      </c>
      <c r="N966" s="10"/>
      <c r="O966" s="2">
        <v>3</v>
      </c>
      <c r="P966" s="17">
        <f>219*(1-S3/100)</f>
        <v>219</v>
      </c>
      <c r="Q966" s="18"/>
      <c r="R966" s="10">
        <f t="shared" si="37"/>
        <v>0</v>
      </c>
      <c r="S966" s="19">
        <f>0.245*Q966</f>
        <v>0</v>
      </c>
      <c r="T966" s="20">
        <f>0.00038*Q966</f>
        <v>0</v>
      </c>
      <c r="U966" s="21"/>
      <c r="V966" s="22" t="s">
        <v>4152</v>
      </c>
      <c r="W966" s="22" t="s">
        <v>191</v>
      </c>
      <c r="X966" s="3"/>
      <c r="Y966" s="3"/>
      <c r="Z966" s="3" t="s">
        <v>384</v>
      </c>
      <c r="AA966" s="3"/>
      <c r="AB966" s="3"/>
      <c r="AC966" s="3" t="str">
        <f>HYPERLINK("https://knigipp.ru/api/getInfo/image/a75f39d1-a1a4-11ea-a248-ac1f6b442184")</f>
        <v>https://knigipp.ru/api/getInfo/image/a75f39d1-a1a4-11ea-a248-ac1f6b442184</v>
      </c>
      <c r="AD966" s="32">
        <v>160</v>
      </c>
      <c r="AE966" s="3"/>
      <c r="AF966" s="3" t="s">
        <v>127</v>
      </c>
      <c r="AG966" s="32">
        <v>70</v>
      </c>
      <c r="AH966" s="3" t="s">
        <v>56</v>
      </c>
      <c r="AI966" s="3"/>
      <c r="AJ966" s="3" t="s">
        <v>4069</v>
      </c>
      <c r="AK966" s="3" t="str">
        <f>HYPERLINK("https://knigipp.ru/api/getInfo/item/a75f39d1-a1a4-11ea-a248-ac1f6b442184")</f>
        <v>https://knigipp.ru/api/getInfo/item/a75f39d1-a1a4-11ea-a248-ac1f6b442184</v>
      </c>
      <c r="AL966" s="3" t="s">
        <v>2576</v>
      </c>
    </row>
    <row r="967" spans="1:38" ht="21" customHeight="1" outlineLevel="4" x14ac:dyDescent="0.2">
      <c r="A967" s="2">
        <v>719</v>
      </c>
      <c r="B967" s="3" t="s">
        <v>4153</v>
      </c>
      <c r="C967" s="49" t="s">
        <v>4154</v>
      </c>
      <c r="D967" s="49"/>
      <c r="E967" s="49"/>
      <c r="F967" s="49"/>
      <c r="G967" s="4" t="s">
        <v>4155</v>
      </c>
      <c r="H967" s="8"/>
      <c r="I967" s="9" t="s">
        <v>4066</v>
      </c>
      <c r="J967" s="10"/>
      <c r="K967" s="11">
        <v>10</v>
      </c>
      <c r="L967" s="10"/>
      <c r="M967" s="10" t="s">
        <v>78</v>
      </c>
      <c r="N967" s="10"/>
      <c r="O967" s="2">
        <v>3</v>
      </c>
      <c r="P967" s="17">
        <f>219*(1-S3/100)</f>
        <v>219</v>
      </c>
      <c r="Q967" s="18"/>
      <c r="R967" s="10">
        <f t="shared" si="37"/>
        <v>0</v>
      </c>
      <c r="S967" s="19">
        <f>0.301*Q967</f>
        <v>0</v>
      </c>
      <c r="T967" s="20">
        <f>0.00053*Q967</f>
        <v>0</v>
      </c>
      <c r="U967" s="21"/>
      <c r="V967" s="22" t="s">
        <v>4156</v>
      </c>
      <c r="W967" s="22" t="s">
        <v>191</v>
      </c>
      <c r="X967" s="3"/>
      <c r="Y967" s="3"/>
      <c r="Z967" s="3" t="s">
        <v>52</v>
      </c>
      <c r="AA967" s="3"/>
      <c r="AB967" s="3"/>
      <c r="AC967" s="3" t="str">
        <f>HYPERLINK("https://knigipp.ru/api/getInfo/image/5afddcee-a1a4-11ea-a248-ac1f6b442184")</f>
        <v>https://knigipp.ru/api/getInfo/image/5afddcee-a1a4-11ea-a248-ac1f6b442184</v>
      </c>
      <c r="AD967" s="32">
        <v>160</v>
      </c>
      <c r="AE967" s="3"/>
      <c r="AF967" s="3" t="s">
        <v>127</v>
      </c>
      <c r="AG967" s="32">
        <v>70</v>
      </c>
      <c r="AH967" s="3" t="s">
        <v>56</v>
      </c>
      <c r="AI967" s="3"/>
      <c r="AJ967" s="3" t="s">
        <v>4069</v>
      </c>
      <c r="AK967" s="3" t="str">
        <f>HYPERLINK("https://knigipp.ru/api/getInfo/item/5afddcee-a1a4-11ea-a248-ac1f6b442184")</f>
        <v>https://knigipp.ru/api/getInfo/item/5afddcee-a1a4-11ea-a248-ac1f6b442184</v>
      </c>
      <c r="AL967" s="3" t="s">
        <v>2576</v>
      </c>
    </row>
    <row r="968" spans="1:38" ht="21" customHeight="1" outlineLevel="4" x14ac:dyDescent="0.2">
      <c r="A968" s="2">
        <v>720</v>
      </c>
      <c r="B968" s="3" t="s">
        <v>4157</v>
      </c>
      <c r="C968" s="49" t="s">
        <v>4158</v>
      </c>
      <c r="D968" s="49"/>
      <c r="E968" s="49"/>
      <c r="F968" s="49"/>
      <c r="G968" s="4" t="s">
        <v>4159</v>
      </c>
      <c r="H968" s="8"/>
      <c r="I968" s="9" t="s">
        <v>4066</v>
      </c>
      <c r="J968" s="10"/>
      <c r="K968" s="11">
        <v>10</v>
      </c>
      <c r="L968" s="10"/>
      <c r="M968" s="10" t="s">
        <v>47</v>
      </c>
      <c r="N968" s="10"/>
      <c r="O968" s="2">
        <v>3</v>
      </c>
      <c r="P968" s="17">
        <f>219*(1-S3/100)</f>
        <v>219</v>
      </c>
      <c r="Q968" s="18"/>
      <c r="R968" s="10">
        <f t="shared" si="37"/>
        <v>0</v>
      </c>
      <c r="S968" s="19">
        <f>0.293*Q968</f>
        <v>0</v>
      </c>
      <c r="T968" s="20">
        <f>0.00047*Q968</f>
        <v>0</v>
      </c>
      <c r="U968" s="21"/>
      <c r="V968" s="22" t="s">
        <v>4160</v>
      </c>
      <c r="W968" s="22" t="s">
        <v>191</v>
      </c>
      <c r="X968" s="3"/>
      <c r="Y968" s="3" t="s">
        <v>4161</v>
      </c>
      <c r="Z968" s="3" t="s">
        <v>52</v>
      </c>
      <c r="AA968" s="3" t="s">
        <v>4162</v>
      </c>
      <c r="AB968" s="3"/>
      <c r="AC968" s="3" t="str">
        <f>HYPERLINK("https://knigipp.ru/api/getInfo/image/749829ee-977c-11ef-a267-00155d82e908")</f>
        <v>https://knigipp.ru/api/getInfo/image/749829ee-977c-11ef-a267-00155d82e908</v>
      </c>
      <c r="AD968" s="32">
        <v>160</v>
      </c>
      <c r="AE968" s="3" t="s">
        <v>481</v>
      </c>
      <c r="AF968" s="3" t="s">
        <v>127</v>
      </c>
      <c r="AG968" s="32">
        <v>70</v>
      </c>
      <c r="AH968" s="3" t="s">
        <v>56</v>
      </c>
      <c r="AI968" s="3"/>
      <c r="AJ968" s="3" t="s">
        <v>4069</v>
      </c>
      <c r="AK968" s="3" t="str">
        <f>HYPERLINK("https://knigipp.ru/api/getInfo/item/749829ee-977c-11ef-a267-00155d82e908")</f>
        <v>https://knigipp.ru/api/getInfo/item/749829ee-977c-11ef-a267-00155d82e908</v>
      </c>
      <c r="AL968" s="3" t="s">
        <v>2576</v>
      </c>
    </row>
    <row r="969" spans="1:38" ht="21" customHeight="1" outlineLevel="4" x14ac:dyDescent="0.2">
      <c r="A969" s="2">
        <v>721</v>
      </c>
      <c r="B969" s="3" t="s">
        <v>4163</v>
      </c>
      <c r="C969" s="49" t="s">
        <v>4164</v>
      </c>
      <c r="D969" s="49"/>
      <c r="E969" s="49"/>
      <c r="F969" s="49"/>
      <c r="G969" s="4" t="s">
        <v>4165</v>
      </c>
      <c r="H969" s="8"/>
      <c r="I969" s="9" t="s">
        <v>4066</v>
      </c>
      <c r="J969" s="10"/>
      <c r="K969" s="11">
        <v>10</v>
      </c>
      <c r="L969" s="10"/>
      <c r="M969" s="10" t="s">
        <v>47</v>
      </c>
      <c r="N969" s="10"/>
      <c r="O969" s="2">
        <v>3</v>
      </c>
      <c r="P969" s="17">
        <f>219*(1-S3/100)</f>
        <v>219</v>
      </c>
      <c r="Q969" s="18"/>
      <c r="R969" s="10">
        <f t="shared" si="37"/>
        <v>0</v>
      </c>
      <c r="S969" s="19">
        <f>0.292*Q969</f>
        <v>0</v>
      </c>
      <c r="T969" s="30">
        <f>0.0005*Q969</f>
        <v>0</v>
      </c>
      <c r="U969" s="21"/>
      <c r="V969" s="22" t="s">
        <v>4166</v>
      </c>
      <c r="W969" s="22" t="s">
        <v>191</v>
      </c>
      <c r="X969" s="3"/>
      <c r="Y969" s="3" t="s">
        <v>4167</v>
      </c>
      <c r="Z969" s="3" t="s">
        <v>52</v>
      </c>
      <c r="AA969" s="3"/>
      <c r="AB969" s="3"/>
      <c r="AC969" s="3" t="str">
        <f>HYPERLINK("https://knigipp.ru/api/getInfo/image/2481a778-b6cd-11ee-a25a-00155d82e908")</f>
        <v>https://knigipp.ru/api/getInfo/image/2481a778-b6cd-11ee-a25a-00155d82e908</v>
      </c>
      <c r="AD969" s="32">
        <v>160</v>
      </c>
      <c r="AE969" s="3" t="s">
        <v>481</v>
      </c>
      <c r="AF969" s="3" t="s">
        <v>127</v>
      </c>
      <c r="AG969" s="32">
        <v>70</v>
      </c>
      <c r="AH969" s="3" t="s">
        <v>56</v>
      </c>
      <c r="AI969" s="3"/>
      <c r="AJ969" s="3" t="s">
        <v>4069</v>
      </c>
      <c r="AK969" s="3" t="str">
        <f>HYPERLINK("https://knigipp.ru/api/getInfo/item/2481a778-b6cd-11ee-a25a-00155d82e908")</f>
        <v>https://knigipp.ru/api/getInfo/item/2481a778-b6cd-11ee-a25a-00155d82e908</v>
      </c>
      <c r="AL969" s="3" t="s">
        <v>2576</v>
      </c>
    </row>
    <row r="970" spans="1:38" ht="21" customHeight="1" outlineLevel="4" x14ac:dyDescent="0.2">
      <c r="A970" s="2">
        <v>722</v>
      </c>
      <c r="B970" s="3" t="s">
        <v>4168</v>
      </c>
      <c r="C970" s="49" t="s">
        <v>4169</v>
      </c>
      <c r="D970" s="49"/>
      <c r="E970" s="49"/>
      <c r="F970" s="49"/>
      <c r="G970" s="4" t="s">
        <v>4170</v>
      </c>
      <c r="H970" s="8"/>
      <c r="I970" s="9" t="s">
        <v>4066</v>
      </c>
      <c r="J970" s="10"/>
      <c r="K970" s="11">
        <v>10</v>
      </c>
      <c r="L970" s="10"/>
      <c r="M970" s="10" t="s">
        <v>78</v>
      </c>
      <c r="N970" s="10"/>
      <c r="O970" s="2">
        <v>3</v>
      </c>
      <c r="P970" s="17">
        <f>219*(1-S3/100)</f>
        <v>219</v>
      </c>
      <c r="Q970" s="18"/>
      <c r="R970" s="10">
        <f t="shared" si="37"/>
        <v>0</v>
      </c>
      <c r="S970" s="19">
        <f>0.305*Q970</f>
        <v>0</v>
      </c>
      <c r="T970" s="20">
        <f>0.00054*Q970</f>
        <v>0</v>
      </c>
      <c r="U970" s="21"/>
      <c r="V970" s="22" t="s">
        <v>4171</v>
      </c>
      <c r="W970" s="22" t="s">
        <v>191</v>
      </c>
      <c r="X970" s="3"/>
      <c r="Y970" s="3"/>
      <c r="Z970" s="3" t="s">
        <v>52</v>
      </c>
      <c r="AA970" s="3"/>
      <c r="AB970" s="3"/>
      <c r="AC970" s="3" t="str">
        <f>HYPERLINK("https://knigipp.ru/api/getInfo/image/058e68a1-e04d-11ed-a233-00155d82e902")</f>
        <v>https://knigipp.ru/api/getInfo/image/058e68a1-e04d-11ed-a233-00155d82e902</v>
      </c>
      <c r="AD970" s="32">
        <v>160</v>
      </c>
      <c r="AE970" s="3" t="s">
        <v>481</v>
      </c>
      <c r="AF970" s="3" t="s">
        <v>127</v>
      </c>
      <c r="AG970" s="32">
        <v>70</v>
      </c>
      <c r="AH970" s="3" t="s">
        <v>56</v>
      </c>
      <c r="AI970" s="3"/>
      <c r="AJ970" s="3" t="s">
        <v>4069</v>
      </c>
      <c r="AK970" s="3" t="str">
        <f>HYPERLINK("https://knigipp.ru/api/getInfo/item/058e68a1-e04d-11ed-a233-00155d82e902")</f>
        <v>https://knigipp.ru/api/getInfo/item/058e68a1-e04d-11ed-a233-00155d82e902</v>
      </c>
      <c r="AL970" s="3" t="s">
        <v>2576</v>
      </c>
    </row>
    <row r="971" spans="1:38" ht="21" customHeight="1" outlineLevel="4" x14ac:dyDescent="0.2">
      <c r="A971" s="2">
        <v>723</v>
      </c>
      <c r="B971" s="3" t="s">
        <v>4172</v>
      </c>
      <c r="C971" s="49" t="s">
        <v>4173</v>
      </c>
      <c r="D971" s="49"/>
      <c r="E971" s="49"/>
      <c r="F971" s="49"/>
      <c r="G971" s="4" t="s">
        <v>4174</v>
      </c>
      <c r="H971" s="8"/>
      <c r="I971" s="9" t="s">
        <v>4066</v>
      </c>
      <c r="J971" s="10"/>
      <c r="K971" s="11">
        <v>10</v>
      </c>
      <c r="L971" s="10"/>
      <c r="M971" s="10" t="s">
        <v>47</v>
      </c>
      <c r="N971" s="10"/>
      <c r="O971" s="2">
        <v>3</v>
      </c>
      <c r="P971" s="17">
        <f>219*(1-S3/100)</f>
        <v>219</v>
      </c>
      <c r="Q971" s="18"/>
      <c r="R971" s="10">
        <f t="shared" si="37"/>
        <v>0</v>
      </c>
      <c r="S971" s="19">
        <f>0.305*Q971</f>
        <v>0</v>
      </c>
      <c r="T971" s="20">
        <f>0.00056*Q971</f>
        <v>0</v>
      </c>
      <c r="U971" s="21"/>
      <c r="V971" s="22" t="s">
        <v>4175</v>
      </c>
      <c r="W971" s="22" t="s">
        <v>191</v>
      </c>
      <c r="X971" s="3"/>
      <c r="Y971" s="3"/>
      <c r="Z971" s="3" t="s">
        <v>52</v>
      </c>
      <c r="AA971" s="3"/>
      <c r="AB971" s="3"/>
      <c r="AC971" s="3" t="str">
        <f>HYPERLINK("https://knigipp.ru/api/getInfo/image/8010bc68-b6cd-11ee-a25a-00155d82e908")</f>
        <v>https://knigipp.ru/api/getInfo/image/8010bc68-b6cd-11ee-a25a-00155d82e908</v>
      </c>
      <c r="AD971" s="32">
        <v>160</v>
      </c>
      <c r="AE971" s="3" t="s">
        <v>481</v>
      </c>
      <c r="AF971" s="3" t="s">
        <v>127</v>
      </c>
      <c r="AG971" s="32">
        <v>70</v>
      </c>
      <c r="AH971" s="3" t="s">
        <v>56</v>
      </c>
      <c r="AI971" s="3"/>
      <c r="AJ971" s="3" t="s">
        <v>4069</v>
      </c>
      <c r="AK971" s="3" t="str">
        <f>HYPERLINK("https://knigipp.ru/api/getInfo/item/8010bc68-b6cd-11ee-a25a-00155d82e908")</f>
        <v>https://knigipp.ru/api/getInfo/item/8010bc68-b6cd-11ee-a25a-00155d82e908</v>
      </c>
      <c r="AL971" s="3" t="s">
        <v>2576</v>
      </c>
    </row>
    <row r="972" spans="1:38" ht="21" customHeight="1" outlineLevel="4" x14ac:dyDescent="0.2">
      <c r="A972" s="2">
        <v>724</v>
      </c>
      <c r="B972" s="3" t="s">
        <v>4176</v>
      </c>
      <c r="C972" s="49" t="s">
        <v>4177</v>
      </c>
      <c r="D972" s="49"/>
      <c r="E972" s="49"/>
      <c r="F972" s="49"/>
      <c r="G972" s="4" t="s">
        <v>4178</v>
      </c>
      <c r="H972" s="8"/>
      <c r="I972" s="9" t="s">
        <v>4066</v>
      </c>
      <c r="J972" s="10"/>
      <c r="K972" s="11">
        <v>10</v>
      </c>
      <c r="L972" s="10"/>
      <c r="M972" s="10" t="s">
        <v>47</v>
      </c>
      <c r="N972" s="10"/>
      <c r="O972" s="2">
        <v>3</v>
      </c>
      <c r="P972" s="17">
        <f>219*(1-S3/100)</f>
        <v>219</v>
      </c>
      <c r="Q972" s="18"/>
      <c r="R972" s="10">
        <f t="shared" si="37"/>
        <v>0</v>
      </c>
      <c r="S972" s="19">
        <f>0.295*Q972</f>
        <v>0</v>
      </c>
      <c r="T972" s="20">
        <f>0.00053*Q972</f>
        <v>0</v>
      </c>
      <c r="U972" s="21"/>
      <c r="V972" s="22" t="s">
        <v>4179</v>
      </c>
      <c r="W972" s="22" t="s">
        <v>191</v>
      </c>
      <c r="X972" s="3"/>
      <c r="Y972" s="3"/>
      <c r="Z972" s="3" t="s">
        <v>52</v>
      </c>
      <c r="AA972" s="3"/>
      <c r="AB972" s="3"/>
      <c r="AC972" s="3" t="str">
        <f>HYPERLINK("https://knigipp.ru/api/getInfo/image/53a0e3d2-b115-11ee-a259-00155d82e908")</f>
        <v>https://knigipp.ru/api/getInfo/image/53a0e3d2-b115-11ee-a259-00155d82e908</v>
      </c>
      <c r="AD972" s="32">
        <v>160</v>
      </c>
      <c r="AE972" s="3" t="s">
        <v>481</v>
      </c>
      <c r="AF972" s="3" t="s">
        <v>127</v>
      </c>
      <c r="AG972" s="32">
        <v>70</v>
      </c>
      <c r="AH972" s="3" t="s">
        <v>56</v>
      </c>
      <c r="AI972" s="3"/>
      <c r="AJ972" s="3" t="s">
        <v>4069</v>
      </c>
      <c r="AK972" s="3" t="str">
        <f>HYPERLINK("https://knigipp.ru/api/getInfo/item/53a0e3d2-b115-11ee-a259-00155d82e908")</f>
        <v>https://knigipp.ru/api/getInfo/item/53a0e3d2-b115-11ee-a259-00155d82e908</v>
      </c>
      <c r="AL972" s="3" t="s">
        <v>2576</v>
      </c>
    </row>
    <row r="973" spans="1:38" ht="21" customHeight="1" outlineLevel="4" x14ac:dyDescent="0.2">
      <c r="A973" s="2">
        <v>725</v>
      </c>
      <c r="B973" s="3" t="s">
        <v>4180</v>
      </c>
      <c r="C973" s="49" t="s">
        <v>4181</v>
      </c>
      <c r="D973" s="49"/>
      <c r="E973" s="49"/>
      <c r="F973" s="49"/>
      <c r="G973" s="4" t="s">
        <v>4182</v>
      </c>
      <c r="H973" s="8"/>
      <c r="I973" s="9" t="s">
        <v>4066</v>
      </c>
      <c r="J973" s="10"/>
      <c r="K973" s="11">
        <v>10</v>
      </c>
      <c r="L973" s="10"/>
      <c r="M973" s="10" t="s">
        <v>47</v>
      </c>
      <c r="N973" s="10"/>
      <c r="O973" s="2">
        <v>3</v>
      </c>
      <c r="P973" s="17">
        <f>219*(1-S3/100)</f>
        <v>219</v>
      </c>
      <c r="Q973" s="18"/>
      <c r="R973" s="10">
        <f t="shared" si="37"/>
        <v>0</v>
      </c>
      <c r="S973" s="19">
        <f>0.295*Q973</f>
        <v>0</v>
      </c>
      <c r="T973" s="20">
        <f>0.00053*Q973</f>
        <v>0</v>
      </c>
      <c r="U973" s="21"/>
      <c r="V973" s="22" t="s">
        <v>4183</v>
      </c>
      <c r="W973" s="22" t="s">
        <v>191</v>
      </c>
      <c r="X973" s="3"/>
      <c r="Y973" s="3" t="s">
        <v>4184</v>
      </c>
      <c r="Z973" s="3" t="s">
        <v>52</v>
      </c>
      <c r="AA973" s="3"/>
      <c r="AB973" s="3"/>
      <c r="AC973" s="3" t="str">
        <f>HYPERLINK("https://knigipp.ru/api/getInfo/image/3c1510bc-c4e2-11ef-a268-00155d82e908")</f>
        <v>https://knigipp.ru/api/getInfo/image/3c1510bc-c4e2-11ef-a268-00155d82e908</v>
      </c>
      <c r="AD973" s="32">
        <v>160</v>
      </c>
      <c r="AE973" s="3" t="s">
        <v>481</v>
      </c>
      <c r="AF973" s="3" t="s">
        <v>127</v>
      </c>
      <c r="AG973" s="32">
        <v>70</v>
      </c>
      <c r="AH973" s="3" t="s">
        <v>56</v>
      </c>
      <c r="AI973" s="3"/>
      <c r="AJ973" s="3" t="s">
        <v>4069</v>
      </c>
      <c r="AK973" s="3" t="str">
        <f>HYPERLINK("https://knigipp.ru/api/getInfo/item/3c1510bc-c4e2-11ef-a268-00155d82e908")</f>
        <v>https://knigipp.ru/api/getInfo/item/3c1510bc-c4e2-11ef-a268-00155d82e908</v>
      </c>
      <c r="AL973" s="3" t="s">
        <v>2576</v>
      </c>
    </row>
    <row r="974" spans="1:38" ht="21" customHeight="1" outlineLevel="4" x14ac:dyDescent="0.2">
      <c r="A974" s="2">
        <v>726</v>
      </c>
      <c r="B974" s="3" t="s">
        <v>4185</v>
      </c>
      <c r="C974" s="49" t="s">
        <v>4186</v>
      </c>
      <c r="D974" s="49"/>
      <c r="E974" s="49"/>
      <c r="F974" s="49"/>
      <c r="G974" s="4" t="s">
        <v>4187</v>
      </c>
      <c r="H974" s="8"/>
      <c r="I974" s="9" t="s">
        <v>4066</v>
      </c>
      <c r="J974" s="10"/>
      <c r="K974" s="11">
        <v>10</v>
      </c>
      <c r="L974" s="10"/>
      <c r="M974" s="10" t="s">
        <v>47</v>
      </c>
      <c r="N974" s="10"/>
      <c r="O974" s="2">
        <v>3</v>
      </c>
      <c r="P974" s="17">
        <f>219*(1-S3/100)</f>
        <v>219</v>
      </c>
      <c r="Q974" s="18"/>
      <c r="R974" s="10">
        <f t="shared" si="37"/>
        <v>0</v>
      </c>
      <c r="S974" s="19">
        <f>0.295*Q974</f>
        <v>0</v>
      </c>
      <c r="T974" s="20">
        <f>0.00053*Q974</f>
        <v>0</v>
      </c>
      <c r="U974" s="21"/>
      <c r="V974" s="22" t="s">
        <v>4188</v>
      </c>
      <c r="W974" s="22" t="s">
        <v>191</v>
      </c>
      <c r="X974" s="3"/>
      <c r="Y974" s="3"/>
      <c r="Z974" s="3" t="s">
        <v>384</v>
      </c>
      <c r="AA974" s="3"/>
      <c r="AB974" s="3"/>
      <c r="AC974" s="3" t="str">
        <f>HYPERLINK("https://knigipp.ru/api/getInfo/image/53245e7a-e38d-11e9-a235-ac1f6b442184")</f>
        <v>https://knigipp.ru/api/getInfo/image/53245e7a-e38d-11e9-a235-ac1f6b442184</v>
      </c>
      <c r="AD974" s="32">
        <v>160</v>
      </c>
      <c r="AE974" s="3"/>
      <c r="AF974" s="3" t="s">
        <v>127</v>
      </c>
      <c r="AG974" s="32">
        <v>70</v>
      </c>
      <c r="AH974" s="3" t="s">
        <v>56</v>
      </c>
      <c r="AI974" s="3"/>
      <c r="AJ974" s="3" t="s">
        <v>4069</v>
      </c>
      <c r="AK974" s="3" t="str">
        <f>HYPERLINK("https://knigipp.ru/api/getInfo/item/53245e7a-e38d-11e9-a235-ac1f6b442184")</f>
        <v>https://knigipp.ru/api/getInfo/item/53245e7a-e38d-11e9-a235-ac1f6b442184</v>
      </c>
      <c r="AL974" s="3" t="s">
        <v>2576</v>
      </c>
    </row>
    <row r="975" spans="1:38" ht="21" customHeight="1" outlineLevel="4" x14ac:dyDescent="0.2">
      <c r="A975" s="2">
        <v>727</v>
      </c>
      <c r="B975" s="3" t="s">
        <v>4189</v>
      </c>
      <c r="C975" s="49" t="s">
        <v>4190</v>
      </c>
      <c r="D975" s="49"/>
      <c r="E975" s="49"/>
      <c r="F975" s="49"/>
      <c r="G975" s="4" t="s">
        <v>4191</v>
      </c>
      <c r="H975" s="8"/>
      <c r="I975" s="9" t="s">
        <v>4066</v>
      </c>
      <c r="J975" s="10"/>
      <c r="K975" s="11">
        <v>10</v>
      </c>
      <c r="L975" s="10"/>
      <c r="M975" s="10" t="s">
        <v>47</v>
      </c>
      <c r="N975" s="10"/>
      <c r="O975" s="2">
        <v>3</v>
      </c>
      <c r="P975" s="17">
        <f>219*(1-S3/100)</f>
        <v>219</v>
      </c>
      <c r="Q975" s="18"/>
      <c r="R975" s="10">
        <f t="shared" si="37"/>
        <v>0</v>
      </c>
      <c r="S975" s="19">
        <f>0.298*Q975</f>
        <v>0</v>
      </c>
      <c r="T975" s="30">
        <f>0.0005*Q975</f>
        <v>0</v>
      </c>
      <c r="U975" s="21"/>
      <c r="V975" s="22" t="s">
        <v>4192</v>
      </c>
      <c r="W975" s="22" t="s">
        <v>191</v>
      </c>
      <c r="X975" s="3"/>
      <c r="Y975" s="3"/>
      <c r="Z975" s="3" t="s">
        <v>384</v>
      </c>
      <c r="AA975" s="3"/>
      <c r="AB975" s="3"/>
      <c r="AC975" s="3" t="str">
        <f>HYPERLINK("https://knigipp.ru/api/getInfo/image/a2cfb1b9-257c-11ea-a239-ac1f6b442184")</f>
        <v>https://knigipp.ru/api/getInfo/image/a2cfb1b9-257c-11ea-a239-ac1f6b442184</v>
      </c>
      <c r="AD975" s="32">
        <v>160</v>
      </c>
      <c r="AE975" s="3"/>
      <c r="AF975" s="3" t="s">
        <v>127</v>
      </c>
      <c r="AG975" s="32">
        <v>70</v>
      </c>
      <c r="AH975" s="3" t="s">
        <v>56</v>
      </c>
      <c r="AI975" s="3"/>
      <c r="AJ975" s="3" t="s">
        <v>4069</v>
      </c>
      <c r="AK975" s="3" t="str">
        <f>HYPERLINK("https://knigipp.ru/api/getInfo/item/a2cfb1b9-257c-11ea-a239-ac1f6b442184")</f>
        <v>https://knigipp.ru/api/getInfo/item/a2cfb1b9-257c-11ea-a239-ac1f6b442184</v>
      </c>
      <c r="AL975" s="3" t="s">
        <v>2576</v>
      </c>
    </row>
    <row r="976" spans="1:38" ht="21" customHeight="1" outlineLevel="4" x14ac:dyDescent="0.2">
      <c r="A976" s="2">
        <v>728</v>
      </c>
      <c r="B976" s="3" t="s">
        <v>4193</v>
      </c>
      <c r="C976" s="49" t="s">
        <v>4194</v>
      </c>
      <c r="D976" s="49"/>
      <c r="E976" s="49"/>
      <c r="F976" s="49"/>
      <c r="G976" s="4" t="s">
        <v>4195</v>
      </c>
      <c r="H976" s="8"/>
      <c r="I976" s="9" t="s">
        <v>4066</v>
      </c>
      <c r="J976" s="10"/>
      <c r="K976" s="11">
        <v>10</v>
      </c>
      <c r="L976" s="10"/>
      <c r="M976" s="10" t="s">
        <v>304</v>
      </c>
      <c r="N976" s="10"/>
      <c r="O976" s="2">
        <v>3</v>
      </c>
      <c r="P976" s="17">
        <f>219*(1-S3/100)</f>
        <v>219</v>
      </c>
      <c r="Q976" s="18"/>
      <c r="R976" s="10">
        <f t="shared" si="37"/>
        <v>0</v>
      </c>
      <c r="S976" s="28">
        <f>0.25*Q976</f>
        <v>0</v>
      </c>
      <c r="T976" s="20">
        <f>0.00038*Q976</f>
        <v>0</v>
      </c>
      <c r="U976" s="21"/>
      <c r="V976" s="22" t="s">
        <v>4196</v>
      </c>
      <c r="W976" s="22" t="s">
        <v>191</v>
      </c>
      <c r="X976" s="3"/>
      <c r="Y976" s="3"/>
      <c r="Z976" s="3" t="s">
        <v>384</v>
      </c>
      <c r="AA976" s="3"/>
      <c r="AB976" s="3"/>
      <c r="AC976" s="3" t="str">
        <f>HYPERLINK("https://knigipp.ru/api/getInfo/image/ceb640f5-d9ae-11eb-a209-ac1f6b442185")</f>
        <v>https://knigipp.ru/api/getInfo/image/ceb640f5-d9ae-11eb-a209-ac1f6b442185</v>
      </c>
      <c r="AD976" s="32">
        <v>160</v>
      </c>
      <c r="AE976" s="3"/>
      <c r="AF976" s="3" t="s">
        <v>127</v>
      </c>
      <c r="AG976" s="32">
        <v>70</v>
      </c>
      <c r="AH976" s="3" t="s">
        <v>56</v>
      </c>
      <c r="AI976" s="3"/>
      <c r="AJ976" s="3" t="s">
        <v>4069</v>
      </c>
      <c r="AK976" s="3" t="str">
        <f>HYPERLINK("https://knigipp.ru/api/getInfo/item/ceb640f5-d9ae-11eb-a209-ac1f6b442185")</f>
        <v>https://knigipp.ru/api/getInfo/item/ceb640f5-d9ae-11eb-a209-ac1f6b442185</v>
      </c>
      <c r="AL976" s="3" t="s">
        <v>2576</v>
      </c>
    </row>
    <row r="977" spans="1:38" ht="21" customHeight="1" outlineLevel="4" x14ac:dyDescent="0.2">
      <c r="A977" s="2">
        <v>729</v>
      </c>
      <c r="B977" s="3" t="s">
        <v>4197</v>
      </c>
      <c r="C977" s="49" t="s">
        <v>4198</v>
      </c>
      <c r="D977" s="49"/>
      <c r="E977" s="49"/>
      <c r="F977" s="49"/>
      <c r="G977" s="4" t="s">
        <v>4199</v>
      </c>
      <c r="H977" s="8"/>
      <c r="I977" s="9" t="s">
        <v>4066</v>
      </c>
      <c r="J977" s="10"/>
      <c r="K977" s="11">
        <v>10</v>
      </c>
      <c r="L977" s="10"/>
      <c r="M977" s="10" t="s">
        <v>47</v>
      </c>
      <c r="N977" s="10"/>
      <c r="O977" s="2">
        <v>3</v>
      </c>
      <c r="P977" s="17">
        <f>219*(1-S3/100)</f>
        <v>219</v>
      </c>
      <c r="Q977" s="18"/>
      <c r="R977" s="10">
        <f t="shared" si="37"/>
        <v>0</v>
      </c>
      <c r="S977" s="19">
        <f>0.295*Q977</f>
        <v>0</v>
      </c>
      <c r="T977" s="20">
        <f>0.00053*Q977</f>
        <v>0</v>
      </c>
      <c r="U977" s="21"/>
      <c r="V977" s="22" t="s">
        <v>4200</v>
      </c>
      <c r="W977" s="22" t="s">
        <v>191</v>
      </c>
      <c r="X977" s="3"/>
      <c r="Y977" s="3"/>
      <c r="Z977" s="3" t="s">
        <v>52</v>
      </c>
      <c r="AA977" s="3"/>
      <c r="AB977" s="3"/>
      <c r="AC977" s="3" t="str">
        <f>HYPERLINK("https://knigipp.ru/api/getInfo/image/dcbd25f6-1999-11ee-a23b-00155d82e902")</f>
        <v>https://knigipp.ru/api/getInfo/image/dcbd25f6-1999-11ee-a23b-00155d82e902</v>
      </c>
      <c r="AD977" s="32">
        <v>160</v>
      </c>
      <c r="AE977" s="3" t="s">
        <v>481</v>
      </c>
      <c r="AF977" s="3" t="s">
        <v>127</v>
      </c>
      <c r="AG977" s="32">
        <v>70</v>
      </c>
      <c r="AH977" s="3" t="s">
        <v>56</v>
      </c>
      <c r="AI977" s="3"/>
      <c r="AJ977" s="3" t="s">
        <v>4069</v>
      </c>
      <c r="AK977" s="3" t="str">
        <f>HYPERLINK("https://knigipp.ru/api/getInfo/item/dcbd25f6-1999-11ee-a23b-00155d82e902")</f>
        <v>https://knigipp.ru/api/getInfo/item/dcbd25f6-1999-11ee-a23b-00155d82e902</v>
      </c>
      <c r="AL977" s="3" t="s">
        <v>2576</v>
      </c>
    </row>
    <row r="978" spans="1:38" ht="21" customHeight="1" outlineLevel="4" x14ac:dyDescent="0.2">
      <c r="A978" s="2">
        <v>730</v>
      </c>
      <c r="B978" s="3" t="s">
        <v>4201</v>
      </c>
      <c r="C978" s="49" t="s">
        <v>4202</v>
      </c>
      <c r="D978" s="49"/>
      <c r="E978" s="49"/>
      <c r="F978" s="49"/>
      <c r="G978" s="4" t="s">
        <v>4203</v>
      </c>
      <c r="H978" s="8"/>
      <c r="I978" s="9" t="s">
        <v>4066</v>
      </c>
      <c r="J978" s="10"/>
      <c r="K978" s="11">
        <v>10</v>
      </c>
      <c r="L978" s="10"/>
      <c r="M978" s="10" t="s">
        <v>78</v>
      </c>
      <c r="N978" s="10"/>
      <c r="O978" s="2">
        <v>3</v>
      </c>
      <c r="P978" s="17">
        <f>219*(1-S3/100)</f>
        <v>219</v>
      </c>
      <c r="Q978" s="18"/>
      <c r="R978" s="10">
        <f t="shared" ref="R978:R1004" si="38">P978*Q978</f>
        <v>0</v>
      </c>
      <c r="S978" s="19">
        <f>0.301*Q978</f>
        <v>0</v>
      </c>
      <c r="T978" s="30">
        <f>0.0005*Q978</f>
        <v>0</v>
      </c>
      <c r="U978" s="21"/>
      <c r="V978" s="22" t="s">
        <v>4204</v>
      </c>
      <c r="W978" s="22" t="s">
        <v>191</v>
      </c>
      <c r="X978" s="3"/>
      <c r="Y978" s="3"/>
      <c r="Z978" s="3" t="s">
        <v>384</v>
      </c>
      <c r="AA978" s="3"/>
      <c r="AB978" s="3"/>
      <c r="AC978" s="3" t="str">
        <f>HYPERLINK("https://knigipp.ru/api/getInfo/image/776f63b4-2f2c-11eb-a25d-ac1f6b442184")</f>
        <v>https://knigipp.ru/api/getInfo/image/776f63b4-2f2c-11eb-a25d-ac1f6b442184</v>
      </c>
      <c r="AD978" s="32">
        <v>160</v>
      </c>
      <c r="AE978" s="3"/>
      <c r="AF978" s="3" t="s">
        <v>127</v>
      </c>
      <c r="AG978" s="32">
        <v>70</v>
      </c>
      <c r="AH978" s="3" t="s">
        <v>56</v>
      </c>
      <c r="AI978" s="3"/>
      <c r="AJ978" s="3" t="s">
        <v>4069</v>
      </c>
      <c r="AK978" s="3" t="str">
        <f>HYPERLINK("https://knigipp.ru/api/getInfo/item/776f63b4-2f2c-11eb-a25d-ac1f6b442184")</f>
        <v>https://knigipp.ru/api/getInfo/item/776f63b4-2f2c-11eb-a25d-ac1f6b442184</v>
      </c>
      <c r="AL978" s="3" t="s">
        <v>2576</v>
      </c>
    </row>
    <row r="979" spans="1:38" ht="21" customHeight="1" outlineLevel="4" x14ac:dyDescent="0.2">
      <c r="A979" s="2">
        <v>731</v>
      </c>
      <c r="B979" s="3" t="s">
        <v>4205</v>
      </c>
      <c r="C979" s="49" t="s">
        <v>4206</v>
      </c>
      <c r="D979" s="49"/>
      <c r="E979" s="49"/>
      <c r="F979" s="49"/>
      <c r="G979" s="4" t="s">
        <v>4207</v>
      </c>
      <c r="H979" s="8"/>
      <c r="I979" s="9" t="s">
        <v>4066</v>
      </c>
      <c r="J979" s="10"/>
      <c r="K979" s="11">
        <v>10</v>
      </c>
      <c r="L979" s="10"/>
      <c r="M979" s="10" t="s">
        <v>47</v>
      </c>
      <c r="N979" s="10"/>
      <c r="O979" s="2">
        <v>3</v>
      </c>
      <c r="P979" s="17">
        <f>219*(1-S3/100)</f>
        <v>219</v>
      </c>
      <c r="Q979" s="18"/>
      <c r="R979" s="10">
        <f t="shared" si="38"/>
        <v>0</v>
      </c>
      <c r="S979" s="19">
        <f>0.295*Q979</f>
        <v>0</v>
      </c>
      <c r="T979" s="20">
        <f>0.00053*Q979</f>
        <v>0</v>
      </c>
      <c r="U979" s="21"/>
      <c r="V979" s="22" t="s">
        <v>4208</v>
      </c>
      <c r="W979" s="22" t="s">
        <v>191</v>
      </c>
      <c r="X979" s="3"/>
      <c r="Y979" s="3" t="s">
        <v>4209</v>
      </c>
      <c r="Z979" s="3" t="s">
        <v>52</v>
      </c>
      <c r="AA979" s="3" t="s">
        <v>4210</v>
      </c>
      <c r="AB979" s="3"/>
      <c r="AC979" s="3" t="str">
        <f>HYPERLINK("https://knigipp.ru/api/getInfo/image/b90a4242-e1f8-11ee-a25a-00155d82e908")</f>
        <v>https://knigipp.ru/api/getInfo/image/b90a4242-e1f8-11ee-a25a-00155d82e908</v>
      </c>
      <c r="AD979" s="32">
        <v>160</v>
      </c>
      <c r="AE979" s="3" t="s">
        <v>481</v>
      </c>
      <c r="AF979" s="3" t="s">
        <v>127</v>
      </c>
      <c r="AG979" s="32">
        <v>70</v>
      </c>
      <c r="AH979" s="3" t="s">
        <v>56</v>
      </c>
      <c r="AI979" s="3"/>
      <c r="AJ979" s="3" t="s">
        <v>4069</v>
      </c>
      <c r="AK979" s="3" t="str">
        <f>HYPERLINK("https://knigipp.ru/api/getInfo/item/b90a4242-e1f8-11ee-a25a-00155d82e908")</f>
        <v>https://knigipp.ru/api/getInfo/item/b90a4242-e1f8-11ee-a25a-00155d82e908</v>
      </c>
      <c r="AL979" s="3" t="s">
        <v>2576</v>
      </c>
    </row>
    <row r="980" spans="1:38" ht="21" customHeight="1" outlineLevel="4" x14ac:dyDescent="0.2">
      <c r="A980" s="2">
        <v>732</v>
      </c>
      <c r="B980" s="3" t="s">
        <v>4211</v>
      </c>
      <c r="C980" s="49" t="s">
        <v>4212</v>
      </c>
      <c r="D980" s="49"/>
      <c r="E980" s="49"/>
      <c r="F980" s="49"/>
      <c r="G980" s="4" t="s">
        <v>4213</v>
      </c>
      <c r="H980" s="8"/>
      <c r="I980" s="9" t="s">
        <v>4066</v>
      </c>
      <c r="J980" s="10"/>
      <c r="K980" s="11">
        <v>10</v>
      </c>
      <c r="L980" s="10"/>
      <c r="M980" s="10" t="s">
        <v>47</v>
      </c>
      <c r="N980" s="10"/>
      <c r="O980" s="2">
        <v>3</v>
      </c>
      <c r="P980" s="17">
        <f>219*(1-S3/100)</f>
        <v>219</v>
      </c>
      <c r="Q980" s="18"/>
      <c r="R980" s="10">
        <f t="shared" si="38"/>
        <v>0</v>
      </c>
      <c r="S980" s="19">
        <f>0.303*Q980</f>
        <v>0</v>
      </c>
      <c r="T980" s="20">
        <f>0.00046*Q980</f>
        <v>0</v>
      </c>
      <c r="U980" s="21"/>
      <c r="V980" s="22" t="s">
        <v>4214</v>
      </c>
      <c r="W980" s="22" t="s">
        <v>191</v>
      </c>
      <c r="X980" s="3"/>
      <c r="Y980" s="3"/>
      <c r="Z980" s="3" t="s">
        <v>52</v>
      </c>
      <c r="AA980" s="3"/>
      <c r="AB980" s="3"/>
      <c r="AC980" s="3" t="str">
        <f>HYPERLINK("https://knigipp.ru/api/getInfo/image/006b151a-199a-11ee-a23b-00155d82e902")</f>
        <v>https://knigipp.ru/api/getInfo/image/006b151a-199a-11ee-a23b-00155d82e902</v>
      </c>
      <c r="AD980" s="32">
        <v>160</v>
      </c>
      <c r="AE980" s="3" t="s">
        <v>481</v>
      </c>
      <c r="AF980" s="3" t="s">
        <v>127</v>
      </c>
      <c r="AG980" s="32">
        <v>70</v>
      </c>
      <c r="AH980" s="3" t="s">
        <v>56</v>
      </c>
      <c r="AI980" s="3"/>
      <c r="AJ980" s="3" t="s">
        <v>4069</v>
      </c>
      <c r="AK980" s="3" t="str">
        <f>HYPERLINK("https://knigipp.ru/api/getInfo/item/006b151a-199a-11ee-a23b-00155d82e902")</f>
        <v>https://knigipp.ru/api/getInfo/item/006b151a-199a-11ee-a23b-00155d82e902</v>
      </c>
      <c r="AL980" s="3" t="s">
        <v>2576</v>
      </c>
    </row>
    <row r="981" spans="1:38" ht="21" customHeight="1" outlineLevel="4" x14ac:dyDescent="0.2">
      <c r="A981" s="2">
        <v>733</v>
      </c>
      <c r="B981" s="3" t="s">
        <v>4215</v>
      </c>
      <c r="C981" s="49" t="s">
        <v>4216</v>
      </c>
      <c r="D981" s="49"/>
      <c r="E981" s="49"/>
      <c r="F981" s="49"/>
      <c r="G981" s="4" t="s">
        <v>4217</v>
      </c>
      <c r="H981" s="8"/>
      <c r="I981" s="9" t="s">
        <v>4066</v>
      </c>
      <c r="J981" s="10"/>
      <c r="K981" s="11">
        <v>10</v>
      </c>
      <c r="L981" s="10"/>
      <c r="M981" s="10" t="s">
        <v>47</v>
      </c>
      <c r="N981" s="10"/>
      <c r="O981" s="2">
        <v>3</v>
      </c>
      <c r="P981" s="17">
        <f>219*(1-S3/100)</f>
        <v>219</v>
      </c>
      <c r="Q981" s="18"/>
      <c r="R981" s="10">
        <f t="shared" si="38"/>
        <v>0</v>
      </c>
      <c r="S981" s="19">
        <f>0.295*Q981</f>
        <v>0</v>
      </c>
      <c r="T981" s="20">
        <f>0.00045*Q981</f>
        <v>0</v>
      </c>
      <c r="U981" s="21"/>
      <c r="V981" s="22" t="s">
        <v>4218</v>
      </c>
      <c r="W981" s="22" t="s">
        <v>191</v>
      </c>
      <c r="X981" s="3"/>
      <c r="Y981" s="3"/>
      <c r="Z981" s="3" t="s">
        <v>52</v>
      </c>
      <c r="AA981" s="3"/>
      <c r="AB981" s="3"/>
      <c r="AC981" s="3" t="str">
        <f>HYPERLINK("https://knigipp.ru/api/getInfo/image/7f2f2d68-e1f9-11ee-a25a-00155d82e908")</f>
        <v>https://knigipp.ru/api/getInfo/image/7f2f2d68-e1f9-11ee-a25a-00155d82e908</v>
      </c>
      <c r="AD981" s="32">
        <v>160</v>
      </c>
      <c r="AE981" s="3" t="s">
        <v>481</v>
      </c>
      <c r="AF981" s="3" t="s">
        <v>127</v>
      </c>
      <c r="AG981" s="32">
        <v>70</v>
      </c>
      <c r="AH981" s="3" t="s">
        <v>56</v>
      </c>
      <c r="AI981" s="3"/>
      <c r="AJ981" s="3" t="s">
        <v>4069</v>
      </c>
      <c r="AK981" s="3" t="str">
        <f>HYPERLINK("https://knigipp.ru/api/getInfo/item/7f2f2d68-e1f9-11ee-a25a-00155d82e908")</f>
        <v>https://knigipp.ru/api/getInfo/item/7f2f2d68-e1f9-11ee-a25a-00155d82e908</v>
      </c>
      <c r="AL981" s="3" t="s">
        <v>2576</v>
      </c>
    </row>
    <row r="982" spans="1:38" ht="21" customHeight="1" outlineLevel="4" x14ac:dyDescent="0.2">
      <c r="A982" s="2">
        <v>734</v>
      </c>
      <c r="B982" s="3" t="s">
        <v>4219</v>
      </c>
      <c r="C982" s="49" t="s">
        <v>4220</v>
      </c>
      <c r="D982" s="49"/>
      <c r="E982" s="49"/>
      <c r="F982" s="49"/>
      <c r="G982" s="4" t="s">
        <v>4221</v>
      </c>
      <c r="H982" s="8"/>
      <c r="I982" s="9" t="s">
        <v>4066</v>
      </c>
      <c r="J982" s="10"/>
      <c r="K982" s="11">
        <v>10</v>
      </c>
      <c r="L982" s="10"/>
      <c r="M982" s="10" t="s">
        <v>78</v>
      </c>
      <c r="N982" s="10"/>
      <c r="O982" s="2">
        <v>3</v>
      </c>
      <c r="P982" s="17">
        <f>219*(1-S3/100)</f>
        <v>219</v>
      </c>
      <c r="Q982" s="18"/>
      <c r="R982" s="10">
        <f t="shared" si="38"/>
        <v>0</v>
      </c>
      <c r="S982" s="19">
        <f>0.296*Q982</f>
        <v>0</v>
      </c>
      <c r="T982" s="20">
        <f>0.00058*Q982</f>
        <v>0</v>
      </c>
      <c r="U982" s="21"/>
      <c r="V982" s="22" t="s">
        <v>4222</v>
      </c>
      <c r="W982" s="22" t="s">
        <v>191</v>
      </c>
      <c r="X982" s="3"/>
      <c r="Y982" s="3"/>
      <c r="Z982" s="3"/>
      <c r="AA982" s="3"/>
      <c r="AB982" s="3"/>
      <c r="AC982" s="3" t="str">
        <f>HYPERLINK("https://knigipp.ru/api/getInfo/image/c1c9fcbc-3dc9-11ee-a241-00155d82e902")</f>
        <v>https://knigipp.ru/api/getInfo/image/c1c9fcbc-3dc9-11ee-a241-00155d82e902</v>
      </c>
      <c r="AD982" s="32">
        <v>160</v>
      </c>
      <c r="AE982" s="3"/>
      <c r="AF982" s="3" t="s">
        <v>127</v>
      </c>
      <c r="AG982" s="32">
        <v>70</v>
      </c>
      <c r="AH982" s="3" t="s">
        <v>56</v>
      </c>
      <c r="AI982" s="3"/>
      <c r="AJ982" s="3" t="s">
        <v>4069</v>
      </c>
      <c r="AK982" s="3" t="str">
        <f>HYPERLINK("https://knigipp.ru/api/getInfo/item/c1c9fcbc-3dc9-11ee-a241-00155d82e902")</f>
        <v>https://knigipp.ru/api/getInfo/item/c1c9fcbc-3dc9-11ee-a241-00155d82e902</v>
      </c>
      <c r="AL982" s="3" t="s">
        <v>2576</v>
      </c>
    </row>
    <row r="983" spans="1:38" ht="21" customHeight="1" outlineLevel="4" x14ac:dyDescent="0.2">
      <c r="A983" s="2">
        <v>735</v>
      </c>
      <c r="B983" s="3" t="s">
        <v>4223</v>
      </c>
      <c r="C983" s="49" t="s">
        <v>4224</v>
      </c>
      <c r="D983" s="49"/>
      <c r="E983" s="49"/>
      <c r="F983" s="49"/>
      <c r="G983" s="4" t="s">
        <v>4225</v>
      </c>
      <c r="H983" s="8"/>
      <c r="I983" s="9" t="s">
        <v>4066</v>
      </c>
      <c r="J983" s="10"/>
      <c r="K983" s="11">
        <v>10</v>
      </c>
      <c r="L983" s="10"/>
      <c r="M983" s="10" t="s">
        <v>47</v>
      </c>
      <c r="N983" s="10"/>
      <c r="O983" s="2">
        <v>3</v>
      </c>
      <c r="P983" s="17">
        <f>219*(1-S3/100)</f>
        <v>219</v>
      </c>
      <c r="Q983" s="18"/>
      <c r="R983" s="10">
        <f t="shared" si="38"/>
        <v>0</v>
      </c>
      <c r="S983" s="19">
        <f>0.295*Q983</f>
        <v>0</v>
      </c>
      <c r="T983" s="20">
        <f>0.00053*Q983</f>
        <v>0</v>
      </c>
      <c r="U983" s="21"/>
      <c r="V983" s="22" t="s">
        <v>4226</v>
      </c>
      <c r="W983" s="22" t="s">
        <v>191</v>
      </c>
      <c r="X983" s="3"/>
      <c r="Y983" s="3"/>
      <c r="Z983" s="3"/>
      <c r="AA983" s="3"/>
      <c r="AB983" s="3"/>
      <c r="AC983" s="3" t="str">
        <f>HYPERLINK("https://knigipp.ru/api/getInfo/image/1414f56d-3dca-11ee-a241-00155d82e902")</f>
        <v>https://knigipp.ru/api/getInfo/image/1414f56d-3dca-11ee-a241-00155d82e902</v>
      </c>
      <c r="AD983" s="32">
        <v>160</v>
      </c>
      <c r="AE983" s="3"/>
      <c r="AF983" s="3" t="s">
        <v>127</v>
      </c>
      <c r="AG983" s="32">
        <v>70</v>
      </c>
      <c r="AH983" s="3" t="s">
        <v>56</v>
      </c>
      <c r="AI983" s="3"/>
      <c r="AJ983" s="3" t="s">
        <v>4069</v>
      </c>
      <c r="AK983" s="3" t="str">
        <f>HYPERLINK("https://knigipp.ru/api/getInfo/item/1414f56d-3dca-11ee-a241-00155d82e902")</f>
        <v>https://knigipp.ru/api/getInfo/item/1414f56d-3dca-11ee-a241-00155d82e902</v>
      </c>
      <c r="AL983" s="3" t="s">
        <v>2576</v>
      </c>
    </row>
    <row r="984" spans="1:38" ht="21" customHeight="1" outlineLevel="4" x14ac:dyDescent="0.2">
      <c r="A984" s="2">
        <v>736</v>
      </c>
      <c r="B984" s="3" t="s">
        <v>4227</v>
      </c>
      <c r="C984" s="49" t="s">
        <v>4228</v>
      </c>
      <c r="D984" s="49"/>
      <c r="E984" s="49"/>
      <c r="F984" s="49"/>
      <c r="G984" s="4" t="s">
        <v>4229</v>
      </c>
      <c r="H984" s="8"/>
      <c r="I984" s="9" t="s">
        <v>4066</v>
      </c>
      <c r="J984" s="10"/>
      <c r="K984" s="11">
        <v>10</v>
      </c>
      <c r="L984" s="10"/>
      <c r="M984" s="10" t="s">
        <v>47</v>
      </c>
      <c r="N984" s="10"/>
      <c r="O984" s="2">
        <v>3</v>
      </c>
      <c r="P984" s="17">
        <f>219*(1-S3/100)</f>
        <v>219</v>
      </c>
      <c r="Q984" s="18"/>
      <c r="R984" s="10">
        <f t="shared" si="38"/>
        <v>0</v>
      </c>
      <c r="S984" s="19">
        <f>0.295*Q984</f>
        <v>0</v>
      </c>
      <c r="T984" s="20">
        <f>0.00053*Q984</f>
        <v>0</v>
      </c>
      <c r="U984" s="21"/>
      <c r="V984" s="22" t="s">
        <v>4230</v>
      </c>
      <c r="W984" s="22" t="s">
        <v>191</v>
      </c>
      <c r="X984" s="3"/>
      <c r="Y984" s="3"/>
      <c r="Z984" s="3" t="s">
        <v>52</v>
      </c>
      <c r="AA984" s="3"/>
      <c r="AB984" s="3"/>
      <c r="AC984" s="3" t="str">
        <f>HYPERLINK("https://knigipp.ru/api/getInfo/image/591215fe-b6cd-11ee-a25a-00155d82e908")</f>
        <v>https://knigipp.ru/api/getInfo/image/591215fe-b6cd-11ee-a25a-00155d82e908</v>
      </c>
      <c r="AD984" s="32">
        <v>160</v>
      </c>
      <c r="AE984" s="3" t="s">
        <v>481</v>
      </c>
      <c r="AF984" s="3" t="s">
        <v>127</v>
      </c>
      <c r="AG984" s="32">
        <v>70</v>
      </c>
      <c r="AH984" s="3" t="s">
        <v>56</v>
      </c>
      <c r="AI984" s="3"/>
      <c r="AJ984" s="3" t="s">
        <v>4069</v>
      </c>
      <c r="AK984" s="3" t="str">
        <f>HYPERLINK("https://knigipp.ru/api/getInfo/item/591215fe-b6cd-11ee-a25a-00155d82e908")</f>
        <v>https://knigipp.ru/api/getInfo/item/591215fe-b6cd-11ee-a25a-00155d82e908</v>
      </c>
      <c r="AL984" s="3" t="s">
        <v>2576</v>
      </c>
    </row>
    <row r="985" spans="1:38" ht="21" customHeight="1" outlineLevel="4" x14ac:dyDescent="0.2">
      <c r="A985" s="2">
        <v>737</v>
      </c>
      <c r="B985" s="3" t="s">
        <v>4231</v>
      </c>
      <c r="C985" s="49" t="s">
        <v>4232</v>
      </c>
      <c r="D985" s="49"/>
      <c r="E985" s="49"/>
      <c r="F985" s="49"/>
      <c r="G985" s="4" t="s">
        <v>4233</v>
      </c>
      <c r="H985" s="8"/>
      <c r="I985" s="9" t="s">
        <v>4066</v>
      </c>
      <c r="J985" s="10"/>
      <c r="K985" s="11">
        <v>10</v>
      </c>
      <c r="L985" s="10"/>
      <c r="M985" s="10" t="s">
        <v>47</v>
      </c>
      <c r="N985" s="10"/>
      <c r="O985" s="2">
        <v>3</v>
      </c>
      <c r="P985" s="17">
        <f>219*(1-S3/100)</f>
        <v>219</v>
      </c>
      <c r="Q985" s="18"/>
      <c r="R985" s="10">
        <f t="shared" si="38"/>
        <v>0</v>
      </c>
      <c r="S985" s="19">
        <f>0.287*Q985</f>
        <v>0</v>
      </c>
      <c r="T985" s="20">
        <f>0.00055*Q985</f>
        <v>0</v>
      </c>
      <c r="U985" s="21"/>
      <c r="V985" s="22" t="s">
        <v>4234</v>
      </c>
      <c r="W985" s="22" t="s">
        <v>191</v>
      </c>
      <c r="X985" s="3"/>
      <c r="Y985" s="3"/>
      <c r="Z985" s="3" t="s">
        <v>52</v>
      </c>
      <c r="AA985" s="3"/>
      <c r="AB985" s="3"/>
      <c r="AC985" s="3" t="str">
        <f>HYPERLINK("https://knigipp.ru/api/getInfo/image/b0d39a76-b115-11ee-a259-00155d82e908")</f>
        <v>https://knigipp.ru/api/getInfo/image/b0d39a76-b115-11ee-a259-00155d82e908</v>
      </c>
      <c r="AD985" s="32">
        <v>160</v>
      </c>
      <c r="AE985" s="3" t="s">
        <v>481</v>
      </c>
      <c r="AF985" s="3" t="s">
        <v>127</v>
      </c>
      <c r="AG985" s="32">
        <v>70</v>
      </c>
      <c r="AH985" s="3" t="s">
        <v>56</v>
      </c>
      <c r="AI985" s="3"/>
      <c r="AJ985" s="3" t="s">
        <v>4069</v>
      </c>
      <c r="AK985" s="3" t="str">
        <f>HYPERLINK("https://knigipp.ru/api/getInfo/item/b0d39a76-b115-11ee-a259-00155d82e908")</f>
        <v>https://knigipp.ru/api/getInfo/item/b0d39a76-b115-11ee-a259-00155d82e908</v>
      </c>
      <c r="AL985" s="3" t="s">
        <v>2576</v>
      </c>
    </row>
    <row r="986" spans="1:38" ht="21" customHeight="1" outlineLevel="4" x14ac:dyDescent="0.2">
      <c r="A986" s="2">
        <v>738</v>
      </c>
      <c r="B986" s="3" t="s">
        <v>4235</v>
      </c>
      <c r="C986" s="49" t="s">
        <v>4236</v>
      </c>
      <c r="D986" s="49"/>
      <c r="E986" s="49"/>
      <c r="F986" s="49"/>
      <c r="G986" s="4" t="s">
        <v>4237</v>
      </c>
      <c r="H986" s="8"/>
      <c r="I986" s="9" t="s">
        <v>4066</v>
      </c>
      <c r="J986" s="10"/>
      <c r="K986" s="11">
        <v>10</v>
      </c>
      <c r="L986" s="10"/>
      <c r="M986" s="10" t="s">
        <v>47</v>
      </c>
      <c r="N986" s="10"/>
      <c r="O986" s="2">
        <v>3</v>
      </c>
      <c r="P986" s="17">
        <f>219*(1-S3/100)</f>
        <v>219</v>
      </c>
      <c r="Q986" s="18"/>
      <c r="R986" s="10">
        <f t="shared" si="38"/>
        <v>0</v>
      </c>
      <c r="S986" s="19">
        <f>0.298*Q986</f>
        <v>0</v>
      </c>
      <c r="T986" s="20">
        <f>0.00041*Q986</f>
        <v>0</v>
      </c>
      <c r="U986" s="21"/>
      <c r="V986" s="22" t="s">
        <v>4238</v>
      </c>
      <c r="W986" s="22" t="s">
        <v>191</v>
      </c>
      <c r="X986" s="3"/>
      <c r="Y986" s="3"/>
      <c r="Z986" s="3" t="s">
        <v>384</v>
      </c>
      <c r="AA986" s="3"/>
      <c r="AB986" s="3"/>
      <c r="AC986" s="3" t="str">
        <f>HYPERLINK("https://knigipp.ru/api/getInfo/image/20463ee8-9649-11ec-a211-ac1f6b442185")</f>
        <v>https://knigipp.ru/api/getInfo/image/20463ee8-9649-11ec-a211-ac1f6b442185</v>
      </c>
      <c r="AD986" s="32">
        <v>160</v>
      </c>
      <c r="AE986" s="3"/>
      <c r="AF986" s="3" t="s">
        <v>127</v>
      </c>
      <c r="AG986" s="32">
        <v>70</v>
      </c>
      <c r="AH986" s="3" t="s">
        <v>56</v>
      </c>
      <c r="AI986" s="3"/>
      <c r="AJ986" s="3" t="s">
        <v>4069</v>
      </c>
      <c r="AK986" s="3" t="str">
        <f>HYPERLINK("https://knigipp.ru/api/getInfo/item/20463ee8-9649-11ec-a211-ac1f6b442185")</f>
        <v>https://knigipp.ru/api/getInfo/item/20463ee8-9649-11ec-a211-ac1f6b442185</v>
      </c>
      <c r="AL986" s="3" t="s">
        <v>2576</v>
      </c>
    </row>
    <row r="987" spans="1:38" ht="21" customHeight="1" outlineLevel="4" x14ac:dyDescent="0.2">
      <c r="A987" s="2">
        <v>739</v>
      </c>
      <c r="B987" s="3" t="s">
        <v>4239</v>
      </c>
      <c r="C987" s="49" t="s">
        <v>4240</v>
      </c>
      <c r="D987" s="49"/>
      <c r="E987" s="49"/>
      <c r="F987" s="49"/>
      <c r="G987" s="4" t="s">
        <v>4241</v>
      </c>
      <c r="H987" s="8"/>
      <c r="I987" s="9" t="s">
        <v>4242</v>
      </c>
      <c r="J987" s="10"/>
      <c r="K987" s="11">
        <v>10</v>
      </c>
      <c r="L987" s="10"/>
      <c r="M987" s="10" t="s">
        <v>47</v>
      </c>
      <c r="N987" s="10"/>
      <c r="O987" s="2">
        <v>3</v>
      </c>
      <c r="P987" s="17">
        <f>219*(1-S3/100)</f>
        <v>219</v>
      </c>
      <c r="Q987" s="18"/>
      <c r="R987" s="10">
        <f t="shared" si="38"/>
        <v>0</v>
      </c>
      <c r="S987" s="19">
        <f>0.287*Q987</f>
        <v>0</v>
      </c>
      <c r="T987" s="20">
        <f>0.00055*Q987</f>
        <v>0</v>
      </c>
      <c r="U987" s="21"/>
      <c r="V987" s="22" t="s">
        <v>4243</v>
      </c>
      <c r="W987" s="22" t="s">
        <v>191</v>
      </c>
      <c r="X987" s="3"/>
      <c r="Y987" s="3"/>
      <c r="Z987" s="3" t="s">
        <v>52</v>
      </c>
      <c r="AA987" s="3"/>
      <c r="AB987" s="3"/>
      <c r="AC987" s="3" t="str">
        <f>HYPERLINK("https://knigipp.ru/api/getInfo/image/e03b6dfe-a383-11ed-a22f-00155d82e902")</f>
        <v>https://knigipp.ru/api/getInfo/image/e03b6dfe-a383-11ed-a22f-00155d82e902</v>
      </c>
      <c r="AD987" s="32">
        <v>160</v>
      </c>
      <c r="AE987" s="3" t="s">
        <v>355</v>
      </c>
      <c r="AF987" s="3" t="s">
        <v>127</v>
      </c>
      <c r="AG987" s="32">
        <v>70</v>
      </c>
      <c r="AH987" s="3" t="s">
        <v>56</v>
      </c>
      <c r="AI987" s="3"/>
      <c r="AJ987" s="3" t="s">
        <v>4069</v>
      </c>
      <c r="AK987" s="3" t="str">
        <f>HYPERLINK("https://knigipp.ru/api/getInfo/item/e03b6dfe-a383-11ed-a22f-00155d82e902")</f>
        <v>https://knigipp.ru/api/getInfo/item/e03b6dfe-a383-11ed-a22f-00155d82e902</v>
      </c>
      <c r="AL987" s="3" t="s">
        <v>2576</v>
      </c>
    </row>
    <row r="988" spans="1:38" ht="21" customHeight="1" outlineLevel="4" x14ac:dyDescent="0.2">
      <c r="A988" s="2">
        <v>740</v>
      </c>
      <c r="B988" s="3" t="s">
        <v>4244</v>
      </c>
      <c r="C988" s="49" t="s">
        <v>4245</v>
      </c>
      <c r="D988" s="49"/>
      <c r="E988" s="49"/>
      <c r="F988" s="49"/>
      <c r="G988" s="4" t="s">
        <v>4246</v>
      </c>
      <c r="H988" s="8"/>
      <c r="I988" s="9" t="s">
        <v>4066</v>
      </c>
      <c r="J988" s="10"/>
      <c r="K988" s="11">
        <v>10</v>
      </c>
      <c r="L988" s="10"/>
      <c r="M988" s="10" t="s">
        <v>47</v>
      </c>
      <c r="N988" s="10"/>
      <c r="O988" s="2">
        <v>3</v>
      </c>
      <c r="P988" s="17">
        <f>219*(1-S3/100)</f>
        <v>219</v>
      </c>
      <c r="Q988" s="18"/>
      <c r="R988" s="10">
        <f t="shared" si="38"/>
        <v>0</v>
      </c>
      <c r="S988" s="19">
        <f>0.295*Q988</f>
        <v>0</v>
      </c>
      <c r="T988" s="20">
        <f>0.00047*Q988</f>
        <v>0</v>
      </c>
      <c r="U988" s="21"/>
      <c r="V988" s="22" t="s">
        <v>4247</v>
      </c>
      <c r="W988" s="22" t="s">
        <v>191</v>
      </c>
      <c r="X988" s="3"/>
      <c r="Y988" s="3" t="s">
        <v>4248</v>
      </c>
      <c r="Z988" s="3" t="s">
        <v>52</v>
      </c>
      <c r="AA988" s="3"/>
      <c r="AB988" s="3"/>
      <c r="AC988" s="3" t="str">
        <f>HYPERLINK("https://knigipp.ru/api/getInfo/image/d5f9d54d-c4e2-11ef-a268-00155d82e908")</f>
        <v>https://knigipp.ru/api/getInfo/image/d5f9d54d-c4e2-11ef-a268-00155d82e908</v>
      </c>
      <c r="AD988" s="32">
        <v>160</v>
      </c>
      <c r="AE988" s="3" t="s">
        <v>481</v>
      </c>
      <c r="AF988" s="3" t="s">
        <v>127</v>
      </c>
      <c r="AG988" s="32">
        <v>70</v>
      </c>
      <c r="AH988" s="3" t="s">
        <v>56</v>
      </c>
      <c r="AI988" s="3"/>
      <c r="AJ988" s="3" t="s">
        <v>4069</v>
      </c>
      <c r="AK988" s="3" t="str">
        <f>HYPERLINK("https://knigipp.ru/api/getInfo/item/d5f9d54d-c4e2-11ef-a268-00155d82e908")</f>
        <v>https://knigipp.ru/api/getInfo/item/d5f9d54d-c4e2-11ef-a268-00155d82e908</v>
      </c>
      <c r="AL988" s="3" t="s">
        <v>2576</v>
      </c>
    </row>
    <row r="989" spans="1:38" ht="21" customHeight="1" outlineLevel="4" x14ac:dyDescent="0.2">
      <c r="A989" s="2">
        <v>741</v>
      </c>
      <c r="B989" s="3" t="s">
        <v>4249</v>
      </c>
      <c r="C989" s="49" t="s">
        <v>4250</v>
      </c>
      <c r="D989" s="49"/>
      <c r="E989" s="49"/>
      <c r="F989" s="49"/>
      <c r="G989" s="4" t="s">
        <v>4251</v>
      </c>
      <c r="H989" s="8"/>
      <c r="I989" s="9" t="s">
        <v>4066</v>
      </c>
      <c r="J989" s="10"/>
      <c r="K989" s="11">
        <v>10</v>
      </c>
      <c r="L989" s="10"/>
      <c r="M989" s="10" t="s">
        <v>47</v>
      </c>
      <c r="N989" s="10"/>
      <c r="O989" s="2">
        <v>3</v>
      </c>
      <c r="P989" s="17">
        <f>219*(1-S3/100)</f>
        <v>219</v>
      </c>
      <c r="Q989" s="18"/>
      <c r="R989" s="10">
        <f t="shared" si="38"/>
        <v>0</v>
      </c>
      <c r="S989" s="19">
        <f>0.295*Q989</f>
        <v>0</v>
      </c>
      <c r="T989" s="20">
        <f>0.00053*Q989</f>
        <v>0</v>
      </c>
      <c r="U989" s="21"/>
      <c r="V989" s="22" t="s">
        <v>4252</v>
      </c>
      <c r="W989" s="22" t="s">
        <v>191</v>
      </c>
      <c r="X989" s="3"/>
      <c r="Y989" s="3"/>
      <c r="Z989" s="3" t="s">
        <v>52</v>
      </c>
      <c r="AA989" s="3"/>
      <c r="AB989" s="3"/>
      <c r="AC989" s="3" t="str">
        <f>HYPERLINK("https://knigipp.ru/api/getInfo/image/9d54607a-e04c-11ed-a233-00155d82e902")</f>
        <v>https://knigipp.ru/api/getInfo/image/9d54607a-e04c-11ed-a233-00155d82e902</v>
      </c>
      <c r="AD989" s="32">
        <v>160</v>
      </c>
      <c r="AE989" s="3" t="s">
        <v>481</v>
      </c>
      <c r="AF989" s="3" t="s">
        <v>127</v>
      </c>
      <c r="AG989" s="32">
        <v>70</v>
      </c>
      <c r="AH989" s="3" t="s">
        <v>56</v>
      </c>
      <c r="AI989" s="3"/>
      <c r="AJ989" s="3" t="s">
        <v>4069</v>
      </c>
      <c r="AK989" s="3" t="str">
        <f>HYPERLINK("https://knigipp.ru/api/getInfo/item/9d54607a-e04c-11ed-a233-00155d82e902")</f>
        <v>https://knigipp.ru/api/getInfo/item/9d54607a-e04c-11ed-a233-00155d82e902</v>
      </c>
      <c r="AL989" s="3" t="s">
        <v>2576</v>
      </c>
    </row>
    <row r="990" spans="1:38" ht="21" customHeight="1" outlineLevel="4" x14ac:dyDescent="0.2">
      <c r="A990" s="2">
        <v>742</v>
      </c>
      <c r="B990" s="3" t="s">
        <v>4253</v>
      </c>
      <c r="C990" s="49" t="s">
        <v>4254</v>
      </c>
      <c r="D990" s="49"/>
      <c r="E990" s="49"/>
      <c r="F990" s="49"/>
      <c r="G990" s="4" t="s">
        <v>4255</v>
      </c>
      <c r="H990" s="8"/>
      <c r="I990" s="9" t="s">
        <v>4066</v>
      </c>
      <c r="J990" s="10"/>
      <c r="K990" s="11">
        <v>10</v>
      </c>
      <c r="L990" s="10"/>
      <c r="M990" s="10" t="s">
        <v>78</v>
      </c>
      <c r="N990" s="10"/>
      <c r="O990" s="2">
        <v>3</v>
      </c>
      <c r="P990" s="17">
        <f>219*(1-S3/100)</f>
        <v>219</v>
      </c>
      <c r="Q990" s="18"/>
      <c r="R990" s="10">
        <f t="shared" si="38"/>
        <v>0</v>
      </c>
      <c r="S990" s="19">
        <f>0.294*Q990</f>
        <v>0</v>
      </c>
      <c r="T990" s="20">
        <f>0.00057*Q990</f>
        <v>0</v>
      </c>
      <c r="U990" s="21"/>
      <c r="V990" s="22" t="s">
        <v>4256</v>
      </c>
      <c r="W990" s="22" t="s">
        <v>191</v>
      </c>
      <c r="X990" s="3"/>
      <c r="Y990" s="3" t="s">
        <v>4257</v>
      </c>
      <c r="Z990" s="3" t="s">
        <v>52</v>
      </c>
      <c r="AA990" s="3"/>
      <c r="AB990" s="3"/>
      <c r="AC990" s="3" t="str">
        <f>HYPERLINK("https://knigipp.ru/api/getInfo/image/5f890d76-c4e2-11ef-a268-00155d82e908")</f>
        <v>https://knigipp.ru/api/getInfo/image/5f890d76-c4e2-11ef-a268-00155d82e908</v>
      </c>
      <c r="AD990" s="32">
        <v>160</v>
      </c>
      <c r="AE990" s="3" t="s">
        <v>481</v>
      </c>
      <c r="AF990" s="3" t="s">
        <v>127</v>
      </c>
      <c r="AG990" s="32">
        <v>70</v>
      </c>
      <c r="AH990" s="3" t="s">
        <v>56</v>
      </c>
      <c r="AI990" s="3"/>
      <c r="AJ990" s="3" t="s">
        <v>4069</v>
      </c>
      <c r="AK990" s="3" t="str">
        <f>HYPERLINK("https://knigipp.ru/api/getInfo/item/5f890d76-c4e2-11ef-a268-00155d82e908")</f>
        <v>https://knigipp.ru/api/getInfo/item/5f890d76-c4e2-11ef-a268-00155d82e908</v>
      </c>
      <c r="AL990" s="3" t="s">
        <v>2576</v>
      </c>
    </row>
    <row r="991" spans="1:38" ht="21" customHeight="1" outlineLevel="4" x14ac:dyDescent="0.2">
      <c r="A991" s="2">
        <v>743</v>
      </c>
      <c r="B991" s="3" t="s">
        <v>4258</v>
      </c>
      <c r="C991" s="49" t="s">
        <v>4259</v>
      </c>
      <c r="D991" s="49"/>
      <c r="E991" s="49"/>
      <c r="F991" s="49"/>
      <c r="G991" s="4" t="s">
        <v>4260</v>
      </c>
      <c r="H991" s="8"/>
      <c r="I991" s="9" t="s">
        <v>4066</v>
      </c>
      <c r="J991" s="10"/>
      <c r="K991" s="11">
        <v>10</v>
      </c>
      <c r="L991" s="10"/>
      <c r="M991" s="10" t="s">
        <v>47</v>
      </c>
      <c r="N991" s="10"/>
      <c r="O991" s="2">
        <v>3</v>
      </c>
      <c r="P991" s="17">
        <f>219*(1-S3/100)</f>
        <v>219</v>
      </c>
      <c r="Q991" s="18"/>
      <c r="R991" s="10">
        <f t="shared" si="38"/>
        <v>0</v>
      </c>
      <c r="S991" s="19">
        <f>0.294*Q991</f>
        <v>0</v>
      </c>
      <c r="T991" s="20">
        <f>0.00053*Q991</f>
        <v>0</v>
      </c>
      <c r="U991" s="21"/>
      <c r="V991" s="22" t="s">
        <v>4261</v>
      </c>
      <c r="W991" s="22" t="s">
        <v>191</v>
      </c>
      <c r="X991" s="3"/>
      <c r="Y991" s="3" t="s">
        <v>4262</v>
      </c>
      <c r="Z991" s="3" t="s">
        <v>52</v>
      </c>
      <c r="AA991" s="3"/>
      <c r="AB991" s="3"/>
      <c r="AC991" s="3" t="str">
        <f>HYPERLINK("https://knigipp.ru/api/getInfo/image/22b925f4-b115-11ee-a259-00155d82e908")</f>
        <v>https://knigipp.ru/api/getInfo/image/22b925f4-b115-11ee-a259-00155d82e908</v>
      </c>
      <c r="AD991" s="32">
        <v>160</v>
      </c>
      <c r="AE991" s="3" t="s">
        <v>481</v>
      </c>
      <c r="AF991" s="3" t="s">
        <v>127</v>
      </c>
      <c r="AG991" s="32">
        <v>70</v>
      </c>
      <c r="AH991" s="3" t="s">
        <v>56</v>
      </c>
      <c r="AI991" s="3"/>
      <c r="AJ991" s="3" t="s">
        <v>4069</v>
      </c>
      <c r="AK991" s="3" t="str">
        <f>HYPERLINK("https://knigipp.ru/api/getInfo/item/22b925f4-b115-11ee-a259-00155d82e908")</f>
        <v>https://knigipp.ru/api/getInfo/item/22b925f4-b115-11ee-a259-00155d82e908</v>
      </c>
      <c r="AL991" s="3" t="s">
        <v>2576</v>
      </c>
    </row>
    <row r="992" spans="1:38" ht="21" customHeight="1" outlineLevel="4" x14ac:dyDescent="0.2">
      <c r="A992" s="2">
        <v>744</v>
      </c>
      <c r="B992" s="3" t="s">
        <v>4263</v>
      </c>
      <c r="C992" s="49" t="s">
        <v>4264</v>
      </c>
      <c r="D992" s="49"/>
      <c r="E992" s="49"/>
      <c r="F992" s="49"/>
      <c r="G992" s="4" t="s">
        <v>4265</v>
      </c>
      <c r="H992" s="8"/>
      <c r="I992" s="9" t="s">
        <v>4066</v>
      </c>
      <c r="J992" s="10"/>
      <c r="K992" s="11">
        <v>10</v>
      </c>
      <c r="L992" s="10"/>
      <c r="M992" s="10" t="s">
        <v>47</v>
      </c>
      <c r="N992" s="10"/>
      <c r="O992" s="2">
        <v>3</v>
      </c>
      <c r="P992" s="17">
        <f>219*(1-S3/100)</f>
        <v>219</v>
      </c>
      <c r="Q992" s="18"/>
      <c r="R992" s="10">
        <f t="shared" si="38"/>
        <v>0</v>
      </c>
      <c r="S992" s="19">
        <f>0.293*Q992</f>
        <v>0</v>
      </c>
      <c r="T992" s="20">
        <f>0.00049*Q992</f>
        <v>0</v>
      </c>
      <c r="U992" s="21"/>
      <c r="V992" s="22" t="s">
        <v>4266</v>
      </c>
      <c r="W992" s="22" t="s">
        <v>191</v>
      </c>
      <c r="X992" s="3"/>
      <c r="Y992" s="3"/>
      <c r="Z992" s="3"/>
      <c r="AA992" s="3"/>
      <c r="AB992" s="3"/>
      <c r="AC992" s="3" t="str">
        <f>HYPERLINK("https://knigipp.ru/api/getInfo/image/88a33a26-3dca-11ee-a241-00155d82e902")</f>
        <v>https://knigipp.ru/api/getInfo/image/88a33a26-3dca-11ee-a241-00155d82e902</v>
      </c>
      <c r="AD992" s="32">
        <v>160</v>
      </c>
      <c r="AE992" s="3" t="s">
        <v>355</v>
      </c>
      <c r="AF992" s="3" t="s">
        <v>127</v>
      </c>
      <c r="AG992" s="32">
        <v>70</v>
      </c>
      <c r="AH992" s="3" t="s">
        <v>56</v>
      </c>
      <c r="AI992" s="3"/>
      <c r="AJ992" s="3" t="s">
        <v>4069</v>
      </c>
      <c r="AK992" s="3" t="str">
        <f>HYPERLINK("https://knigipp.ru/api/getInfo/item/88a33a26-3dca-11ee-a241-00155d82e902")</f>
        <v>https://knigipp.ru/api/getInfo/item/88a33a26-3dca-11ee-a241-00155d82e902</v>
      </c>
      <c r="AL992" s="3" t="s">
        <v>2576</v>
      </c>
    </row>
    <row r="993" spans="1:38" ht="21" customHeight="1" outlineLevel="4" x14ac:dyDescent="0.2">
      <c r="A993" s="2">
        <v>745</v>
      </c>
      <c r="B993" s="3" t="s">
        <v>4267</v>
      </c>
      <c r="C993" s="49" t="s">
        <v>4268</v>
      </c>
      <c r="D993" s="49"/>
      <c r="E993" s="49"/>
      <c r="F993" s="49"/>
      <c r="G993" s="4" t="s">
        <v>4269</v>
      </c>
      <c r="H993" s="8"/>
      <c r="I993" s="9" t="s">
        <v>4066</v>
      </c>
      <c r="J993" s="10"/>
      <c r="K993" s="11">
        <v>10</v>
      </c>
      <c r="L993" s="10"/>
      <c r="M993" s="10" t="s">
        <v>47</v>
      </c>
      <c r="N993" s="10"/>
      <c r="O993" s="2">
        <v>3</v>
      </c>
      <c r="P993" s="17">
        <f>219*(1-S3/100)</f>
        <v>219</v>
      </c>
      <c r="Q993" s="18"/>
      <c r="R993" s="10">
        <f t="shared" si="38"/>
        <v>0</v>
      </c>
      <c r="S993" s="19">
        <f>0.295*Q993</f>
        <v>0</v>
      </c>
      <c r="T993" s="20">
        <f>0.00053*Q993</f>
        <v>0</v>
      </c>
      <c r="U993" s="21"/>
      <c r="V993" s="22" t="s">
        <v>4270</v>
      </c>
      <c r="W993" s="22" t="s">
        <v>191</v>
      </c>
      <c r="X993" s="3"/>
      <c r="Y993" s="3" t="s">
        <v>4271</v>
      </c>
      <c r="Z993" s="3" t="s">
        <v>52</v>
      </c>
      <c r="AA993" s="3"/>
      <c r="AB993" s="3"/>
      <c r="AC993" s="3" t="str">
        <f>HYPERLINK("https://knigipp.ru/api/getInfo/image/8a3f91f1-c4e2-11ef-a268-00155d82e908")</f>
        <v>https://knigipp.ru/api/getInfo/image/8a3f91f1-c4e2-11ef-a268-00155d82e908</v>
      </c>
      <c r="AD993" s="32">
        <v>160</v>
      </c>
      <c r="AE993" s="3" t="s">
        <v>481</v>
      </c>
      <c r="AF993" s="3" t="s">
        <v>127</v>
      </c>
      <c r="AG993" s="32">
        <v>70</v>
      </c>
      <c r="AH993" s="3" t="s">
        <v>56</v>
      </c>
      <c r="AI993" s="3"/>
      <c r="AJ993" s="3" t="s">
        <v>4069</v>
      </c>
      <c r="AK993" s="3" t="str">
        <f>HYPERLINK("https://knigipp.ru/api/getInfo/item/8a3f91f1-c4e2-11ef-a268-00155d82e908")</f>
        <v>https://knigipp.ru/api/getInfo/item/8a3f91f1-c4e2-11ef-a268-00155d82e908</v>
      </c>
      <c r="AL993" s="3" t="s">
        <v>2576</v>
      </c>
    </row>
    <row r="994" spans="1:38" ht="21" customHeight="1" outlineLevel="4" x14ac:dyDescent="0.2">
      <c r="A994" s="2">
        <v>746</v>
      </c>
      <c r="B994" s="3" t="s">
        <v>4272</v>
      </c>
      <c r="C994" s="49" t="s">
        <v>4273</v>
      </c>
      <c r="D994" s="49"/>
      <c r="E994" s="49"/>
      <c r="F994" s="49"/>
      <c r="G994" s="4" t="s">
        <v>4274</v>
      </c>
      <c r="H994" s="8"/>
      <c r="I994" s="9" t="s">
        <v>4066</v>
      </c>
      <c r="J994" s="10"/>
      <c r="K994" s="11">
        <v>10</v>
      </c>
      <c r="L994" s="10"/>
      <c r="M994" s="10" t="s">
        <v>47</v>
      </c>
      <c r="N994" s="10"/>
      <c r="O994" s="2">
        <v>3</v>
      </c>
      <c r="P994" s="17">
        <f>219*(1-S3/100)</f>
        <v>219</v>
      </c>
      <c r="Q994" s="18"/>
      <c r="R994" s="10">
        <f t="shared" si="38"/>
        <v>0</v>
      </c>
      <c r="S994" s="19">
        <f>0.295*Q994</f>
        <v>0</v>
      </c>
      <c r="T994" s="20">
        <f>0.00053*Q994</f>
        <v>0</v>
      </c>
      <c r="U994" s="21"/>
      <c r="V994" s="22" t="s">
        <v>4275</v>
      </c>
      <c r="W994" s="22" t="s">
        <v>191</v>
      </c>
      <c r="X994" s="3"/>
      <c r="Y994" s="3" t="s">
        <v>4276</v>
      </c>
      <c r="Z994" s="3" t="s">
        <v>52</v>
      </c>
      <c r="AA994" s="3"/>
      <c r="AB994" s="3"/>
      <c r="AC994" s="3" t="str">
        <f>HYPERLINK("https://knigipp.ru/api/getInfo/image/d03e526e-b6cd-11ee-a25a-00155d82e908")</f>
        <v>https://knigipp.ru/api/getInfo/image/d03e526e-b6cd-11ee-a25a-00155d82e908</v>
      </c>
      <c r="AD994" s="32">
        <v>160</v>
      </c>
      <c r="AE994" s="3" t="s">
        <v>481</v>
      </c>
      <c r="AF994" s="3" t="s">
        <v>127</v>
      </c>
      <c r="AG994" s="32">
        <v>70</v>
      </c>
      <c r="AH994" s="3" t="s">
        <v>56</v>
      </c>
      <c r="AI994" s="3"/>
      <c r="AJ994" s="3" t="s">
        <v>4069</v>
      </c>
      <c r="AK994" s="3" t="str">
        <f>HYPERLINK("https://knigipp.ru/api/getInfo/item/d03e526e-b6cd-11ee-a25a-00155d82e908")</f>
        <v>https://knigipp.ru/api/getInfo/item/d03e526e-b6cd-11ee-a25a-00155d82e908</v>
      </c>
      <c r="AL994" s="3" t="s">
        <v>2576</v>
      </c>
    </row>
    <row r="995" spans="1:38" ht="21" customHeight="1" outlineLevel="4" x14ac:dyDescent="0.2">
      <c r="A995" s="2">
        <v>747</v>
      </c>
      <c r="B995" s="3" t="s">
        <v>4277</v>
      </c>
      <c r="C995" s="49" t="s">
        <v>4278</v>
      </c>
      <c r="D995" s="49"/>
      <c r="E995" s="49"/>
      <c r="F995" s="49"/>
      <c r="G995" s="4" t="s">
        <v>4279</v>
      </c>
      <c r="H995" s="8"/>
      <c r="I995" s="9" t="s">
        <v>4066</v>
      </c>
      <c r="J995" s="10"/>
      <c r="K995" s="11">
        <v>10</v>
      </c>
      <c r="L995" s="10"/>
      <c r="M995" s="10" t="s">
        <v>47</v>
      </c>
      <c r="N995" s="10"/>
      <c r="O995" s="2">
        <v>3</v>
      </c>
      <c r="P995" s="17">
        <f>219*(1-S3/100)</f>
        <v>219</v>
      </c>
      <c r="Q995" s="18"/>
      <c r="R995" s="10">
        <f t="shared" si="38"/>
        <v>0</v>
      </c>
      <c r="S995" s="19">
        <f>0.293*Q995</f>
        <v>0</v>
      </c>
      <c r="T995" s="20">
        <f>0.00059*Q995</f>
        <v>0</v>
      </c>
      <c r="U995" s="21"/>
      <c r="V995" s="22" t="s">
        <v>4280</v>
      </c>
      <c r="W995" s="22" t="s">
        <v>191</v>
      </c>
      <c r="X995" s="3"/>
      <c r="Y995" s="3"/>
      <c r="Z995" s="3" t="s">
        <v>384</v>
      </c>
      <c r="AA995" s="3"/>
      <c r="AB995" s="3"/>
      <c r="AC995" s="3" t="str">
        <f>HYPERLINK("https://knigipp.ru/api/getInfo/image/a28f3343-2f2c-11eb-a25d-ac1f6b442184")</f>
        <v>https://knigipp.ru/api/getInfo/image/a28f3343-2f2c-11eb-a25d-ac1f6b442184</v>
      </c>
      <c r="AD995" s="32">
        <v>160</v>
      </c>
      <c r="AE995" s="3"/>
      <c r="AF995" s="3" t="s">
        <v>127</v>
      </c>
      <c r="AG995" s="32">
        <v>70</v>
      </c>
      <c r="AH995" s="3" t="s">
        <v>56</v>
      </c>
      <c r="AI995" s="3"/>
      <c r="AJ995" s="3" t="s">
        <v>4069</v>
      </c>
      <c r="AK995" s="3" t="str">
        <f>HYPERLINK("https://knigipp.ru/api/getInfo/item/a28f3343-2f2c-11eb-a25d-ac1f6b442184")</f>
        <v>https://knigipp.ru/api/getInfo/item/a28f3343-2f2c-11eb-a25d-ac1f6b442184</v>
      </c>
      <c r="AL995" s="3" t="s">
        <v>2576</v>
      </c>
    </row>
    <row r="996" spans="1:38" ht="21" customHeight="1" outlineLevel="4" x14ac:dyDescent="0.2">
      <c r="A996" s="2">
        <v>748</v>
      </c>
      <c r="B996" s="3" t="s">
        <v>4281</v>
      </c>
      <c r="C996" s="49" t="s">
        <v>4282</v>
      </c>
      <c r="D996" s="49"/>
      <c r="E996" s="49"/>
      <c r="F996" s="49"/>
      <c r="G996" s="4" t="s">
        <v>4283</v>
      </c>
      <c r="H996" s="8"/>
      <c r="I996" s="9" t="s">
        <v>4066</v>
      </c>
      <c r="J996" s="10"/>
      <c r="K996" s="11">
        <v>10</v>
      </c>
      <c r="L996" s="10"/>
      <c r="M996" s="10" t="s">
        <v>47</v>
      </c>
      <c r="N996" s="10"/>
      <c r="O996" s="2">
        <v>3</v>
      </c>
      <c r="P996" s="17">
        <f>219*(1-S3/100)</f>
        <v>219</v>
      </c>
      <c r="Q996" s="18"/>
      <c r="R996" s="10">
        <f t="shared" si="38"/>
        <v>0</v>
      </c>
      <c r="S996" s="19">
        <f>0.293*Q996</f>
        <v>0</v>
      </c>
      <c r="T996" s="20">
        <f>0.02046*Q996</f>
        <v>0</v>
      </c>
      <c r="U996" s="21"/>
      <c r="V996" s="22" t="s">
        <v>4284</v>
      </c>
      <c r="W996" s="22" t="s">
        <v>191</v>
      </c>
      <c r="X996" s="3"/>
      <c r="Y996" s="3"/>
      <c r="Z996" s="3"/>
      <c r="AA996" s="3" t="s">
        <v>4285</v>
      </c>
      <c r="AB996" s="3"/>
      <c r="AC996" s="3" t="str">
        <f>HYPERLINK("https://knigipp.ru/api/getInfo/image/217cbea7-3dcb-11ee-a241-00155d82e902")</f>
        <v>https://knigipp.ru/api/getInfo/image/217cbea7-3dcb-11ee-a241-00155d82e902</v>
      </c>
      <c r="AD996" s="32">
        <v>160</v>
      </c>
      <c r="AE996" s="3"/>
      <c r="AF996" s="3" t="s">
        <v>127</v>
      </c>
      <c r="AG996" s="32">
        <v>70</v>
      </c>
      <c r="AH996" s="3" t="s">
        <v>56</v>
      </c>
      <c r="AI996" s="3"/>
      <c r="AJ996" s="3" t="s">
        <v>4069</v>
      </c>
      <c r="AK996" s="3" t="str">
        <f>HYPERLINK("https://knigipp.ru/api/getInfo/item/217cbea7-3dcb-11ee-a241-00155d82e902")</f>
        <v>https://knigipp.ru/api/getInfo/item/217cbea7-3dcb-11ee-a241-00155d82e902</v>
      </c>
      <c r="AL996" s="3" t="s">
        <v>2576</v>
      </c>
    </row>
    <row r="997" spans="1:38" ht="21" customHeight="1" outlineLevel="4" x14ac:dyDescent="0.2">
      <c r="A997" s="2">
        <v>749</v>
      </c>
      <c r="B997" s="3" t="s">
        <v>4286</v>
      </c>
      <c r="C997" s="49" t="s">
        <v>4287</v>
      </c>
      <c r="D997" s="49"/>
      <c r="E997" s="49"/>
      <c r="F997" s="49"/>
      <c r="G997" s="4" t="s">
        <v>4288</v>
      </c>
      <c r="H997" s="8"/>
      <c r="I997" s="9" t="s">
        <v>4066</v>
      </c>
      <c r="J997" s="10"/>
      <c r="K997" s="11">
        <v>10</v>
      </c>
      <c r="L997" s="10"/>
      <c r="M997" s="10" t="s">
        <v>47</v>
      </c>
      <c r="N997" s="10"/>
      <c r="O997" s="2">
        <v>3</v>
      </c>
      <c r="P997" s="17">
        <f>219*(1-S3/100)</f>
        <v>219</v>
      </c>
      <c r="Q997" s="18"/>
      <c r="R997" s="10">
        <f t="shared" si="38"/>
        <v>0</v>
      </c>
      <c r="S997" s="19">
        <f>0.305*Q997</f>
        <v>0</v>
      </c>
      <c r="T997" s="20">
        <f>0.00054*Q997</f>
        <v>0</v>
      </c>
      <c r="U997" s="21"/>
      <c r="V997" s="22" t="s">
        <v>4289</v>
      </c>
      <c r="W997" s="22" t="s">
        <v>191</v>
      </c>
      <c r="X997" s="3"/>
      <c r="Y997" s="3"/>
      <c r="Z997" s="3"/>
      <c r="AA997" s="3"/>
      <c r="AB997" s="3"/>
      <c r="AC997" s="3" t="str">
        <f>HYPERLINK("https://knigipp.ru/api/getInfo/image/67a9b185-3dcb-11ee-a241-00155d82e902")</f>
        <v>https://knigipp.ru/api/getInfo/image/67a9b185-3dcb-11ee-a241-00155d82e902</v>
      </c>
      <c r="AD997" s="32">
        <v>160</v>
      </c>
      <c r="AE997" s="3" t="s">
        <v>355</v>
      </c>
      <c r="AF997" s="3" t="s">
        <v>127</v>
      </c>
      <c r="AG997" s="32">
        <v>70</v>
      </c>
      <c r="AH997" s="3" t="s">
        <v>56</v>
      </c>
      <c r="AI997" s="3"/>
      <c r="AJ997" s="3" t="s">
        <v>4069</v>
      </c>
      <c r="AK997" s="3" t="str">
        <f>HYPERLINK("https://knigipp.ru/api/getInfo/item/67a9b185-3dcb-11ee-a241-00155d82e902")</f>
        <v>https://knigipp.ru/api/getInfo/item/67a9b185-3dcb-11ee-a241-00155d82e902</v>
      </c>
      <c r="AL997" s="3" t="s">
        <v>2576</v>
      </c>
    </row>
    <row r="998" spans="1:38" ht="21" customHeight="1" outlineLevel="4" x14ac:dyDescent="0.2">
      <c r="A998" s="2">
        <v>750</v>
      </c>
      <c r="B998" s="3" t="s">
        <v>4290</v>
      </c>
      <c r="C998" s="49" t="s">
        <v>4291</v>
      </c>
      <c r="D998" s="49"/>
      <c r="E998" s="49"/>
      <c r="F998" s="49"/>
      <c r="G998" s="4" t="s">
        <v>4292</v>
      </c>
      <c r="H998" s="8"/>
      <c r="I998" s="9" t="s">
        <v>4066</v>
      </c>
      <c r="J998" s="10"/>
      <c r="K998" s="11">
        <v>10</v>
      </c>
      <c r="L998" s="10"/>
      <c r="M998" s="10" t="s">
        <v>47</v>
      </c>
      <c r="N998" s="10"/>
      <c r="O998" s="2">
        <v>3</v>
      </c>
      <c r="P998" s="17">
        <f>219*(1-S3/100)</f>
        <v>219</v>
      </c>
      <c r="Q998" s="18"/>
      <c r="R998" s="10">
        <f t="shared" si="38"/>
        <v>0</v>
      </c>
      <c r="S998" s="19">
        <f>0.301*Q998</f>
        <v>0</v>
      </c>
      <c r="T998" s="20">
        <f>0.00057*Q998</f>
        <v>0</v>
      </c>
      <c r="U998" s="21"/>
      <c r="V998" s="22" t="s">
        <v>4293</v>
      </c>
      <c r="W998" s="22" t="s">
        <v>191</v>
      </c>
      <c r="X998" s="3"/>
      <c r="Y998" s="3"/>
      <c r="Z998" s="3" t="s">
        <v>52</v>
      </c>
      <c r="AA998" s="3"/>
      <c r="AB998" s="3"/>
      <c r="AC998" s="3" t="str">
        <f>HYPERLINK("https://knigipp.ru/api/getInfo/image/c3d4baa2-e04c-11ed-a233-00155d82e902")</f>
        <v>https://knigipp.ru/api/getInfo/image/c3d4baa2-e04c-11ed-a233-00155d82e902</v>
      </c>
      <c r="AD998" s="32">
        <v>160</v>
      </c>
      <c r="AE998" s="3" t="s">
        <v>481</v>
      </c>
      <c r="AF998" s="3" t="s">
        <v>127</v>
      </c>
      <c r="AG998" s="32">
        <v>70</v>
      </c>
      <c r="AH998" s="3" t="s">
        <v>56</v>
      </c>
      <c r="AI998" s="3"/>
      <c r="AJ998" s="3" t="s">
        <v>4069</v>
      </c>
      <c r="AK998" s="3" t="str">
        <f>HYPERLINK("https://knigipp.ru/api/getInfo/item/c3d4baa2-e04c-11ed-a233-00155d82e902")</f>
        <v>https://knigipp.ru/api/getInfo/item/c3d4baa2-e04c-11ed-a233-00155d82e902</v>
      </c>
      <c r="AL998" s="3" t="s">
        <v>2576</v>
      </c>
    </row>
    <row r="999" spans="1:38" ht="21" customHeight="1" outlineLevel="4" x14ac:dyDescent="0.2">
      <c r="A999" s="2">
        <v>751</v>
      </c>
      <c r="B999" s="3" t="s">
        <v>4294</v>
      </c>
      <c r="C999" s="49" t="s">
        <v>4295</v>
      </c>
      <c r="D999" s="49"/>
      <c r="E999" s="49"/>
      <c r="F999" s="49"/>
      <c r="G999" s="4" t="s">
        <v>4296</v>
      </c>
      <c r="H999" s="8"/>
      <c r="I999" s="9" t="s">
        <v>4066</v>
      </c>
      <c r="J999" s="10"/>
      <c r="K999" s="11">
        <v>10</v>
      </c>
      <c r="L999" s="10"/>
      <c r="M999" s="10" t="s">
        <v>304</v>
      </c>
      <c r="N999" s="10"/>
      <c r="O999" s="2">
        <v>3</v>
      </c>
      <c r="P999" s="17">
        <f>219*(1-S3/100)</f>
        <v>219</v>
      </c>
      <c r="Q999" s="18"/>
      <c r="R999" s="10">
        <f t="shared" si="38"/>
        <v>0</v>
      </c>
      <c r="S999" s="19">
        <f>0.245*Q999</f>
        <v>0</v>
      </c>
      <c r="T999" s="30">
        <f>0.0004*Q999</f>
        <v>0</v>
      </c>
      <c r="U999" s="21"/>
      <c r="V999" s="22" t="s">
        <v>4297</v>
      </c>
      <c r="W999" s="22" t="s">
        <v>191</v>
      </c>
      <c r="X999" s="3"/>
      <c r="Y999" s="3"/>
      <c r="Z999" s="3" t="s">
        <v>384</v>
      </c>
      <c r="AA999" s="3"/>
      <c r="AB999" s="3"/>
      <c r="AC999" s="3" t="str">
        <f>HYPERLINK("https://knigipp.ru/api/getInfo/image/9247ab1e-0617-11ea-a236-ac1f6b442184")</f>
        <v>https://knigipp.ru/api/getInfo/image/9247ab1e-0617-11ea-a236-ac1f6b442184</v>
      </c>
      <c r="AD999" s="32">
        <v>160</v>
      </c>
      <c r="AE999" s="3"/>
      <c r="AF999" s="3" t="s">
        <v>127</v>
      </c>
      <c r="AG999" s="32">
        <v>70</v>
      </c>
      <c r="AH999" s="3" t="s">
        <v>56</v>
      </c>
      <c r="AI999" s="3"/>
      <c r="AJ999" s="3" t="s">
        <v>4069</v>
      </c>
      <c r="AK999" s="3" t="str">
        <f>HYPERLINK("https://knigipp.ru/api/getInfo/item/9247ab1e-0617-11ea-a236-ac1f6b442184")</f>
        <v>https://knigipp.ru/api/getInfo/item/9247ab1e-0617-11ea-a236-ac1f6b442184</v>
      </c>
      <c r="AL999" s="3" t="s">
        <v>2576</v>
      </c>
    </row>
    <row r="1000" spans="1:38" ht="21" customHeight="1" outlineLevel="4" x14ac:dyDescent="0.2">
      <c r="A1000" s="2">
        <v>752</v>
      </c>
      <c r="B1000" s="3" t="s">
        <v>4298</v>
      </c>
      <c r="C1000" s="49" t="s">
        <v>4299</v>
      </c>
      <c r="D1000" s="49"/>
      <c r="E1000" s="49"/>
      <c r="F1000" s="49"/>
      <c r="G1000" s="4" t="s">
        <v>4300</v>
      </c>
      <c r="H1000" s="8"/>
      <c r="I1000" s="9" t="s">
        <v>4066</v>
      </c>
      <c r="J1000" s="10"/>
      <c r="K1000" s="11">
        <v>10</v>
      </c>
      <c r="L1000" s="10"/>
      <c r="M1000" s="10" t="s">
        <v>47</v>
      </c>
      <c r="N1000" s="10"/>
      <c r="O1000" s="2">
        <v>3</v>
      </c>
      <c r="P1000" s="17">
        <f>219*(1-S3/100)</f>
        <v>219</v>
      </c>
      <c r="Q1000" s="18"/>
      <c r="R1000" s="10">
        <f t="shared" si="38"/>
        <v>0</v>
      </c>
      <c r="S1000" s="19">
        <f>0.297*Q1000</f>
        <v>0</v>
      </c>
      <c r="T1000" s="20">
        <f>0.00063*Q1000</f>
        <v>0</v>
      </c>
      <c r="U1000" s="21"/>
      <c r="V1000" s="22" t="s">
        <v>4301</v>
      </c>
      <c r="W1000" s="22" t="s">
        <v>191</v>
      </c>
      <c r="X1000" s="3"/>
      <c r="Y1000" s="3"/>
      <c r="Z1000" s="3" t="s">
        <v>52</v>
      </c>
      <c r="AA1000" s="3"/>
      <c r="AB1000" s="3"/>
      <c r="AC1000" s="3" t="str">
        <f>HYPERLINK("https://knigipp.ru/api/getInfo/image/9e3f0c26-1999-11ee-a23b-00155d82e902")</f>
        <v>https://knigipp.ru/api/getInfo/image/9e3f0c26-1999-11ee-a23b-00155d82e902</v>
      </c>
      <c r="AD1000" s="32">
        <v>160</v>
      </c>
      <c r="AE1000" s="3" t="s">
        <v>481</v>
      </c>
      <c r="AF1000" s="3" t="s">
        <v>127</v>
      </c>
      <c r="AG1000" s="32">
        <v>70</v>
      </c>
      <c r="AH1000" s="3" t="s">
        <v>56</v>
      </c>
      <c r="AI1000" s="3"/>
      <c r="AJ1000" s="3" t="s">
        <v>4069</v>
      </c>
      <c r="AK1000" s="3" t="str">
        <f>HYPERLINK("https://knigipp.ru/api/getInfo/item/9e3f0c26-1999-11ee-a23b-00155d82e902")</f>
        <v>https://knigipp.ru/api/getInfo/item/9e3f0c26-1999-11ee-a23b-00155d82e902</v>
      </c>
      <c r="AL1000" s="3" t="s">
        <v>2576</v>
      </c>
    </row>
    <row r="1001" spans="1:38" ht="21" customHeight="1" outlineLevel="4" x14ac:dyDescent="0.2">
      <c r="A1001" s="2">
        <v>753</v>
      </c>
      <c r="B1001" s="3" t="s">
        <v>4302</v>
      </c>
      <c r="C1001" s="49" t="s">
        <v>4303</v>
      </c>
      <c r="D1001" s="49"/>
      <c r="E1001" s="49"/>
      <c r="F1001" s="49"/>
      <c r="G1001" s="4" t="s">
        <v>4304</v>
      </c>
      <c r="H1001" s="8"/>
      <c r="I1001" s="9" t="s">
        <v>4066</v>
      </c>
      <c r="J1001" s="10"/>
      <c r="K1001" s="11">
        <v>10</v>
      </c>
      <c r="L1001" s="10"/>
      <c r="M1001" s="10" t="s">
        <v>47</v>
      </c>
      <c r="N1001" s="10"/>
      <c r="O1001" s="2">
        <v>3</v>
      </c>
      <c r="P1001" s="17">
        <f>219*(1-S3/100)</f>
        <v>219</v>
      </c>
      <c r="Q1001" s="18"/>
      <c r="R1001" s="10">
        <f t="shared" si="38"/>
        <v>0</v>
      </c>
      <c r="S1001" s="19">
        <f>0.296*Q1001</f>
        <v>0</v>
      </c>
      <c r="T1001" s="20">
        <f>0.00065*Q1001</f>
        <v>0</v>
      </c>
      <c r="U1001" s="21"/>
      <c r="V1001" s="22" t="s">
        <v>4305</v>
      </c>
      <c r="W1001" s="22" t="s">
        <v>191</v>
      </c>
      <c r="X1001" s="3"/>
      <c r="Y1001" s="3" t="s">
        <v>4306</v>
      </c>
      <c r="Z1001" s="3" t="s">
        <v>52</v>
      </c>
      <c r="AA1001" s="3"/>
      <c r="AB1001" s="3"/>
      <c r="AC1001" s="3" t="str">
        <f>HYPERLINK("https://knigipp.ru/api/getInfo/image/0021c361-c4e3-11ef-a268-00155d82e908")</f>
        <v>https://knigipp.ru/api/getInfo/image/0021c361-c4e3-11ef-a268-00155d82e908</v>
      </c>
      <c r="AD1001" s="32">
        <v>160</v>
      </c>
      <c r="AE1001" s="3" t="s">
        <v>481</v>
      </c>
      <c r="AF1001" s="3" t="s">
        <v>127</v>
      </c>
      <c r="AG1001" s="32">
        <v>70</v>
      </c>
      <c r="AH1001" s="3" t="s">
        <v>56</v>
      </c>
      <c r="AI1001" s="3"/>
      <c r="AJ1001" s="3" t="s">
        <v>4069</v>
      </c>
      <c r="AK1001" s="3" t="str">
        <f>HYPERLINK("https://knigipp.ru/api/getInfo/item/0021c361-c4e3-11ef-a268-00155d82e908")</f>
        <v>https://knigipp.ru/api/getInfo/item/0021c361-c4e3-11ef-a268-00155d82e908</v>
      </c>
      <c r="AL1001" s="3" t="s">
        <v>2576</v>
      </c>
    </row>
    <row r="1002" spans="1:38" ht="21" customHeight="1" outlineLevel="4" x14ac:dyDescent="0.2">
      <c r="A1002" s="2">
        <v>754</v>
      </c>
      <c r="B1002" s="3" t="s">
        <v>4307</v>
      </c>
      <c r="C1002" s="49" t="s">
        <v>4308</v>
      </c>
      <c r="D1002" s="49"/>
      <c r="E1002" s="49"/>
      <c r="F1002" s="49"/>
      <c r="G1002" s="4" t="s">
        <v>4309</v>
      </c>
      <c r="H1002" s="8"/>
      <c r="I1002" s="9" t="s">
        <v>4066</v>
      </c>
      <c r="J1002" s="10"/>
      <c r="K1002" s="11">
        <v>10</v>
      </c>
      <c r="L1002" s="10"/>
      <c r="M1002" s="10" t="s">
        <v>47</v>
      </c>
      <c r="N1002" s="10"/>
      <c r="O1002" s="2">
        <v>3</v>
      </c>
      <c r="P1002" s="17">
        <f>219*(1-S3/100)</f>
        <v>219</v>
      </c>
      <c r="Q1002" s="18"/>
      <c r="R1002" s="10">
        <f t="shared" si="38"/>
        <v>0</v>
      </c>
      <c r="S1002" s="19">
        <f>0.293*Q1002</f>
        <v>0</v>
      </c>
      <c r="T1002" s="20">
        <f>0.00047*Q1002</f>
        <v>0</v>
      </c>
      <c r="U1002" s="21"/>
      <c r="V1002" s="22" t="s">
        <v>4310</v>
      </c>
      <c r="W1002" s="22" t="s">
        <v>191</v>
      </c>
      <c r="X1002" s="3"/>
      <c r="Y1002" s="3" t="s">
        <v>4311</v>
      </c>
      <c r="Z1002" s="3" t="s">
        <v>52</v>
      </c>
      <c r="AA1002" s="3"/>
      <c r="AB1002" s="3"/>
      <c r="AC1002" s="3" t="str">
        <f>HYPERLINK("https://knigipp.ru/api/getInfo/image/68e55bb6-bea4-11ee-a25a-00155d82e908")</f>
        <v>https://knigipp.ru/api/getInfo/image/68e55bb6-bea4-11ee-a25a-00155d82e908</v>
      </c>
      <c r="AD1002" s="32">
        <v>160</v>
      </c>
      <c r="AE1002" s="3" t="s">
        <v>481</v>
      </c>
      <c r="AF1002" s="3" t="s">
        <v>127</v>
      </c>
      <c r="AG1002" s="32">
        <v>70</v>
      </c>
      <c r="AH1002" s="3" t="s">
        <v>56</v>
      </c>
      <c r="AI1002" s="3"/>
      <c r="AJ1002" s="3" t="s">
        <v>4069</v>
      </c>
      <c r="AK1002" s="3" t="str">
        <f>HYPERLINK("https://knigipp.ru/api/getInfo/item/68e55bb6-bea4-11ee-a25a-00155d82e908")</f>
        <v>https://knigipp.ru/api/getInfo/item/68e55bb6-bea4-11ee-a25a-00155d82e908</v>
      </c>
      <c r="AL1002" s="3" t="s">
        <v>2576</v>
      </c>
    </row>
    <row r="1003" spans="1:38" ht="21" customHeight="1" outlineLevel="4" x14ac:dyDescent="0.2">
      <c r="A1003" s="2">
        <v>755</v>
      </c>
      <c r="B1003" s="3" t="s">
        <v>4312</v>
      </c>
      <c r="C1003" s="49" t="s">
        <v>4313</v>
      </c>
      <c r="D1003" s="49"/>
      <c r="E1003" s="49"/>
      <c r="F1003" s="49"/>
      <c r="G1003" s="4" t="s">
        <v>4314</v>
      </c>
      <c r="H1003" s="8"/>
      <c r="I1003" s="9" t="s">
        <v>4066</v>
      </c>
      <c r="J1003" s="10"/>
      <c r="K1003" s="11">
        <v>10</v>
      </c>
      <c r="L1003" s="10"/>
      <c r="M1003" s="10" t="s">
        <v>47</v>
      </c>
      <c r="N1003" s="10"/>
      <c r="O1003" s="2">
        <v>3</v>
      </c>
      <c r="P1003" s="17">
        <f>219*(1-S3/100)</f>
        <v>219</v>
      </c>
      <c r="Q1003" s="18"/>
      <c r="R1003" s="10">
        <f t="shared" si="38"/>
        <v>0</v>
      </c>
      <c r="S1003" s="19">
        <f>0.299*Q1003</f>
        <v>0</v>
      </c>
      <c r="T1003" s="20">
        <f>0.00042*Q1003</f>
        <v>0</v>
      </c>
      <c r="U1003" s="21"/>
      <c r="V1003" s="22" t="s">
        <v>4315</v>
      </c>
      <c r="W1003" s="22" t="s">
        <v>191</v>
      </c>
      <c r="X1003" s="3"/>
      <c r="Y1003" s="3"/>
      <c r="Z1003" s="3" t="s">
        <v>52</v>
      </c>
      <c r="AA1003" s="3"/>
      <c r="AB1003" s="3"/>
      <c r="AC1003" s="3" t="str">
        <f>HYPERLINK("https://knigipp.ru/api/getInfo/image/51bef9f3-e1f8-11ee-a25a-00155d82e908")</f>
        <v>https://knigipp.ru/api/getInfo/image/51bef9f3-e1f8-11ee-a25a-00155d82e908</v>
      </c>
      <c r="AD1003" s="32">
        <v>160</v>
      </c>
      <c r="AE1003" s="3" t="s">
        <v>481</v>
      </c>
      <c r="AF1003" s="3" t="s">
        <v>127</v>
      </c>
      <c r="AG1003" s="32">
        <v>70</v>
      </c>
      <c r="AH1003" s="3" t="s">
        <v>56</v>
      </c>
      <c r="AI1003" s="3"/>
      <c r="AJ1003" s="3" t="s">
        <v>4069</v>
      </c>
      <c r="AK1003" s="3" t="str">
        <f>HYPERLINK("https://knigipp.ru/api/getInfo/item/51bef9f3-e1f8-11ee-a25a-00155d82e908")</f>
        <v>https://knigipp.ru/api/getInfo/item/51bef9f3-e1f8-11ee-a25a-00155d82e908</v>
      </c>
      <c r="AL1003" s="3" t="s">
        <v>2576</v>
      </c>
    </row>
    <row r="1004" spans="1:38" ht="21" customHeight="1" outlineLevel="4" x14ac:dyDescent="0.2">
      <c r="A1004" s="2">
        <v>756</v>
      </c>
      <c r="B1004" s="3" t="s">
        <v>4316</v>
      </c>
      <c r="C1004" s="49" t="s">
        <v>4317</v>
      </c>
      <c r="D1004" s="49"/>
      <c r="E1004" s="49"/>
      <c r="F1004" s="49"/>
      <c r="G1004" s="4" t="s">
        <v>4318</v>
      </c>
      <c r="H1004" s="8"/>
      <c r="I1004" s="9" t="s">
        <v>4066</v>
      </c>
      <c r="J1004" s="10"/>
      <c r="K1004" s="11">
        <v>10</v>
      </c>
      <c r="L1004" s="10"/>
      <c r="M1004" s="10" t="s">
        <v>47</v>
      </c>
      <c r="N1004" s="10"/>
      <c r="O1004" s="2">
        <v>3</v>
      </c>
      <c r="P1004" s="17">
        <f>219*(1-S3/100)</f>
        <v>219</v>
      </c>
      <c r="Q1004" s="18"/>
      <c r="R1004" s="10">
        <f t="shared" si="38"/>
        <v>0</v>
      </c>
      <c r="S1004" s="19">
        <f>0.305*Q1004</f>
        <v>0</v>
      </c>
      <c r="T1004" s="20">
        <f>0.00048*Q1004</f>
        <v>0</v>
      </c>
      <c r="U1004" s="21"/>
      <c r="V1004" s="22" t="s">
        <v>4319</v>
      </c>
      <c r="W1004" s="22" t="s">
        <v>191</v>
      </c>
      <c r="X1004" s="3"/>
      <c r="Y1004" s="3"/>
      <c r="Z1004" s="3" t="s">
        <v>384</v>
      </c>
      <c r="AA1004" s="3"/>
      <c r="AB1004" s="3"/>
      <c r="AC1004" s="3" t="str">
        <f>HYPERLINK("https://knigipp.ru/api/getInfo/image/4dcd151e-2f2c-11eb-a25d-ac1f6b442184")</f>
        <v>https://knigipp.ru/api/getInfo/image/4dcd151e-2f2c-11eb-a25d-ac1f6b442184</v>
      </c>
      <c r="AD1004" s="32">
        <v>160</v>
      </c>
      <c r="AE1004" s="3"/>
      <c r="AF1004" s="3" t="s">
        <v>127</v>
      </c>
      <c r="AG1004" s="32">
        <v>70</v>
      </c>
      <c r="AH1004" s="3" t="s">
        <v>56</v>
      </c>
      <c r="AI1004" s="3"/>
      <c r="AJ1004" s="3" t="s">
        <v>4069</v>
      </c>
      <c r="AK1004" s="3" t="str">
        <f>HYPERLINK("https://knigipp.ru/api/getInfo/item/4dcd151e-2f2c-11eb-a25d-ac1f6b442184")</f>
        <v>https://knigipp.ru/api/getInfo/item/4dcd151e-2f2c-11eb-a25d-ac1f6b442184</v>
      </c>
      <c r="AL1004" s="3" t="s">
        <v>2576</v>
      </c>
    </row>
    <row r="1005" spans="1:38" ht="23.1" customHeight="1" outlineLevel="3" x14ac:dyDescent="0.2">
      <c r="A1005" s="48" t="s">
        <v>4320</v>
      </c>
      <c r="B1005" s="48"/>
      <c r="C1005" s="48"/>
      <c r="D1005" s="48"/>
      <c r="E1005" s="48"/>
      <c r="F1005" s="48"/>
    </row>
    <row r="1006" spans="1:38" ht="21" customHeight="1" outlineLevel="4" x14ac:dyDescent="0.2">
      <c r="A1006" s="2">
        <v>757</v>
      </c>
      <c r="B1006" s="3" t="s">
        <v>4321</v>
      </c>
      <c r="C1006" s="49" t="s">
        <v>4322</v>
      </c>
      <c r="D1006" s="49"/>
      <c r="E1006" s="49"/>
      <c r="F1006" s="49"/>
      <c r="G1006" s="4" t="s">
        <v>4323</v>
      </c>
      <c r="H1006" s="8"/>
      <c r="I1006" s="9" t="s">
        <v>4324</v>
      </c>
      <c r="J1006" s="10"/>
      <c r="K1006" s="11">
        <v>10</v>
      </c>
      <c r="L1006" s="10"/>
      <c r="M1006" s="10" t="s">
        <v>47</v>
      </c>
      <c r="N1006" s="10"/>
      <c r="O1006" s="2">
        <v>4</v>
      </c>
      <c r="P1006" s="17">
        <f>169*(1-S3/100)</f>
        <v>169</v>
      </c>
      <c r="Q1006" s="18"/>
      <c r="R1006" s="10">
        <f>P1006*Q1006</f>
        <v>0</v>
      </c>
      <c r="S1006" s="19">
        <f>0.172*Q1006</f>
        <v>0</v>
      </c>
      <c r="T1006" s="20">
        <f>0.00032*Q1006</f>
        <v>0</v>
      </c>
      <c r="U1006" s="21"/>
      <c r="V1006" s="22" t="s">
        <v>4325</v>
      </c>
      <c r="W1006" s="22" t="s">
        <v>191</v>
      </c>
      <c r="X1006" s="3"/>
      <c r="Y1006" s="3"/>
      <c r="Z1006" s="3" t="s">
        <v>52</v>
      </c>
      <c r="AA1006" s="3"/>
      <c r="AB1006" s="3"/>
      <c r="AC1006" s="3" t="str">
        <f>HYPERLINK("https://knigipp.ru/api/getInfo/image/927f4f04-7927-11ec-a211-ac1f6b442185")</f>
        <v>https://knigipp.ru/api/getInfo/image/927f4f04-7927-11ec-a211-ac1f6b442185</v>
      </c>
      <c r="AD1006" s="32">
        <v>80</v>
      </c>
      <c r="AE1006" s="3"/>
      <c r="AF1006" s="3" t="s">
        <v>127</v>
      </c>
      <c r="AG1006" s="3"/>
      <c r="AH1006" s="3" t="s">
        <v>56</v>
      </c>
      <c r="AI1006" s="3"/>
      <c r="AJ1006" s="3"/>
      <c r="AK1006" s="3" t="str">
        <f>HYPERLINK("https://knigipp.ru/api/getInfo/item/927f4f04-7927-11ec-a211-ac1f6b442185")</f>
        <v>https://knigipp.ru/api/getInfo/item/927f4f04-7927-11ec-a211-ac1f6b442185</v>
      </c>
      <c r="AL1006" s="3" t="s">
        <v>4326</v>
      </c>
    </row>
    <row r="1007" spans="1:38" ht="21" customHeight="1" outlineLevel="4" x14ac:dyDescent="0.2">
      <c r="A1007" s="2">
        <v>758</v>
      </c>
      <c r="B1007" s="3" t="s">
        <v>4327</v>
      </c>
      <c r="C1007" s="49" t="s">
        <v>4328</v>
      </c>
      <c r="D1007" s="49"/>
      <c r="E1007" s="49"/>
      <c r="F1007" s="49"/>
      <c r="G1007" s="4" t="s">
        <v>4329</v>
      </c>
      <c r="H1007" s="8"/>
      <c r="I1007" s="9" t="s">
        <v>4324</v>
      </c>
      <c r="J1007" s="10"/>
      <c r="K1007" s="11">
        <v>10</v>
      </c>
      <c r="L1007" s="10"/>
      <c r="M1007" s="10" t="s">
        <v>47</v>
      </c>
      <c r="N1007" s="10"/>
      <c r="O1007" s="2">
        <v>4</v>
      </c>
      <c r="P1007" s="17">
        <f>169*(1-S3/100)</f>
        <v>169</v>
      </c>
      <c r="Q1007" s="18"/>
      <c r="R1007" s="10">
        <f>P1007*Q1007</f>
        <v>0</v>
      </c>
      <c r="S1007" s="19">
        <f>0.172*Q1007</f>
        <v>0</v>
      </c>
      <c r="T1007" s="20">
        <f>0.00032*Q1007</f>
        <v>0</v>
      </c>
      <c r="U1007" s="21"/>
      <c r="V1007" s="22" t="s">
        <v>4330</v>
      </c>
      <c r="W1007" s="22" t="s">
        <v>191</v>
      </c>
      <c r="X1007" s="3"/>
      <c r="Y1007" s="3"/>
      <c r="Z1007" s="3" t="s">
        <v>52</v>
      </c>
      <c r="AA1007" s="3"/>
      <c r="AB1007" s="3"/>
      <c r="AC1007" s="3" t="str">
        <f>HYPERLINK("https://knigipp.ru/api/getInfo/image/e53d3ebc-2062-11ec-a20f-ac1f6b442185")</f>
        <v>https://knigipp.ru/api/getInfo/image/e53d3ebc-2062-11ec-a20f-ac1f6b442185</v>
      </c>
      <c r="AD1007" s="32">
        <v>80</v>
      </c>
      <c r="AE1007" s="3"/>
      <c r="AF1007" s="3" t="s">
        <v>127</v>
      </c>
      <c r="AG1007" s="3"/>
      <c r="AH1007" s="3" t="s">
        <v>56</v>
      </c>
      <c r="AI1007" s="3"/>
      <c r="AJ1007" s="3"/>
      <c r="AK1007" s="3" t="str">
        <f>HYPERLINK("https://knigipp.ru/api/getInfo/item/e53d3ebc-2062-11ec-a20f-ac1f6b442185")</f>
        <v>https://knigipp.ru/api/getInfo/item/e53d3ebc-2062-11ec-a20f-ac1f6b442185</v>
      </c>
      <c r="AL1007" s="3" t="s">
        <v>4326</v>
      </c>
    </row>
    <row r="1008" spans="1:38" ht="21" customHeight="1" outlineLevel="4" x14ac:dyDescent="0.2">
      <c r="A1008" s="2">
        <v>759</v>
      </c>
      <c r="B1008" s="3" t="s">
        <v>4331</v>
      </c>
      <c r="C1008" s="49" t="s">
        <v>4332</v>
      </c>
      <c r="D1008" s="49"/>
      <c r="E1008" s="49"/>
      <c r="F1008" s="49"/>
      <c r="G1008" s="4" t="s">
        <v>4333</v>
      </c>
      <c r="H1008" s="8"/>
      <c r="I1008" s="9" t="s">
        <v>4324</v>
      </c>
      <c r="J1008" s="10"/>
      <c r="K1008" s="11">
        <v>10</v>
      </c>
      <c r="L1008" s="10"/>
      <c r="M1008" s="10" t="s">
        <v>47</v>
      </c>
      <c r="N1008" s="10"/>
      <c r="O1008" s="2">
        <v>4</v>
      </c>
      <c r="P1008" s="17">
        <f>169*(1-S3/100)</f>
        <v>169</v>
      </c>
      <c r="Q1008" s="18"/>
      <c r="R1008" s="10">
        <f>P1008*Q1008</f>
        <v>0</v>
      </c>
      <c r="S1008" s="19">
        <f>0.172*Q1008</f>
        <v>0</v>
      </c>
      <c r="T1008" s="20">
        <f>0.00032*Q1008</f>
        <v>0</v>
      </c>
      <c r="U1008" s="21"/>
      <c r="V1008" s="22" t="s">
        <v>4334</v>
      </c>
      <c r="W1008" s="22" t="s">
        <v>191</v>
      </c>
      <c r="X1008" s="3"/>
      <c r="Y1008" s="3"/>
      <c r="Z1008" s="3" t="s">
        <v>52</v>
      </c>
      <c r="AA1008" s="3"/>
      <c r="AB1008" s="3"/>
      <c r="AC1008" s="3" t="str">
        <f>HYPERLINK("https://knigipp.ru/api/getInfo/image/8f57abad-2062-11ec-a20f-ac1f6b442185")</f>
        <v>https://knigipp.ru/api/getInfo/image/8f57abad-2062-11ec-a20f-ac1f6b442185</v>
      </c>
      <c r="AD1008" s="32">
        <v>80</v>
      </c>
      <c r="AE1008" s="3"/>
      <c r="AF1008" s="3" t="s">
        <v>127</v>
      </c>
      <c r="AG1008" s="3"/>
      <c r="AH1008" s="3" t="s">
        <v>56</v>
      </c>
      <c r="AI1008" s="3"/>
      <c r="AJ1008" s="3"/>
      <c r="AK1008" s="3" t="str">
        <f>HYPERLINK("https://knigipp.ru/api/getInfo/item/8f57abad-2062-11ec-a20f-ac1f6b442185")</f>
        <v>https://knigipp.ru/api/getInfo/item/8f57abad-2062-11ec-a20f-ac1f6b442185</v>
      </c>
      <c r="AL1008" s="3" t="s">
        <v>4326</v>
      </c>
    </row>
    <row r="1009" spans="1:38" ht="21" customHeight="1" outlineLevel="4" x14ac:dyDescent="0.2">
      <c r="A1009" s="2">
        <v>760</v>
      </c>
      <c r="B1009" s="3" t="s">
        <v>4335</v>
      </c>
      <c r="C1009" s="49" t="s">
        <v>4336</v>
      </c>
      <c r="D1009" s="49"/>
      <c r="E1009" s="49"/>
      <c r="F1009" s="49"/>
      <c r="G1009" s="4" t="s">
        <v>4337</v>
      </c>
      <c r="H1009" s="8"/>
      <c r="I1009" s="9" t="s">
        <v>4324</v>
      </c>
      <c r="J1009" s="10"/>
      <c r="K1009" s="11">
        <v>10</v>
      </c>
      <c r="L1009" s="10"/>
      <c r="M1009" s="10" t="s">
        <v>47</v>
      </c>
      <c r="N1009" s="10"/>
      <c r="O1009" s="2">
        <v>4</v>
      </c>
      <c r="P1009" s="17">
        <f>169*(1-S3/100)</f>
        <v>169</v>
      </c>
      <c r="Q1009" s="18"/>
      <c r="R1009" s="10">
        <f>P1009*Q1009</f>
        <v>0</v>
      </c>
      <c r="S1009" s="19">
        <f>0.172*Q1009</f>
        <v>0</v>
      </c>
      <c r="T1009" s="20">
        <f>0.00032*Q1009</f>
        <v>0</v>
      </c>
      <c r="U1009" s="21"/>
      <c r="V1009" s="22" t="s">
        <v>4338</v>
      </c>
      <c r="W1009" s="22" t="s">
        <v>191</v>
      </c>
      <c r="X1009" s="3"/>
      <c r="Y1009" s="3"/>
      <c r="Z1009" s="3" t="s">
        <v>52</v>
      </c>
      <c r="AA1009" s="3"/>
      <c r="AB1009" s="3"/>
      <c r="AC1009" s="3" t="str">
        <f>HYPERLINK("https://knigipp.ru/api/getInfo/image/26ab0844-7207-11ed-a22a-00155d82e902")</f>
        <v>https://knigipp.ru/api/getInfo/image/26ab0844-7207-11ed-a22a-00155d82e902</v>
      </c>
      <c r="AD1009" s="32">
        <v>80</v>
      </c>
      <c r="AE1009" s="3" t="s">
        <v>481</v>
      </c>
      <c r="AF1009" s="3" t="s">
        <v>127</v>
      </c>
      <c r="AG1009" s="3"/>
      <c r="AH1009" s="3" t="s">
        <v>56</v>
      </c>
      <c r="AI1009" s="3"/>
      <c r="AJ1009" s="3"/>
      <c r="AK1009" s="3" t="str">
        <f>HYPERLINK("https://knigipp.ru/api/getInfo/item/26ab0844-7207-11ed-a22a-00155d82e902")</f>
        <v>https://knigipp.ru/api/getInfo/item/26ab0844-7207-11ed-a22a-00155d82e902</v>
      </c>
      <c r="AL1009" s="3" t="s">
        <v>4326</v>
      </c>
    </row>
    <row r="1010" spans="1:38" ht="21" customHeight="1" outlineLevel="4" x14ac:dyDescent="0.2">
      <c r="A1010" s="2">
        <v>761</v>
      </c>
      <c r="B1010" s="3" t="s">
        <v>4339</v>
      </c>
      <c r="C1010" s="49" t="s">
        <v>4340</v>
      </c>
      <c r="D1010" s="49"/>
      <c r="E1010" s="49"/>
      <c r="F1010" s="49"/>
      <c r="G1010" s="4" t="s">
        <v>4341</v>
      </c>
      <c r="H1010" s="8"/>
      <c r="I1010" s="9" t="s">
        <v>4324</v>
      </c>
      <c r="J1010" s="10"/>
      <c r="K1010" s="11">
        <v>10</v>
      </c>
      <c r="L1010" s="10"/>
      <c r="M1010" s="10" t="s">
        <v>47</v>
      </c>
      <c r="N1010" s="10"/>
      <c r="O1010" s="2">
        <v>4</v>
      </c>
      <c r="P1010" s="17">
        <f>169*(1-S3/100)</f>
        <v>169</v>
      </c>
      <c r="Q1010" s="18"/>
      <c r="R1010" s="10">
        <f>P1010*Q1010</f>
        <v>0</v>
      </c>
      <c r="S1010" s="19">
        <f>0.172*Q1010</f>
        <v>0</v>
      </c>
      <c r="T1010" s="20">
        <f>0.00032*Q1010</f>
        <v>0</v>
      </c>
      <c r="U1010" s="21"/>
      <c r="V1010" s="22" t="s">
        <v>4342</v>
      </c>
      <c r="W1010" s="22" t="s">
        <v>191</v>
      </c>
      <c r="X1010" s="3"/>
      <c r="Y1010" s="3"/>
      <c r="Z1010" s="3" t="s">
        <v>52</v>
      </c>
      <c r="AA1010" s="3"/>
      <c r="AB1010" s="3"/>
      <c r="AC1010" s="3" t="str">
        <f>HYPERLINK("https://knigipp.ru/api/getInfo/image/7ca3cee0-7207-11ed-a22a-00155d82e902")</f>
        <v>https://knigipp.ru/api/getInfo/image/7ca3cee0-7207-11ed-a22a-00155d82e902</v>
      </c>
      <c r="AD1010" s="32">
        <v>80</v>
      </c>
      <c r="AE1010" s="3"/>
      <c r="AF1010" s="3" t="s">
        <v>127</v>
      </c>
      <c r="AG1010" s="3"/>
      <c r="AH1010" s="3" t="s">
        <v>56</v>
      </c>
      <c r="AI1010" s="3"/>
      <c r="AJ1010" s="3"/>
      <c r="AK1010" s="3" t="str">
        <f>HYPERLINK("https://knigipp.ru/api/getInfo/item/7ca3cee0-7207-11ed-a22a-00155d82e902")</f>
        <v>https://knigipp.ru/api/getInfo/item/7ca3cee0-7207-11ed-a22a-00155d82e902</v>
      </c>
      <c r="AL1010" s="3" t="s">
        <v>4326</v>
      </c>
    </row>
    <row r="1011" spans="1:38" ht="23.1" customHeight="1" outlineLevel="2" x14ac:dyDescent="0.2">
      <c r="A1011" s="47" t="s">
        <v>4343</v>
      </c>
      <c r="B1011" s="47"/>
      <c r="C1011" s="47"/>
      <c r="D1011" s="47"/>
      <c r="E1011" s="47"/>
      <c r="F1011" s="47"/>
    </row>
    <row r="1012" spans="1:38" ht="23.1" customHeight="1" outlineLevel="3" x14ac:dyDescent="0.2">
      <c r="A1012" s="48" t="s">
        <v>4344</v>
      </c>
      <c r="B1012" s="48"/>
      <c r="C1012" s="48"/>
      <c r="D1012" s="48"/>
      <c r="E1012" s="48"/>
      <c r="F1012" s="48"/>
    </row>
    <row r="1013" spans="1:38" ht="21" customHeight="1" outlineLevel="4" x14ac:dyDescent="0.2">
      <c r="A1013" s="2">
        <v>762</v>
      </c>
      <c r="B1013" s="3" t="s">
        <v>4345</v>
      </c>
      <c r="C1013" s="49" t="s">
        <v>4346</v>
      </c>
      <c r="D1013" s="49"/>
      <c r="E1013" s="49"/>
      <c r="F1013" s="49"/>
      <c r="G1013" s="4" t="s">
        <v>4347</v>
      </c>
      <c r="H1013" s="8"/>
      <c r="I1013" s="9" t="s">
        <v>4348</v>
      </c>
      <c r="J1013" s="10"/>
      <c r="K1013" s="11">
        <v>20</v>
      </c>
      <c r="L1013" s="10"/>
      <c r="M1013" s="10" t="s">
        <v>47</v>
      </c>
      <c r="N1013" s="10"/>
      <c r="O1013" s="2">
        <v>4</v>
      </c>
      <c r="P1013" s="17">
        <f>149*(1-S3/100)</f>
        <v>149</v>
      </c>
      <c r="Q1013" s="18"/>
      <c r="R1013" s="10">
        <f t="shared" ref="R1013:R1020" si="39">P1013*Q1013</f>
        <v>0</v>
      </c>
      <c r="S1013" s="19">
        <f>0.228*Q1013</f>
        <v>0</v>
      </c>
      <c r="T1013" s="20">
        <f t="shared" ref="T1013:T1020" si="40">0.00027*Q1013</f>
        <v>0</v>
      </c>
      <c r="U1013" s="21"/>
      <c r="V1013" s="22" t="s">
        <v>4349</v>
      </c>
      <c r="W1013" s="22" t="s">
        <v>191</v>
      </c>
      <c r="X1013" s="3"/>
      <c r="Y1013" s="3"/>
      <c r="Z1013" s="3" t="s">
        <v>52</v>
      </c>
      <c r="AA1013" s="3" t="s">
        <v>3406</v>
      </c>
      <c r="AB1013" s="3"/>
      <c r="AC1013" s="3" t="str">
        <f>HYPERLINK("https://knigipp.ru/api/getInfo/image/137b8395-1a6e-11ee-a23b-00155d82e902")</f>
        <v>https://knigipp.ru/api/getInfo/image/137b8395-1a6e-11ee-a23b-00155d82e902</v>
      </c>
      <c r="AD1013" s="32">
        <v>80</v>
      </c>
      <c r="AE1013" s="3"/>
      <c r="AF1013" s="3" t="s">
        <v>55</v>
      </c>
      <c r="AG1013" s="3"/>
      <c r="AH1013" s="3" t="s">
        <v>56</v>
      </c>
      <c r="AI1013" s="3"/>
      <c r="AJ1013" s="3"/>
      <c r="AK1013" s="3" t="str">
        <f>HYPERLINK("https://knigipp.ru/api/getInfo/item/137b8395-1a6e-11ee-a23b-00155d82e902")</f>
        <v>https://knigipp.ru/api/getInfo/item/137b8395-1a6e-11ee-a23b-00155d82e902</v>
      </c>
      <c r="AL1013" s="3" t="s">
        <v>4350</v>
      </c>
    </row>
    <row r="1014" spans="1:38" ht="21" customHeight="1" outlineLevel="4" x14ac:dyDescent="0.2">
      <c r="A1014" s="2">
        <v>763</v>
      </c>
      <c r="B1014" s="3" t="s">
        <v>4351</v>
      </c>
      <c r="C1014" s="49" t="s">
        <v>4352</v>
      </c>
      <c r="D1014" s="49"/>
      <c r="E1014" s="49"/>
      <c r="F1014" s="49"/>
      <c r="G1014" s="4" t="s">
        <v>4353</v>
      </c>
      <c r="H1014" s="8"/>
      <c r="I1014" s="9" t="s">
        <v>4348</v>
      </c>
      <c r="J1014" s="10"/>
      <c r="K1014" s="11">
        <v>20</v>
      </c>
      <c r="L1014" s="10"/>
      <c r="M1014" s="10" t="s">
        <v>47</v>
      </c>
      <c r="N1014" s="10"/>
      <c r="O1014" s="2">
        <v>4</v>
      </c>
      <c r="P1014" s="17">
        <f>149*(1-S3/100)</f>
        <v>149</v>
      </c>
      <c r="Q1014" s="18"/>
      <c r="R1014" s="10">
        <f t="shared" si="39"/>
        <v>0</v>
      </c>
      <c r="S1014" s="28">
        <f>0.23*Q1014</f>
        <v>0</v>
      </c>
      <c r="T1014" s="20">
        <f t="shared" si="40"/>
        <v>0</v>
      </c>
      <c r="U1014" s="21"/>
      <c r="V1014" s="22" t="s">
        <v>4354</v>
      </c>
      <c r="W1014" s="22" t="s">
        <v>191</v>
      </c>
      <c r="X1014" s="3"/>
      <c r="Y1014" s="3"/>
      <c r="Z1014" s="3" t="s">
        <v>52</v>
      </c>
      <c r="AA1014" s="3" t="s">
        <v>3406</v>
      </c>
      <c r="AB1014" s="3"/>
      <c r="AC1014" s="3" t="str">
        <f>HYPERLINK("https://knigipp.ru/api/getInfo/image/c21a5d1c-1a6d-11ee-a23b-00155d82e902")</f>
        <v>https://knigipp.ru/api/getInfo/image/c21a5d1c-1a6d-11ee-a23b-00155d82e902</v>
      </c>
      <c r="AD1014" s="32">
        <v>80</v>
      </c>
      <c r="AE1014" s="3"/>
      <c r="AF1014" s="3" t="s">
        <v>55</v>
      </c>
      <c r="AG1014" s="3"/>
      <c r="AH1014" s="3" t="s">
        <v>56</v>
      </c>
      <c r="AI1014" s="3"/>
      <c r="AJ1014" s="3"/>
      <c r="AK1014" s="3" t="str">
        <f>HYPERLINK("https://knigipp.ru/api/getInfo/item/c21a5d1c-1a6d-11ee-a23b-00155d82e902")</f>
        <v>https://knigipp.ru/api/getInfo/item/c21a5d1c-1a6d-11ee-a23b-00155d82e902</v>
      </c>
      <c r="AL1014" s="3" t="s">
        <v>4350</v>
      </c>
    </row>
    <row r="1015" spans="1:38" ht="21" customHeight="1" outlineLevel="4" x14ac:dyDescent="0.2">
      <c r="A1015" s="2">
        <v>764</v>
      </c>
      <c r="B1015" s="3" t="s">
        <v>4355</v>
      </c>
      <c r="C1015" s="49" t="s">
        <v>4356</v>
      </c>
      <c r="D1015" s="49"/>
      <c r="E1015" s="49"/>
      <c r="F1015" s="49"/>
      <c r="G1015" s="4" t="s">
        <v>4357</v>
      </c>
      <c r="H1015" s="8"/>
      <c r="I1015" s="9" t="s">
        <v>4348</v>
      </c>
      <c r="J1015" s="10"/>
      <c r="K1015" s="11">
        <v>20</v>
      </c>
      <c r="L1015" s="10"/>
      <c r="M1015" s="10" t="s">
        <v>47</v>
      </c>
      <c r="N1015" s="10"/>
      <c r="O1015" s="2">
        <v>4</v>
      </c>
      <c r="P1015" s="17">
        <f>149*(1-S3/100)</f>
        <v>149</v>
      </c>
      <c r="Q1015" s="18"/>
      <c r="R1015" s="10">
        <f t="shared" si="39"/>
        <v>0</v>
      </c>
      <c r="S1015" s="19">
        <f>0.228*Q1015</f>
        <v>0</v>
      </c>
      <c r="T1015" s="20">
        <f t="shared" si="40"/>
        <v>0</v>
      </c>
      <c r="U1015" s="21"/>
      <c r="V1015" s="22" t="s">
        <v>4358</v>
      </c>
      <c r="W1015" s="22" t="s">
        <v>191</v>
      </c>
      <c r="X1015" s="3"/>
      <c r="Y1015" s="3"/>
      <c r="Z1015" s="3" t="s">
        <v>52</v>
      </c>
      <c r="AA1015" s="3" t="s">
        <v>3406</v>
      </c>
      <c r="AB1015" s="3"/>
      <c r="AC1015" s="3" t="str">
        <f>HYPERLINK("https://knigipp.ru/api/getInfo/image/37c45c49-1a6e-11ee-a23b-00155d82e902")</f>
        <v>https://knigipp.ru/api/getInfo/image/37c45c49-1a6e-11ee-a23b-00155d82e902</v>
      </c>
      <c r="AD1015" s="32">
        <v>80</v>
      </c>
      <c r="AE1015" s="3"/>
      <c r="AF1015" s="3" t="s">
        <v>55</v>
      </c>
      <c r="AG1015" s="3"/>
      <c r="AH1015" s="3" t="s">
        <v>56</v>
      </c>
      <c r="AI1015" s="3"/>
      <c r="AJ1015" s="3"/>
      <c r="AK1015" s="3" t="str">
        <f>HYPERLINK("https://knigipp.ru/api/getInfo/item/37c45c49-1a6e-11ee-a23b-00155d82e902")</f>
        <v>https://knigipp.ru/api/getInfo/item/37c45c49-1a6e-11ee-a23b-00155d82e902</v>
      </c>
      <c r="AL1015" s="3" t="s">
        <v>4350</v>
      </c>
    </row>
    <row r="1016" spans="1:38" ht="21" customHeight="1" outlineLevel="4" x14ac:dyDescent="0.2">
      <c r="A1016" s="2">
        <v>765</v>
      </c>
      <c r="B1016" s="3" t="s">
        <v>4359</v>
      </c>
      <c r="C1016" s="49" t="s">
        <v>4360</v>
      </c>
      <c r="D1016" s="49"/>
      <c r="E1016" s="49"/>
      <c r="F1016" s="49"/>
      <c r="G1016" s="4" t="s">
        <v>4361</v>
      </c>
      <c r="H1016" s="8"/>
      <c r="I1016" s="9" t="s">
        <v>4348</v>
      </c>
      <c r="J1016" s="10"/>
      <c r="K1016" s="11">
        <v>20</v>
      </c>
      <c r="L1016" s="10"/>
      <c r="M1016" s="10" t="s">
        <v>47</v>
      </c>
      <c r="N1016" s="10"/>
      <c r="O1016" s="2">
        <v>4</v>
      </c>
      <c r="P1016" s="17">
        <f>149*(1-S3/100)</f>
        <v>149</v>
      </c>
      <c r="Q1016" s="18"/>
      <c r="R1016" s="10">
        <f t="shared" si="39"/>
        <v>0</v>
      </c>
      <c r="S1016" s="28">
        <f>0.23*Q1016</f>
        <v>0</v>
      </c>
      <c r="T1016" s="20">
        <f t="shared" si="40"/>
        <v>0</v>
      </c>
      <c r="U1016" s="21"/>
      <c r="V1016" s="22" t="s">
        <v>4362</v>
      </c>
      <c r="W1016" s="22" t="s">
        <v>191</v>
      </c>
      <c r="X1016" s="3"/>
      <c r="Y1016" s="3"/>
      <c r="Z1016" s="3" t="s">
        <v>52</v>
      </c>
      <c r="AA1016" s="3" t="s">
        <v>4363</v>
      </c>
      <c r="AB1016" s="3"/>
      <c r="AC1016" s="3" t="str">
        <f>HYPERLINK("https://knigipp.ru/api/getInfo/image/e495edcd-c1aa-11ee-a25a-00155d82e908")</f>
        <v>https://knigipp.ru/api/getInfo/image/e495edcd-c1aa-11ee-a25a-00155d82e908</v>
      </c>
      <c r="AD1016" s="32">
        <v>80</v>
      </c>
      <c r="AE1016" s="3" t="s">
        <v>4364</v>
      </c>
      <c r="AF1016" s="3" t="s">
        <v>55</v>
      </c>
      <c r="AG1016" s="3"/>
      <c r="AH1016" s="3" t="s">
        <v>56</v>
      </c>
      <c r="AI1016" s="3"/>
      <c r="AJ1016" s="3"/>
      <c r="AK1016" s="3" t="str">
        <f>HYPERLINK("https://knigipp.ru/api/getInfo/item/e495edcd-c1aa-11ee-a25a-00155d82e908")</f>
        <v>https://knigipp.ru/api/getInfo/item/e495edcd-c1aa-11ee-a25a-00155d82e908</v>
      </c>
      <c r="AL1016" s="3" t="s">
        <v>4350</v>
      </c>
    </row>
    <row r="1017" spans="1:38" ht="21" customHeight="1" outlineLevel="4" x14ac:dyDescent="0.2">
      <c r="A1017" s="2">
        <v>766</v>
      </c>
      <c r="B1017" s="3" t="s">
        <v>4365</v>
      </c>
      <c r="C1017" s="49" t="s">
        <v>4366</v>
      </c>
      <c r="D1017" s="49"/>
      <c r="E1017" s="49"/>
      <c r="F1017" s="49"/>
      <c r="G1017" s="4" t="s">
        <v>4367</v>
      </c>
      <c r="H1017" s="8"/>
      <c r="I1017" s="9" t="s">
        <v>4348</v>
      </c>
      <c r="J1017" s="10"/>
      <c r="K1017" s="11">
        <v>20</v>
      </c>
      <c r="L1017" s="10"/>
      <c r="M1017" s="10" t="s">
        <v>47</v>
      </c>
      <c r="N1017" s="10"/>
      <c r="O1017" s="2">
        <v>4</v>
      </c>
      <c r="P1017" s="17">
        <f>149*(1-S3/100)</f>
        <v>149</v>
      </c>
      <c r="Q1017" s="18"/>
      <c r="R1017" s="10">
        <f t="shared" si="39"/>
        <v>0</v>
      </c>
      <c r="S1017" s="28">
        <f>0.23*Q1017</f>
        <v>0</v>
      </c>
      <c r="T1017" s="20">
        <f t="shared" si="40"/>
        <v>0</v>
      </c>
      <c r="U1017" s="21"/>
      <c r="V1017" s="22" t="s">
        <v>4368</v>
      </c>
      <c r="W1017" s="22" t="s">
        <v>191</v>
      </c>
      <c r="X1017" s="3"/>
      <c r="Y1017" s="3"/>
      <c r="Z1017" s="3" t="s">
        <v>52</v>
      </c>
      <c r="AA1017" s="3" t="s">
        <v>4363</v>
      </c>
      <c r="AB1017" s="3"/>
      <c r="AC1017" s="3" t="str">
        <f>HYPERLINK("https://knigipp.ru/api/getInfo/image/0e53fc28-c1ab-11ee-a25a-00155d82e908")</f>
        <v>https://knigipp.ru/api/getInfo/image/0e53fc28-c1ab-11ee-a25a-00155d82e908</v>
      </c>
      <c r="AD1017" s="32">
        <v>80</v>
      </c>
      <c r="AE1017" s="3" t="s">
        <v>4364</v>
      </c>
      <c r="AF1017" s="3" t="s">
        <v>55</v>
      </c>
      <c r="AG1017" s="3"/>
      <c r="AH1017" s="3" t="s">
        <v>56</v>
      </c>
      <c r="AI1017" s="3"/>
      <c r="AJ1017" s="3"/>
      <c r="AK1017" s="3" t="str">
        <f>HYPERLINK("https://knigipp.ru/api/getInfo/item/0e53fc28-c1ab-11ee-a25a-00155d82e908")</f>
        <v>https://knigipp.ru/api/getInfo/item/0e53fc28-c1ab-11ee-a25a-00155d82e908</v>
      </c>
      <c r="AL1017" s="3" t="s">
        <v>4350</v>
      </c>
    </row>
    <row r="1018" spans="1:38" ht="21" customHeight="1" outlineLevel="4" x14ac:dyDescent="0.2">
      <c r="A1018" s="2">
        <v>767</v>
      </c>
      <c r="B1018" s="3" t="s">
        <v>4369</v>
      </c>
      <c r="C1018" s="49" t="s">
        <v>4370</v>
      </c>
      <c r="D1018" s="49"/>
      <c r="E1018" s="49"/>
      <c r="F1018" s="49"/>
      <c r="G1018" s="4" t="s">
        <v>4371</v>
      </c>
      <c r="H1018" s="8"/>
      <c r="I1018" s="9" t="s">
        <v>4348</v>
      </c>
      <c r="J1018" s="10"/>
      <c r="K1018" s="11">
        <v>20</v>
      </c>
      <c r="L1018" s="10"/>
      <c r="M1018" s="10" t="s">
        <v>47</v>
      </c>
      <c r="N1018" s="10"/>
      <c r="O1018" s="2">
        <v>4</v>
      </c>
      <c r="P1018" s="17">
        <f>149*(1-S3/100)</f>
        <v>149</v>
      </c>
      <c r="Q1018" s="18"/>
      <c r="R1018" s="10">
        <f t="shared" si="39"/>
        <v>0</v>
      </c>
      <c r="S1018" s="28">
        <f>0.23*Q1018</f>
        <v>0</v>
      </c>
      <c r="T1018" s="20">
        <f t="shared" si="40"/>
        <v>0</v>
      </c>
      <c r="U1018" s="21"/>
      <c r="V1018" s="22" t="s">
        <v>4372</v>
      </c>
      <c r="W1018" s="22" t="s">
        <v>191</v>
      </c>
      <c r="X1018" s="3"/>
      <c r="Y1018" s="3"/>
      <c r="Z1018" s="3" t="s">
        <v>52</v>
      </c>
      <c r="AA1018" s="3" t="s">
        <v>4363</v>
      </c>
      <c r="AB1018" s="3"/>
      <c r="AC1018" s="3" t="str">
        <f>HYPERLINK("https://knigipp.ru/api/getInfo/image/2e542705-c1ab-11ee-a25a-00155d82e908")</f>
        <v>https://knigipp.ru/api/getInfo/image/2e542705-c1ab-11ee-a25a-00155d82e908</v>
      </c>
      <c r="AD1018" s="32">
        <v>80</v>
      </c>
      <c r="AE1018" s="3" t="s">
        <v>4364</v>
      </c>
      <c r="AF1018" s="3" t="s">
        <v>55</v>
      </c>
      <c r="AG1018" s="3"/>
      <c r="AH1018" s="3" t="s">
        <v>56</v>
      </c>
      <c r="AI1018" s="3"/>
      <c r="AJ1018" s="3"/>
      <c r="AK1018" s="3" t="str">
        <f>HYPERLINK("https://knigipp.ru/api/getInfo/item/2e542705-c1ab-11ee-a25a-00155d82e908")</f>
        <v>https://knigipp.ru/api/getInfo/item/2e542705-c1ab-11ee-a25a-00155d82e908</v>
      </c>
      <c r="AL1018" s="3" t="s">
        <v>4350</v>
      </c>
    </row>
    <row r="1019" spans="1:38" ht="21" customHeight="1" outlineLevel="4" x14ac:dyDescent="0.2">
      <c r="A1019" s="2">
        <v>768</v>
      </c>
      <c r="B1019" s="3" t="s">
        <v>4373</v>
      </c>
      <c r="C1019" s="49" t="s">
        <v>4374</v>
      </c>
      <c r="D1019" s="49"/>
      <c r="E1019" s="49"/>
      <c r="F1019" s="49"/>
      <c r="G1019" s="4" t="s">
        <v>4375</v>
      </c>
      <c r="H1019" s="8"/>
      <c r="I1019" s="9" t="s">
        <v>4348</v>
      </c>
      <c r="J1019" s="10"/>
      <c r="K1019" s="11">
        <v>20</v>
      </c>
      <c r="L1019" s="10"/>
      <c r="M1019" s="10" t="s">
        <v>47</v>
      </c>
      <c r="N1019" s="10"/>
      <c r="O1019" s="2">
        <v>4</v>
      </c>
      <c r="P1019" s="17">
        <f>149*(1-S3/100)</f>
        <v>149</v>
      </c>
      <c r="Q1019" s="18"/>
      <c r="R1019" s="10">
        <f t="shared" si="39"/>
        <v>0</v>
      </c>
      <c r="S1019" s="19">
        <f>0.228*Q1019</f>
        <v>0</v>
      </c>
      <c r="T1019" s="20">
        <f t="shared" si="40"/>
        <v>0</v>
      </c>
      <c r="U1019" s="21"/>
      <c r="V1019" s="22" t="s">
        <v>4376</v>
      </c>
      <c r="W1019" s="22" t="s">
        <v>191</v>
      </c>
      <c r="X1019" s="3"/>
      <c r="Y1019" s="3"/>
      <c r="Z1019" s="3" t="s">
        <v>52</v>
      </c>
      <c r="AA1019" s="3" t="s">
        <v>3406</v>
      </c>
      <c r="AB1019" s="3"/>
      <c r="AC1019" s="3" t="str">
        <f>HYPERLINK("https://knigipp.ru/api/getInfo/image/f0d649b4-1a6d-11ee-a23b-00155d82e902")</f>
        <v>https://knigipp.ru/api/getInfo/image/f0d649b4-1a6d-11ee-a23b-00155d82e902</v>
      </c>
      <c r="AD1019" s="32">
        <v>80</v>
      </c>
      <c r="AE1019" s="3"/>
      <c r="AF1019" s="3" t="s">
        <v>55</v>
      </c>
      <c r="AG1019" s="3"/>
      <c r="AH1019" s="3" t="s">
        <v>56</v>
      </c>
      <c r="AI1019" s="3"/>
      <c r="AJ1019" s="3"/>
      <c r="AK1019" s="3" t="str">
        <f>HYPERLINK("https://knigipp.ru/api/getInfo/item/f0d649b4-1a6d-11ee-a23b-00155d82e902")</f>
        <v>https://knigipp.ru/api/getInfo/item/f0d649b4-1a6d-11ee-a23b-00155d82e902</v>
      </c>
      <c r="AL1019" s="3" t="s">
        <v>4350</v>
      </c>
    </row>
    <row r="1020" spans="1:38" ht="21" customHeight="1" outlineLevel="4" x14ac:dyDescent="0.2">
      <c r="A1020" s="2">
        <v>769</v>
      </c>
      <c r="B1020" s="3" t="s">
        <v>4377</v>
      </c>
      <c r="C1020" s="49" t="s">
        <v>4378</v>
      </c>
      <c r="D1020" s="49"/>
      <c r="E1020" s="49"/>
      <c r="F1020" s="49"/>
      <c r="G1020" s="4" t="s">
        <v>4379</v>
      </c>
      <c r="H1020" s="8"/>
      <c r="I1020" s="9" t="s">
        <v>4348</v>
      </c>
      <c r="J1020" s="10"/>
      <c r="K1020" s="11">
        <v>20</v>
      </c>
      <c r="L1020" s="10"/>
      <c r="M1020" s="10" t="s">
        <v>47</v>
      </c>
      <c r="N1020" s="10"/>
      <c r="O1020" s="2">
        <v>4</v>
      </c>
      <c r="P1020" s="17">
        <f>149*(1-S3/100)</f>
        <v>149</v>
      </c>
      <c r="Q1020" s="18"/>
      <c r="R1020" s="10">
        <f t="shared" si="39"/>
        <v>0</v>
      </c>
      <c r="S1020" s="28">
        <f>0.23*Q1020</f>
        <v>0</v>
      </c>
      <c r="T1020" s="20">
        <f t="shared" si="40"/>
        <v>0</v>
      </c>
      <c r="U1020" s="21"/>
      <c r="V1020" s="22" t="s">
        <v>4380</v>
      </c>
      <c r="W1020" s="22" t="s">
        <v>191</v>
      </c>
      <c r="X1020" s="3"/>
      <c r="Y1020" s="3"/>
      <c r="Z1020" s="3" t="s">
        <v>52</v>
      </c>
      <c r="AA1020" s="3" t="s">
        <v>4363</v>
      </c>
      <c r="AB1020" s="3"/>
      <c r="AC1020" s="3" t="str">
        <f>HYPERLINK("https://knigipp.ru/api/getInfo/image/54f5e157-c1ab-11ee-a25a-00155d82e908")</f>
        <v>https://knigipp.ru/api/getInfo/image/54f5e157-c1ab-11ee-a25a-00155d82e908</v>
      </c>
      <c r="AD1020" s="32">
        <v>80</v>
      </c>
      <c r="AE1020" s="3" t="s">
        <v>4364</v>
      </c>
      <c r="AF1020" s="3" t="s">
        <v>55</v>
      </c>
      <c r="AG1020" s="3"/>
      <c r="AH1020" s="3" t="s">
        <v>56</v>
      </c>
      <c r="AI1020" s="3"/>
      <c r="AJ1020" s="3"/>
      <c r="AK1020" s="3" t="str">
        <f>HYPERLINK("https://knigipp.ru/api/getInfo/item/54f5e157-c1ab-11ee-a25a-00155d82e908")</f>
        <v>https://knigipp.ru/api/getInfo/item/54f5e157-c1ab-11ee-a25a-00155d82e908</v>
      </c>
      <c r="AL1020" s="3" t="s">
        <v>4350</v>
      </c>
    </row>
    <row r="1021" spans="1:38" ht="23.1" customHeight="1" outlineLevel="3" x14ac:dyDescent="0.2">
      <c r="A1021" s="48" t="s">
        <v>4381</v>
      </c>
      <c r="B1021" s="48"/>
      <c r="C1021" s="48"/>
      <c r="D1021" s="48"/>
      <c r="E1021" s="48"/>
      <c r="F1021" s="48"/>
    </row>
    <row r="1022" spans="1:38" ht="21" customHeight="1" outlineLevel="4" x14ac:dyDescent="0.2">
      <c r="A1022" s="2">
        <v>770</v>
      </c>
      <c r="B1022" s="3" t="s">
        <v>4382</v>
      </c>
      <c r="C1022" s="49" t="s">
        <v>4383</v>
      </c>
      <c r="D1022" s="49"/>
      <c r="E1022" s="49"/>
      <c r="F1022" s="49"/>
      <c r="G1022" s="4" t="s">
        <v>4384</v>
      </c>
      <c r="H1022" s="8"/>
      <c r="I1022" s="9" t="s">
        <v>4385</v>
      </c>
      <c r="J1022" s="10"/>
      <c r="K1022" s="11">
        <v>20</v>
      </c>
      <c r="L1022" s="10"/>
      <c r="M1022" s="10" t="s">
        <v>47</v>
      </c>
      <c r="N1022" s="10"/>
      <c r="O1022" s="2">
        <v>5</v>
      </c>
      <c r="P1022" s="17">
        <f>125.79*(1-S3/100)</f>
        <v>125.79</v>
      </c>
      <c r="Q1022" s="18"/>
      <c r="R1022" s="10">
        <f>P1022*Q1022</f>
        <v>0</v>
      </c>
      <c r="S1022" s="19">
        <f>0.209*Q1022</f>
        <v>0</v>
      </c>
      <c r="T1022" s="20">
        <f>0.00048*Q1022</f>
        <v>0</v>
      </c>
      <c r="U1022" s="21"/>
      <c r="V1022" s="22" t="s">
        <v>4386</v>
      </c>
      <c r="W1022" s="22" t="s">
        <v>191</v>
      </c>
      <c r="X1022" s="3"/>
      <c r="Y1022" s="3"/>
      <c r="Z1022" s="3" t="s">
        <v>52</v>
      </c>
      <c r="AA1022" s="3"/>
      <c r="AB1022" s="3"/>
      <c r="AC1022" s="3" t="str">
        <f>HYPERLINK("https://knigipp.ru/api/getInfo/image/cef39c5f-25b6-11eb-a25d-ac1f6b442184")</f>
        <v>https://knigipp.ru/api/getInfo/image/cef39c5f-25b6-11eb-a25d-ac1f6b442184</v>
      </c>
      <c r="AD1022" s="32">
        <v>48</v>
      </c>
      <c r="AE1022" s="3"/>
      <c r="AF1022" s="3" t="s">
        <v>127</v>
      </c>
      <c r="AG1022" s="3"/>
      <c r="AH1022" s="3" t="s">
        <v>56</v>
      </c>
      <c r="AI1022" s="3"/>
      <c r="AJ1022" s="3"/>
      <c r="AK1022" s="3" t="str">
        <f>HYPERLINK("https://knigipp.ru/api/getInfo/item/cef39c5f-25b6-11eb-a25d-ac1f6b442184")</f>
        <v>https://knigipp.ru/api/getInfo/item/cef39c5f-25b6-11eb-a25d-ac1f6b442184</v>
      </c>
      <c r="AL1022" s="3" t="s">
        <v>4387</v>
      </c>
    </row>
    <row r="1023" spans="1:38" ht="21" customHeight="1" outlineLevel="4" x14ac:dyDescent="0.2">
      <c r="A1023" s="2">
        <v>771</v>
      </c>
      <c r="B1023" s="3" t="s">
        <v>4388</v>
      </c>
      <c r="C1023" s="49" t="s">
        <v>4389</v>
      </c>
      <c r="D1023" s="49"/>
      <c r="E1023" s="49"/>
      <c r="F1023" s="49"/>
      <c r="G1023" s="4" t="s">
        <v>4390</v>
      </c>
      <c r="H1023" s="8"/>
      <c r="I1023" s="9" t="s">
        <v>4385</v>
      </c>
      <c r="J1023" s="10"/>
      <c r="K1023" s="11">
        <v>20</v>
      </c>
      <c r="L1023" s="10"/>
      <c r="M1023" s="10" t="s">
        <v>78</v>
      </c>
      <c r="N1023" s="10"/>
      <c r="O1023" s="2">
        <v>5</v>
      </c>
      <c r="P1023" s="17">
        <f>125.79*(1-S3/100)</f>
        <v>125.79</v>
      </c>
      <c r="Q1023" s="18"/>
      <c r="R1023" s="10">
        <f>P1023*Q1023</f>
        <v>0</v>
      </c>
      <c r="S1023" s="19">
        <f>0.237*Q1023</f>
        <v>0</v>
      </c>
      <c r="T1023" s="20">
        <f>0.00058*Q1023</f>
        <v>0</v>
      </c>
      <c r="U1023" s="21"/>
      <c r="V1023" s="22" t="s">
        <v>4391</v>
      </c>
      <c r="W1023" s="22" t="s">
        <v>191</v>
      </c>
      <c r="X1023" s="3"/>
      <c r="Y1023" s="3"/>
      <c r="Z1023" s="3" t="s">
        <v>52</v>
      </c>
      <c r="AA1023" s="3"/>
      <c r="AB1023" s="3"/>
      <c r="AC1023" s="3" t="str">
        <f>HYPERLINK("https://knigipp.ru/api/getInfo/image/67db9d8a-1abf-11eb-a25d-ac1f6b442184")</f>
        <v>https://knigipp.ru/api/getInfo/image/67db9d8a-1abf-11eb-a25d-ac1f6b442184</v>
      </c>
      <c r="AD1023" s="32">
        <v>48</v>
      </c>
      <c r="AE1023" s="3"/>
      <c r="AF1023" s="3" t="s">
        <v>127</v>
      </c>
      <c r="AG1023" s="3"/>
      <c r="AH1023" s="3" t="s">
        <v>56</v>
      </c>
      <c r="AI1023" s="3"/>
      <c r="AJ1023" s="3"/>
      <c r="AK1023" s="3" t="str">
        <f>HYPERLINK("https://knigipp.ru/api/getInfo/item/67db9d8a-1abf-11eb-a25d-ac1f6b442184")</f>
        <v>https://knigipp.ru/api/getInfo/item/67db9d8a-1abf-11eb-a25d-ac1f6b442184</v>
      </c>
      <c r="AL1023" s="3" t="s">
        <v>4387</v>
      </c>
    </row>
    <row r="1024" spans="1:38" ht="21" customHeight="1" outlineLevel="4" x14ac:dyDescent="0.2">
      <c r="A1024" s="2">
        <v>772</v>
      </c>
      <c r="B1024" s="3" t="s">
        <v>4392</v>
      </c>
      <c r="C1024" s="49" t="s">
        <v>4393</v>
      </c>
      <c r="D1024" s="49"/>
      <c r="E1024" s="49"/>
      <c r="F1024" s="49"/>
      <c r="G1024" s="4" t="s">
        <v>4394</v>
      </c>
      <c r="H1024" s="8"/>
      <c r="I1024" s="9" t="s">
        <v>4385</v>
      </c>
      <c r="J1024" s="10"/>
      <c r="K1024" s="11">
        <v>20</v>
      </c>
      <c r="L1024" s="10"/>
      <c r="M1024" s="10" t="s">
        <v>78</v>
      </c>
      <c r="N1024" s="10"/>
      <c r="O1024" s="2">
        <v>5</v>
      </c>
      <c r="P1024" s="17">
        <f>125.79*(1-S3/100)</f>
        <v>125.79</v>
      </c>
      <c r="Q1024" s="18"/>
      <c r="R1024" s="10">
        <f>P1024*Q1024</f>
        <v>0</v>
      </c>
      <c r="S1024" s="19">
        <f>0.232*Q1024</f>
        <v>0</v>
      </c>
      <c r="T1024" s="20">
        <f>0.00054*Q1024</f>
        <v>0</v>
      </c>
      <c r="U1024" s="21"/>
      <c r="V1024" s="22" t="s">
        <v>4395</v>
      </c>
      <c r="W1024" s="22" t="s">
        <v>191</v>
      </c>
      <c r="X1024" s="3"/>
      <c r="Y1024" s="3"/>
      <c r="Z1024" s="3" t="s">
        <v>52</v>
      </c>
      <c r="AA1024" s="3"/>
      <c r="AB1024" s="3"/>
      <c r="AC1024" s="3" t="str">
        <f>HYPERLINK("https://knigipp.ru/api/getInfo/image/972ecc83-1abf-11eb-a25d-ac1f6b442184")</f>
        <v>https://knigipp.ru/api/getInfo/image/972ecc83-1abf-11eb-a25d-ac1f6b442184</v>
      </c>
      <c r="AD1024" s="32">
        <v>48</v>
      </c>
      <c r="AE1024" s="3"/>
      <c r="AF1024" s="3" t="s">
        <v>127</v>
      </c>
      <c r="AG1024" s="3"/>
      <c r="AH1024" s="3" t="s">
        <v>56</v>
      </c>
      <c r="AI1024" s="3"/>
      <c r="AJ1024" s="3"/>
      <c r="AK1024" s="3" t="str">
        <f>HYPERLINK("https://knigipp.ru/api/getInfo/item/972ecc83-1abf-11eb-a25d-ac1f6b442184")</f>
        <v>https://knigipp.ru/api/getInfo/item/972ecc83-1abf-11eb-a25d-ac1f6b442184</v>
      </c>
      <c r="AL1024" s="3" t="s">
        <v>4387</v>
      </c>
    </row>
    <row r="1025" spans="1:38" ht="23.1" customHeight="1" outlineLevel="3" x14ac:dyDescent="0.2">
      <c r="A1025" s="48" t="s">
        <v>4396</v>
      </c>
      <c r="B1025" s="48"/>
      <c r="C1025" s="48"/>
      <c r="D1025" s="48"/>
      <c r="E1025" s="48"/>
      <c r="F1025" s="48"/>
    </row>
    <row r="1026" spans="1:38" ht="21" customHeight="1" outlineLevel="4" x14ac:dyDescent="0.2">
      <c r="A1026" s="2">
        <v>773</v>
      </c>
      <c r="B1026" s="3" t="s">
        <v>4397</v>
      </c>
      <c r="C1026" s="49" t="s">
        <v>4398</v>
      </c>
      <c r="D1026" s="49"/>
      <c r="E1026" s="49"/>
      <c r="F1026" s="49"/>
      <c r="G1026" s="4" t="s">
        <v>4399</v>
      </c>
      <c r="H1026" s="8"/>
      <c r="I1026" s="9" t="s">
        <v>4400</v>
      </c>
      <c r="J1026" s="10"/>
      <c r="K1026" s="11">
        <v>20</v>
      </c>
      <c r="L1026" s="10"/>
      <c r="M1026" s="10" t="s">
        <v>47</v>
      </c>
      <c r="N1026" s="10"/>
      <c r="O1026" s="2">
        <v>5</v>
      </c>
      <c r="P1026" s="17">
        <f>119*(1-S3/100)</f>
        <v>119</v>
      </c>
      <c r="Q1026" s="18"/>
      <c r="R1026" s="10">
        <f>P1026*Q1026</f>
        <v>0</v>
      </c>
      <c r="S1026" s="28">
        <f>0.12*Q1026</f>
        <v>0</v>
      </c>
      <c r="T1026" s="30">
        <f>0.0003*Q1026</f>
        <v>0</v>
      </c>
      <c r="U1026" s="21"/>
      <c r="V1026" s="22" t="s">
        <v>4401</v>
      </c>
      <c r="W1026" s="22" t="s">
        <v>191</v>
      </c>
      <c r="X1026" s="3"/>
      <c r="Y1026" s="3"/>
      <c r="Z1026" s="3" t="s">
        <v>52</v>
      </c>
      <c r="AA1026" s="3"/>
      <c r="AB1026" s="3"/>
      <c r="AC1026" s="3" t="str">
        <f>HYPERLINK("https://knigipp.ru/api/getInfo/image/ea6c626e-c3af-11eb-a206-ac1f6b442185")</f>
        <v>https://knigipp.ru/api/getInfo/image/ea6c626e-c3af-11eb-a206-ac1f6b442185</v>
      </c>
      <c r="AD1026" s="32">
        <v>80</v>
      </c>
      <c r="AE1026" s="3"/>
      <c r="AF1026" s="3" t="s">
        <v>55</v>
      </c>
      <c r="AG1026" s="3"/>
      <c r="AH1026" s="3" t="s">
        <v>56</v>
      </c>
      <c r="AI1026" s="3"/>
      <c r="AJ1026" s="3"/>
      <c r="AK1026" s="3" t="str">
        <f>HYPERLINK("https://knigipp.ru/api/getInfo/item/ea6c626e-c3af-11eb-a206-ac1f6b442185")</f>
        <v>https://knigipp.ru/api/getInfo/item/ea6c626e-c3af-11eb-a206-ac1f6b442185</v>
      </c>
      <c r="AL1026" s="3" t="s">
        <v>4402</v>
      </c>
    </row>
    <row r="1027" spans="1:38" ht="21" customHeight="1" outlineLevel="4" x14ac:dyDescent="0.2">
      <c r="A1027" s="2">
        <v>774</v>
      </c>
      <c r="B1027" s="3" t="s">
        <v>4403</v>
      </c>
      <c r="C1027" s="49" t="s">
        <v>4404</v>
      </c>
      <c r="D1027" s="49"/>
      <c r="E1027" s="49"/>
      <c r="F1027" s="49"/>
      <c r="G1027" s="4" t="s">
        <v>4405</v>
      </c>
      <c r="H1027" s="8"/>
      <c r="I1027" s="9" t="s">
        <v>4400</v>
      </c>
      <c r="J1027" s="10"/>
      <c r="K1027" s="11">
        <v>20</v>
      </c>
      <c r="L1027" s="10"/>
      <c r="M1027" s="10" t="s">
        <v>47</v>
      </c>
      <c r="N1027" s="10"/>
      <c r="O1027" s="2">
        <v>5</v>
      </c>
      <c r="P1027" s="17">
        <f>119*(1-S3/100)</f>
        <v>119</v>
      </c>
      <c r="Q1027" s="18"/>
      <c r="R1027" s="10">
        <f>P1027*Q1027</f>
        <v>0</v>
      </c>
      <c r="S1027" s="19">
        <f>0.227*Q1027</f>
        <v>0</v>
      </c>
      <c r="T1027" s="30">
        <f>0.0003*Q1027</f>
        <v>0</v>
      </c>
      <c r="U1027" s="21"/>
      <c r="V1027" s="22" t="s">
        <v>4406</v>
      </c>
      <c r="W1027" s="22" t="s">
        <v>191</v>
      </c>
      <c r="X1027" s="3"/>
      <c r="Y1027" s="3"/>
      <c r="Z1027" s="3" t="s">
        <v>52</v>
      </c>
      <c r="AA1027" s="3"/>
      <c r="AB1027" s="3"/>
      <c r="AC1027" s="3" t="str">
        <f>HYPERLINK("https://knigipp.ru/api/getInfo/image/e307df45-54a2-11ea-a241-ac1f6b442184")</f>
        <v>https://knigipp.ru/api/getInfo/image/e307df45-54a2-11ea-a241-ac1f6b442184</v>
      </c>
      <c r="AD1027" s="32">
        <v>80</v>
      </c>
      <c r="AE1027" s="3"/>
      <c r="AF1027" s="3" t="s">
        <v>55</v>
      </c>
      <c r="AG1027" s="3"/>
      <c r="AH1027" s="3" t="s">
        <v>56</v>
      </c>
      <c r="AI1027" s="3"/>
      <c r="AJ1027" s="3"/>
      <c r="AK1027" s="3" t="str">
        <f>HYPERLINK("https://knigipp.ru/api/getInfo/item/e307df45-54a2-11ea-a241-ac1f6b442184")</f>
        <v>https://knigipp.ru/api/getInfo/item/e307df45-54a2-11ea-a241-ac1f6b442184</v>
      </c>
      <c r="AL1027" s="3" t="s">
        <v>4402</v>
      </c>
    </row>
    <row r="1028" spans="1:38" ht="21" customHeight="1" outlineLevel="4" x14ac:dyDescent="0.2">
      <c r="A1028" s="2">
        <v>775</v>
      </c>
      <c r="B1028" s="3" t="s">
        <v>4407</v>
      </c>
      <c r="C1028" s="49" t="s">
        <v>4408</v>
      </c>
      <c r="D1028" s="49"/>
      <c r="E1028" s="49"/>
      <c r="F1028" s="49"/>
      <c r="G1028" s="4" t="s">
        <v>4409</v>
      </c>
      <c r="H1028" s="8"/>
      <c r="I1028" s="9" t="s">
        <v>4400</v>
      </c>
      <c r="J1028" s="10"/>
      <c r="K1028" s="11">
        <v>20</v>
      </c>
      <c r="L1028" s="10"/>
      <c r="M1028" s="10" t="s">
        <v>47</v>
      </c>
      <c r="N1028" s="10"/>
      <c r="O1028" s="2">
        <v>5</v>
      </c>
      <c r="P1028" s="17">
        <f>119*(1-S3/100)</f>
        <v>119</v>
      </c>
      <c r="Q1028" s="18"/>
      <c r="R1028" s="10">
        <f>P1028*Q1028</f>
        <v>0</v>
      </c>
      <c r="S1028" s="19">
        <f>0.227*Q1028</f>
        <v>0</v>
      </c>
      <c r="T1028" s="30">
        <f>0.0003*Q1028</f>
        <v>0</v>
      </c>
      <c r="U1028" s="21"/>
      <c r="V1028" s="22" t="s">
        <v>4410</v>
      </c>
      <c r="W1028" s="22" t="s">
        <v>191</v>
      </c>
      <c r="X1028" s="3"/>
      <c r="Y1028" s="3"/>
      <c r="Z1028" s="3" t="s">
        <v>52</v>
      </c>
      <c r="AA1028" s="3"/>
      <c r="AB1028" s="3"/>
      <c r="AC1028" s="3" t="str">
        <f>HYPERLINK("https://knigipp.ru/api/getInfo/image/18b9e780-54a3-11ea-a241-ac1f6b442184")</f>
        <v>https://knigipp.ru/api/getInfo/image/18b9e780-54a3-11ea-a241-ac1f6b442184</v>
      </c>
      <c r="AD1028" s="32">
        <v>80</v>
      </c>
      <c r="AE1028" s="3"/>
      <c r="AF1028" s="3" t="s">
        <v>55</v>
      </c>
      <c r="AG1028" s="3"/>
      <c r="AH1028" s="3" t="s">
        <v>56</v>
      </c>
      <c r="AI1028" s="3"/>
      <c r="AJ1028" s="3"/>
      <c r="AK1028" s="3" t="str">
        <f>HYPERLINK("https://knigipp.ru/api/getInfo/item/18b9e780-54a3-11ea-a241-ac1f6b442184")</f>
        <v>https://knigipp.ru/api/getInfo/item/18b9e780-54a3-11ea-a241-ac1f6b442184</v>
      </c>
      <c r="AL1028" s="3" t="s">
        <v>4402</v>
      </c>
    </row>
    <row r="1029" spans="1:38" ht="21" customHeight="1" outlineLevel="4" x14ac:dyDescent="0.2">
      <c r="A1029" s="2">
        <v>776</v>
      </c>
      <c r="B1029" s="3" t="s">
        <v>4411</v>
      </c>
      <c r="C1029" s="49" t="s">
        <v>4412</v>
      </c>
      <c r="D1029" s="49"/>
      <c r="E1029" s="49"/>
      <c r="F1029" s="49"/>
      <c r="G1029" s="4" t="s">
        <v>4413</v>
      </c>
      <c r="H1029" s="8"/>
      <c r="I1029" s="9" t="s">
        <v>4414</v>
      </c>
      <c r="J1029" s="10"/>
      <c r="K1029" s="11">
        <v>20</v>
      </c>
      <c r="L1029" s="10"/>
      <c r="M1029" s="10" t="s">
        <v>78</v>
      </c>
      <c r="N1029" s="10"/>
      <c r="O1029" s="2">
        <v>5</v>
      </c>
      <c r="P1029" s="17">
        <f>119*(1-S3/100)</f>
        <v>119</v>
      </c>
      <c r="Q1029" s="18"/>
      <c r="R1029" s="10">
        <f>P1029*Q1029</f>
        <v>0</v>
      </c>
      <c r="S1029" s="19">
        <f>0.227*Q1029</f>
        <v>0</v>
      </c>
      <c r="T1029" s="30">
        <f>0.0003*Q1029</f>
        <v>0</v>
      </c>
      <c r="U1029" s="21"/>
      <c r="V1029" s="22" t="s">
        <v>4415</v>
      </c>
      <c r="W1029" s="22" t="s">
        <v>191</v>
      </c>
      <c r="X1029" s="3"/>
      <c r="Y1029" s="3"/>
      <c r="Z1029" s="3" t="s">
        <v>52</v>
      </c>
      <c r="AA1029" s="3"/>
      <c r="AB1029" s="3"/>
      <c r="AC1029" s="3" t="str">
        <f>HYPERLINK("https://knigipp.ru/api/getInfo/image/d377a44a-7a6e-11eb-a274-ac1f6b442184")</f>
        <v>https://knigipp.ru/api/getInfo/image/d377a44a-7a6e-11eb-a274-ac1f6b442184</v>
      </c>
      <c r="AD1029" s="32">
        <v>80</v>
      </c>
      <c r="AE1029" s="3"/>
      <c r="AF1029" s="3" t="s">
        <v>55</v>
      </c>
      <c r="AG1029" s="3"/>
      <c r="AH1029" s="3" t="s">
        <v>56</v>
      </c>
      <c r="AI1029" s="3"/>
      <c r="AJ1029" s="3"/>
      <c r="AK1029" s="3" t="str">
        <f>HYPERLINK("https://knigipp.ru/api/getInfo/item/d377a44a-7a6e-11eb-a274-ac1f6b442184")</f>
        <v>https://knigipp.ru/api/getInfo/item/d377a44a-7a6e-11eb-a274-ac1f6b442184</v>
      </c>
      <c r="AL1029" s="3" t="s">
        <v>4402</v>
      </c>
    </row>
    <row r="1030" spans="1:38" ht="21" customHeight="1" outlineLevel="4" x14ac:dyDescent="0.2">
      <c r="A1030" s="2">
        <v>777</v>
      </c>
      <c r="B1030" s="3" t="s">
        <v>4416</v>
      </c>
      <c r="C1030" s="49" t="s">
        <v>4417</v>
      </c>
      <c r="D1030" s="49"/>
      <c r="E1030" s="49"/>
      <c r="F1030" s="49"/>
      <c r="G1030" s="4" t="s">
        <v>4418</v>
      </c>
      <c r="H1030" s="8"/>
      <c r="I1030" s="9" t="s">
        <v>4400</v>
      </c>
      <c r="J1030" s="10"/>
      <c r="K1030" s="11">
        <v>20</v>
      </c>
      <c r="L1030" s="10"/>
      <c r="M1030" s="10" t="s">
        <v>78</v>
      </c>
      <c r="N1030" s="10"/>
      <c r="O1030" s="2">
        <v>5</v>
      </c>
      <c r="P1030" s="17">
        <f>119*(1-S3/100)</f>
        <v>119</v>
      </c>
      <c r="Q1030" s="18"/>
      <c r="R1030" s="10">
        <f>P1030*Q1030</f>
        <v>0</v>
      </c>
      <c r="S1030" s="19">
        <f>0.227*Q1030</f>
        <v>0</v>
      </c>
      <c r="T1030" s="30">
        <f>0.0003*Q1030</f>
        <v>0</v>
      </c>
      <c r="U1030" s="21"/>
      <c r="V1030" s="22" t="s">
        <v>4419</v>
      </c>
      <c r="W1030" s="22" t="s">
        <v>191</v>
      </c>
      <c r="X1030" s="3"/>
      <c r="Y1030" s="3"/>
      <c r="Z1030" s="3" t="s">
        <v>52</v>
      </c>
      <c r="AA1030" s="3"/>
      <c r="AB1030" s="3"/>
      <c r="AC1030" s="3" t="str">
        <f>HYPERLINK("https://knigipp.ru/api/getInfo/image/35ae5ee8-0311-11eb-a255-ac1f6b442184")</f>
        <v>https://knigipp.ru/api/getInfo/image/35ae5ee8-0311-11eb-a255-ac1f6b442184</v>
      </c>
      <c r="AD1030" s="32">
        <v>80</v>
      </c>
      <c r="AE1030" s="3"/>
      <c r="AF1030" s="3" t="s">
        <v>55</v>
      </c>
      <c r="AG1030" s="3"/>
      <c r="AH1030" s="3" t="s">
        <v>56</v>
      </c>
      <c r="AI1030" s="3"/>
      <c r="AJ1030" s="3"/>
      <c r="AK1030" s="3" t="str">
        <f>HYPERLINK("https://knigipp.ru/api/getInfo/item/35ae5ee8-0311-11eb-a255-ac1f6b442184")</f>
        <v>https://knigipp.ru/api/getInfo/item/35ae5ee8-0311-11eb-a255-ac1f6b442184</v>
      </c>
      <c r="AL1030" s="3" t="s">
        <v>4402</v>
      </c>
    </row>
    <row r="1031" spans="1:38" ht="23.1" customHeight="1" outlineLevel="2" x14ac:dyDescent="0.2">
      <c r="A1031" s="47" t="s">
        <v>4420</v>
      </c>
      <c r="B1031" s="47"/>
      <c r="C1031" s="47"/>
      <c r="D1031" s="47"/>
      <c r="E1031" s="47"/>
      <c r="F1031" s="47"/>
    </row>
    <row r="1032" spans="1:38" ht="21" customHeight="1" outlineLevel="3" x14ac:dyDescent="0.2">
      <c r="A1032" s="2">
        <v>778</v>
      </c>
      <c r="B1032" s="3" t="s">
        <v>4421</v>
      </c>
      <c r="C1032" s="49" t="s">
        <v>4422</v>
      </c>
      <c r="D1032" s="49"/>
      <c r="E1032" s="49"/>
      <c r="F1032" s="49"/>
      <c r="G1032" s="4" t="s">
        <v>4423</v>
      </c>
      <c r="H1032" s="8"/>
      <c r="I1032" s="9" t="s">
        <v>4424</v>
      </c>
      <c r="J1032" s="10"/>
      <c r="K1032" s="11">
        <v>28</v>
      </c>
      <c r="L1032" s="10"/>
      <c r="M1032" s="10" t="s">
        <v>47</v>
      </c>
      <c r="N1032" s="10"/>
      <c r="O1032" s="2">
        <v>3</v>
      </c>
      <c r="P1032" s="17">
        <f>249*(1-S3/100)</f>
        <v>249</v>
      </c>
      <c r="Q1032" s="18"/>
      <c r="R1032" s="10">
        <f>P1032*Q1032</f>
        <v>0</v>
      </c>
      <c r="S1032" s="19">
        <f>0.137*Q1032</f>
        <v>0</v>
      </c>
      <c r="T1032" s="20">
        <f>0.00048*Q1032</f>
        <v>0</v>
      </c>
      <c r="U1032" s="21"/>
      <c r="V1032" s="22" t="s">
        <v>4425</v>
      </c>
      <c r="W1032" s="22" t="s">
        <v>191</v>
      </c>
      <c r="X1032" s="3"/>
      <c r="Y1032" s="3" t="s">
        <v>4426</v>
      </c>
      <c r="Z1032" s="3" t="s">
        <v>52</v>
      </c>
      <c r="AA1032" s="3"/>
      <c r="AB1032" s="3"/>
      <c r="AC1032" s="3" t="str">
        <f>HYPERLINK("https://knigipp.ru/api/getInfo/image/f61ec467-78aa-11ee-a248-00155d82e902")</f>
        <v>https://knigipp.ru/api/getInfo/image/f61ec467-78aa-11ee-a248-00155d82e902</v>
      </c>
      <c r="AD1032" s="3"/>
      <c r="AE1032" s="3" t="s">
        <v>740</v>
      </c>
      <c r="AF1032" s="3" t="s">
        <v>1454</v>
      </c>
      <c r="AG1032" s="3"/>
      <c r="AH1032" s="3" t="s">
        <v>56</v>
      </c>
      <c r="AI1032" s="3"/>
      <c r="AJ1032" s="3"/>
      <c r="AK1032" s="3" t="str">
        <f>HYPERLINK("https://knigipp.ru/api/getInfo/item/f61ec467-78aa-11ee-a248-00155d82e902")</f>
        <v>https://knigipp.ru/api/getInfo/item/f61ec467-78aa-11ee-a248-00155d82e902</v>
      </c>
      <c r="AL1032" s="3" t="s">
        <v>4427</v>
      </c>
    </row>
    <row r="1033" spans="1:38" ht="21" customHeight="1" outlineLevel="3" x14ac:dyDescent="0.2">
      <c r="A1033" s="2">
        <v>779</v>
      </c>
      <c r="B1033" s="3" t="s">
        <v>4428</v>
      </c>
      <c r="C1033" s="49" t="s">
        <v>4429</v>
      </c>
      <c r="D1033" s="49"/>
      <c r="E1033" s="49"/>
      <c r="F1033" s="49"/>
      <c r="G1033" s="4" t="s">
        <v>4430</v>
      </c>
      <c r="H1033" s="8"/>
      <c r="I1033" s="9" t="s">
        <v>4431</v>
      </c>
      <c r="J1033" s="10"/>
      <c r="K1033" s="11">
        <v>28</v>
      </c>
      <c r="L1033" s="10"/>
      <c r="M1033" s="10" t="s">
        <v>78</v>
      </c>
      <c r="N1033" s="10"/>
      <c r="O1033" s="2">
        <v>3</v>
      </c>
      <c r="P1033" s="17">
        <f>279*(1-S3/100)</f>
        <v>279</v>
      </c>
      <c r="Q1033" s="18"/>
      <c r="R1033" s="10">
        <f>P1033*Q1033</f>
        <v>0</v>
      </c>
      <c r="S1033" s="19">
        <f>0.137*Q1033</f>
        <v>0</v>
      </c>
      <c r="T1033" s="20">
        <f>0.00048*Q1033</f>
        <v>0</v>
      </c>
      <c r="U1033" s="21"/>
      <c r="V1033" s="22" t="s">
        <v>4432</v>
      </c>
      <c r="W1033" s="22" t="s">
        <v>191</v>
      </c>
      <c r="X1033" s="3"/>
      <c r="Y1033" s="3" t="s">
        <v>4426</v>
      </c>
      <c r="Z1033" s="3" t="s">
        <v>52</v>
      </c>
      <c r="AA1033" s="3"/>
      <c r="AB1033" s="3"/>
      <c r="AC1033" s="3" t="str">
        <f>HYPERLINK("https://knigipp.ru/api/getInfo/image/a4bb8845-d9d5-11ed-a232-00155d82e902")</f>
        <v>https://knigipp.ru/api/getInfo/image/a4bb8845-d9d5-11ed-a232-00155d82e902</v>
      </c>
      <c r="AD1033" s="3"/>
      <c r="AE1033" s="3" t="s">
        <v>740</v>
      </c>
      <c r="AF1033" s="3" t="s">
        <v>1454</v>
      </c>
      <c r="AG1033" s="3"/>
      <c r="AH1033" s="3" t="s">
        <v>56</v>
      </c>
      <c r="AI1033" s="3"/>
      <c r="AJ1033" s="3"/>
      <c r="AK1033" s="3" t="str">
        <f>HYPERLINK("https://knigipp.ru/api/getInfo/item/a4bb8845-d9d5-11ed-a232-00155d82e902")</f>
        <v>https://knigipp.ru/api/getInfo/item/a4bb8845-d9d5-11ed-a232-00155d82e902</v>
      </c>
      <c r="AL1033" s="3" t="s">
        <v>4433</v>
      </c>
    </row>
    <row r="1034" spans="1:38" ht="23.1" customHeight="1" outlineLevel="2" x14ac:dyDescent="0.2">
      <c r="A1034" s="47" t="s">
        <v>4434</v>
      </c>
      <c r="B1034" s="47"/>
      <c r="C1034" s="47"/>
      <c r="D1034" s="47"/>
      <c r="E1034" s="47"/>
      <c r="F1034" s="47"/>
    </row>
    <row r="1035" spans="1:38" ht="21" customHeight="1" outlineLevel="3" x14ac:dyDescent="0.2">
      <c r="A1035" s="2">
        <v>780</v>
      </c>
      <c r="B1035" s="3" t="s">
        <v>4435</v>
      </c>
      <c r="C1035" s="49" t="s">
        <v>4436</v>
      </c>
      <c r="D1035" s="49"/>
      <c r="E1035" s="49"/>
      <c r="F1035" s="49"/>
      <c r="G1035" s="4" t="s">
        <v>4437</v>
      </c>
      <c r="H1035" s="8"/>
      <c r="I1035" s="9" t="s">
        <v>4438</v>
      </c>
      <c r="J1035" s="10"/>
      <c r="K1035" s="11">
        <v>20</v>
      </c>
      <c r="L1035" s="10"/>
      <c r="M1035" s="10" t="s">
        <v>47</v>
      </c>
      <c r="N1035" s="10"/>
      <c r="O1035" s="2">
        <v>1</v>
      </c>
      <c r="P1035" s="17">
        <f>577*(1-S3/100)</f>
        <v>577</v>
      </c>
      <c r="Q1035" s="18"/>
      <c r="R1035" s="10">
        <f>P1035*Q1035</f>
        <v>0</v>
      </c>
      <c r="S1035" s="19">
        <f>0.275*Q1035</f>
        <v>0</v>
      </c>
      <c r="T1035" s="20">
        <f>0.00012*Q1035</f>
        <v>0</v>
      </c>
      <c r="U1035" s="21"/>
      <c r="V1035" s="22" t="s">
        <v>4439</v>
      </c>
      <c r="W1035" s="22" t="s">
        <v>191</v>
      </c>
      <c r="X1035" s="3"/>
      <c r="Y1035" s="3" t="s">
        <v>4440</v>
      </c>
      <c r="Z1035" s="3"/>
      <c r="AA1035" s="3"/>
      <c r="AB1035" s="3"/>
      <c r="AC1035" s="3" t="str">
        <f>HYPERLINK("https://knigipp.ru/api/getInfo/image/35741e10-b65a-11f0-a286-00155d82e908")</f>
        <v>https://knigipp.ru/api/getInfo/image/35741e10-b65a-11f0-a286-00155d82e908</v>
      </c>
      <c r="AD1035" s="32">
        <v>144</v>
      </c>
      <c r="AE1035" s="3" t="s">
        <v>1406</v>
      </c>
      <c r="AF1035" s="3" t="s">
        <v>127</v>
      </c>
      <c r="AG1035" s="3"/>
      <c r="AH1035" s="3" t="s">
        <v>56</v>
      </c>
      <c r="AI1035" s="3"/>
      <c r="AJ1035" s="3"/>
      <c r="AK1035" s="3" t="str">
        <f>HYPERLINK("https://knigipp.ru/api/getInfo/item/35741e10-b65a-11f0-a286-00155d82e908")</f>
        <v>https://knigipp.ru/api/getInfo/item/35741e10-b65a-11f0-a286-00155d82e908</v>
      </c>
      <c r="AL1035" s="3" t="s">
        <v>784</v>
      </c>
    </row>
    <row r="1036" spans="1:38" ht="21" customHeight="1" outlineLevel="3" x14ac:dyDescent="0.2">
      <c r="A1036" s="2">
        <v>781</v>
      </c>
      <c r="B1036" s="3" t="s">
        <v>4441</v>
      </c>
      <c r="C1036" s="49" t="s">
        <v>4442</v>
      </c>
      <c r="D1036" s="49"/>
      <c r="E1036" s="49"/>
      <c r="F1036" s="49"/>
      <c r="G1036" s="4" t="s">
        <v>4443</v>
      </c>
      <c r="H1036" s="8"/>
      <c r="I1036" s="9" t="s">
        <v>4438</v>
      </c>
      <c r="J1036" s="10"/>
      <c r="K1036" s="11">
        <v>20</v>
      </c>
      <c r="L1036" s="10"/>
      <c r="M1036" s="10" t="s">
        <v>47</v>
      </c>
      <c r="N1036" s="10"/>
      <c r="O1036" s="2">
        <v>1</v>
      </c>
      <c r="P1036" s="17">
        <f>577*(1-S3/100)</f>
        <v>577</v>
      </c>
      <c r="Q1036" s="18"/>
      <c r="R1036" s="10">
        <f>P1036*Q1036</f>
        <v>0</v>
      </c>
      <c r="S1036" s="28">
        <f>0.28*Q1036</f>
        <v>0</v>
      </c>
      <c r="T1036" s="20">
        <f>0.00037*Q1036</f>
        <v>0</v>
      </c>
      <c r="U1036" s="21"/>
      <c r="V1036" s="22" t="s">
        <v>4444</v>
      </c>
      <c r="W1036" s="22" t="s">
        <v>191</v>
      </c>
      <c r="X1036" s="3"/>
      <c r="Y1036" s="3" t="s">
        <v>4440</v>
      </c>
      <c r="Z1036" s="3"/>
      <c r="AA1036" s="3"/>
      <c r="AB1036" s="3"/>
      <c r="AC1036" s="3" t="str">
        <f>HYPERLINK("https://knigipp.ru/api/getInfo/image/9fac102c-84cc-11f0-a284-00155d82e908")</f>
        <v>https://knigipp.ru/api/getInfo/image/9fac102c-84cc-11f0-a284-00155d82e908</v>
      </c>
      <c r="AD1036" s="32">
        <v>144</v>
      </c>
      <c r="AE1036" s="3" t="s">
        <v>1406</v>
      </c>
      <c r="AF1036" s="3" t="s">
        <v>127</v>
      </c>
      <c r="AG1036" s="3"/>
      <c r="AH1036" s="3" t="s">
        <v>56</v>
      </c>
      <c r="AI1036" s="3"/>
      <c r="AJ1036" s="3"/>
      <c r="AK1036" s="3" t="str">
        <f>HYPERLINK("https://knigipp.ru/api/getInfo/item/9fac102c-84cc-11f0-a284-00155d82e908")</f>
        <v>https://knigipp.ru/api/getInfo/item/9fac102c-84cc-11f0-a284-00155d82e908</v>
      </c>
      <c r="AL1036" s="3" t="s">
        <v>784</v>
      </c>
    </row>
    <row r="1037" spans="1:38" ht="23.1" customHeight="1" outlineLevel="2" x14ac:dyDescent="0.2">
      <c r="A1037" s="47" t="s">
        <v>4445</v>
      </c>
      <c r="B1037" s="47"/>
      <c r="C1037" s="47"/>
      <c r="D1037" s="47"/>
      <c r="E1037" s="47"/>
      <c r="F1037" s="47"/>
    </row>
    <row r="1038" spans="1:38" ht="21" customHeight="1" outlineLevel="3" x14ac:dyDescent="0.2">
      <c r="A1038" s="2">
        <v>782</v>
      </c>
      <c r="B1038" s="3" t="s">
        <v>4446</v>
      </c>
      <c r="C1038" s="49" t="s">
        <v>4447</v>
      </c>
      <c r="D1038" s="49"/>
      <c r="E1038" s="49"/>
      <c r="F1038" s="49"/>
      <c r="G1038" s="4" t="s">
        <v>4448</v>
      </c>
      <c r="H1038" s="8"/>
      <c r="I1038" s="9" t="s">
        <v>4449</v>
      </c>
      <c r="J1038" s="10"/>
      <c r="K1038" s="11">
        <v>20</v>
      </c>
      <c r="L1038" s="10"/>
      <c r="M1038" s="10" t="s">
        <v>78</v>
      </c>
      <c r="N1038" s="10"/>
      <c r="O1038" s="2">
        <v>2</v>
      </c>
      <c r="P1038" s="17">
        <f>347*(1-S3/100)</f>
        <v>347</v>
      </c>
      <c r="Q1038" s="18"/>
      <c r="R1038" s="10">
        <f>P1038*Q1038</f>
        <v>0</v>
      </c>
      <c r="S1038" s="19">
        <f>0.196*Q1038</f>
        <v>0</v>
      </c>
      <c r="T1038" s="20">
        <f>0.00039*Q1038</f>
        <v>0</v>
      </c>
      <c r="U1038" s="21"/>
      <c r="V1038" s="22" t="s">
        <v>4450</v>
      </c>
      <c r="W1038" s="22" t="s">
        <v>191</v>
      </c>
      <c r="X1038" s="3"/>
      <c r="Y1038" s="3" t="s">
        <v>4451</v>
      </c>
      <c r="Z1038" s="3" t="s">
        <v>52</v>
      </c>
      <c r="AA1038" s="3"/>
      <c r="AB1038" s="3"/>
      <c r="AC1038" s="3" t="str">
        <f>HYPERLINK("https://knigipp.ru/api/getInfo/image/a7a9d71f-dfcd-11ef-a273-00155d82e908")</f>
        <v>https://knigipp.ru/api/getInfo/image/a7a9d71f-dfcd-11ef-a273-00155d82e908</v>
      </c>
      <c r="AD1038" s="32">
        <v>48</v>
      </c>
      <c r="AE1038" s="3" t="s">
        <v>1406</v>
      </c>
      <c r="AF1038" s="3" t="s">
        <v>741</v>
      </c>
      <c r="AG1038" s="3"/>
      <c r="AH1038" s="3" t="s">
        <v>56</v>
      </c>
      <c r="AI1038" s="3"/>
      <c r="AJ1038" s="3"/>
      <c r="AK1038" s="3" t="str">
        <f>HYPERLINK("https://knigipp.ru/api/getInfo/item/a7a9d71f-dfcd-11ef-a273-00155d82e908")</f>
        <v>https://knigipp.ru/api/getInfo/item/a7a9d71f-dfcd-11ef-a273-00155d82e908</v>
      </c>
      <c r="AL1038" s="3" t="s">
        <v>4452</v>
      </c>
    </row>
    <row r="1039" spans="1:38" ht="23.1" customHeight="1" outlineLevel="2" x14ac:dyDescent="0.2">
      <c r="A1039" s="47" t="s">
        <v>4453</v>
      </c>
      <c r="B1039" s="47"/>
      <c r="C1039" s="47"/>
      <c r="D1039" s="47"/>
      <c r="E1039" s="47"/>
      <c r="F1039" s="47"/>
    </row>
    <row r="1040" spans="1:38" ht="21" customHeight="1" outlineLevel="3" x14ac:dyDescent="0.2">
      <c r="A1040" s="2">
        <v>783</v>
      </c>
      <c r="B1040" s="3" t="s">
        <v>4454</v>
      </c>
      <c r="C1040" s="49" t="s">
        <v>4455</v>
      </c>
      <c r="D1040" s="49"/>
      <c r="E1040" s="49"/>
      <c r="F1040" s="49"/>
      <c r="G1040" s="4" t="s">
        <v>4456</v>
      </c>
      <c r="H1040" s="8"/>
      <c r="I1040" s="9" t="s">
        <v>4457</v>
      </c>
      <c r="J1040" s="10"/>
      <c r="K1040" s="11">
        <v>20</v>
      </c>
      <c r="L1040" s="10"/>
      <c r="M1040" s="10" t="s">
        <v>47</v>
      </c>
      <c r="N1040" s="10"/>
      <c r="O1040" s="2">
        <v>2</v>
      </c>
      <c r="P1040" s="17">
        <f>397*(1-S3/100)</f>
        <v>397</v>
      </c>
      <c r="Q1040" s="18"/>
      <c r="R1040" s="10">
        <f>P1040*Q1040</f>
        <v>0</v>
      </c>
      <c r="S1040" s="19">
        <f>0.252*Q1040</f>
        <v>0</v>
      </c>
      <c r="T1040" s="20">
        <f>0.00029*Q1040</f>
        <v>0</v>
      </c>
      <c r="U1040" s="21"/>
      <c r="V1040" s="22" t="s">
        <v>4458</v>
      </c>
      <c r="W1040" s="22" t="s">
        <v>191</v>
      </c>
      <c r="X1040" s="3"/>
      <c r="Y1040" s="3" t="s">
        <v>4459</v>
      </c>
      <c r="Z1040" s="3" t="s">
        <v>3329</v>
      </c>
      <c r="AA1040" s="3" t="s">
        <v>4460</v>
      </c>
      <c r="AB1040" s="3"/>
      <c r="AC1040" s="3" t="str">
        <f>HYPERLINK("https://knigipp.ru/api/getInfo/image/a0c7b30b-cc58-11f0-a28a-00155d82e908")</f>
        <v>https://knigipp.ru/api/getInfo/image/a0c7b30b-cc58-11f0-a28a-00155d82e908</v>
      </c>
      <c r="AD1040" s="32">
        <v>64</v>
      </c>
      <c r="AE1040" s="3" t="s">
        <v>1406</v>
      </c>
      <c r="AF1040" s="3" t="s">
        <v>127</v>
      </c>
      <c r="AG1040" s="3"/>
      <c r="AH1040" s="3" t="s">
        <v>56</v>
      </c>
      <c r="AI1040" s="3"/>
      <c r="AJ1040" s="3"/>
      <c r="AK1040" s="3" t="str">
        <f>HYPERLINK("https://knigipp.ru/api/getInfo/item/a0c7b30b-cc58-11f0-a28a-00155d82e908")</f>
        <v>https://knigipp.ru/api/getInfo/item/a0c7b30b-cc58-11f0-a28a-00155d82e908</v>
      </c>
      <c r="AL1040" s="3" t="s">
        <v>4461</v>
      </c>
    </row>
    <row r="1041" spans="1:38" ht="21" customHeight="1" outlineLevel="3" x14ac:dyDescent="0.2">
      <c r="A1041" s="2">
        <v>784</v>
      </c>
      <c r="B1041" s="3" t="s">
        <v>4462</v>
      </c>
      <c r="C1041" s="49" t="s">
        <v>4463</v>
      </c>
      <c r="D1041" s="49"/>
      <c r="E1041" s="49"/>
      <c r="F1041" s="49"/>
      <c r="G1041" s="4" t="s">
        <v>4464</v>
      </c>
      <c r="H1041" s="8"/>
      <c r="I1041" s="9" t="s">
        <v>4457</v>
      </c>
      <c r="J1041" s="10"/>
      <c r="K1041" s="11">
        <v>20</v>
      </c>
      <c r="L1041" s="10"/>
      <c r="M1041" s="10" t="s">
        <v>47</v>
      </c>
      <c r="N1041" s="10"/>
      <c r="O1041" s="2">
        <v>2</v>
      </c>
      <c r="P1041" s="17">
        <f>397*(1-S3/100)</f>
        <v>397</v>
      </c>
      <c r="Q1041" s="18"/>
      <c r="R1041" s="10">
        <f>P1041*Q1041</f>
        <v>0</v>
      </c>
      <c r="S1041" s="19">
        <f>0.247*Q1041</f>
        <v>0</v>
      </c>
      <c r="T1041" s="20">
        <f>0.00029*Q1041</f>
        <v>0</v>
      </c>
      <c r="U1041" s="21"/>
      <c r="V1041" s="22" t="s">
        <v>4465</v>
      </c>
      <c r="W1041" s="22" t="s">
        <v>191</v>
      </c>
      <c r="X1041" s="3"/>
      <c r="Y1041" s="3" t="s">
        <v>4459</v>
      </c>
      <c r="Z1041" s="3" t="s">
        <v>3329</v>
      </c>
      <c r="AA1041" s="3" t="s">
        <v>4460</v>
      </c>
      <c r="AB1041" s="3"/>
      <c r="AC1041" s="3" t="str">
        <f>HYPERLINK("https://knigipp.ru/api/getInfo/image/d15fd0a3-cc58-11f0-a28a-00155d82e908")</f>
        <v>https://knigipp.ru/api/getInfo/image/d15fd0a3-cc58-11f0-a28a-00155d82e908</v>
      </c>
      <c r="AD1041" s="32">
        <v>64</v>
      </c>
      <c r="AE1041" s="3" t="s">
        <v>1406</v>
      </c>
      <c r="AF1041" s="3" t="s">
        <v>127</v>
      </c>
      <c r="AG1041" s="3"/>
      <c r="AH1041" s="3" t="s">
        <v>56</v>
      </c>
      <c r="AI1041" s="3"/>
      <c r="AJ1041" s="3"/>
      <c r="AK1041" s="3" t="str">
        <f>HYPERLINK("https://knigipp.ru/api/getInfo/item/d15fd0a3-cc58-11f0-a28a-00155d82e908")</f>
        <v>https://knigipp.ru/api/getInfo/item/d15fd0a3-cc58-11f0-a28a-00155d82e908</v>
      </c>
      <c r="AL1041" s="3" t="s">
        <v>4461</v>
      </c>
    </row>
    <row r="1042" spans="1:38" ht="23.1" customHeight="1" outlineLevel="2" x14ac:dyDescent="0.2">
      <c r="A1042" s="47" t="s">
        <v>4466</v>
      </c>
      <c r="B1042" s="47"/>
      <c r="C1042" s="47"/>
      <c r="D1042" s="47"/>
      <c r="E1042" s="47"/>
      <c r="F1042" s="47"/>
    </row>
    <row r="1043" spans="1:38" ht="21" customHeight="1" outlineLevel="3" x14ac:dyDescent="0.2">
      <c r="A1043" s="2">
        <v>785</v>
      </c>
      <c r="B1043" s="3" t="s">
        <v>4467</v>
      </c>
      <c r="C1043" s="49" t="s">
        <v>4468</v>
      </c>
      <c r="D1043" s="49"/>
      <c r="E1043" s="49"/>
      <c r="F1043" s="49"/>
      <c r="G1043" s="4" t="s">
        <v>4469</v>
      </c>
      <c r="H1043" s="8"/>
      <c r="I1043" s="9" t="s">
        <v>4470</v>
      </c>
      <c r="J1043" s="10"/>
      <c r="K1043" s="11">
        <v>20</v>
      </c>
      <c r="L1043" s="10"/>
      <c r="M1043" s="10" t="s">
        <v>47</v>
      </c>
      <c r="N1043" s="10"/>
      <c r="O1043" s="2">
        <v>1</v>
      </c>
      <c r="P1043" s="17">
        <f>597*(1-S3/100)</f>
        <v>597</v>
      </c>
      <c r="Q1043" s="18"/>
      <c r="R1043" s="10">
        <f>P1043*Q1043</f>
        <v>0</v>
      </c>
      <c r="S1043" s="19">
        <f>0.136*Q1043</f>
        <v>0</v>
      </c>
      <c r="T1043" s="20">
        <f>0.00043*Q1043</f>
        <v>0</v>
      </c>
      <c r="U1043" s="21"/>
      <c r="V1043" s="22" t="s">
        <v>4471</v>
      </c>
      <c r="W1043" s="22" t="s">
        <v>191</v>
      </c>
      <c r="X1043" s="3"/>
      <c r="Y1043" s="3" t="s">
        <v>4472</v>
      </c>
      <c r="Z1043" s="3" t="s">
        <v>384</v>
      </c>
      <c r="AA1043" s="3"/>
      <c r="AB1043" s="3"/>
      <c r="AC1043" s="3" t="str">
        <f>HYPERLINK("https://knigipp.ru/api/getInfo/image/335ed8e4-9dff-11f0-a285-00155d82e908")</f>
        <v>https://knigipp.ru/api/getInfo/image/335ed8e4-9dff-11f0-a285-00155d82e908</v>
      </c>
      <c r="AD1043" s="32">
        <v>192</v>
      </c>
      <c r="AE1043" s="3" t="s">
        <v>355</v>
      </c>
      <c r="AF1043" s="3" t="s">
        <v>55</v>
      </c>
      <c r="AG1043" s="3"/>
      <c r="AH1043" s="3" t="s">
        <v>56</v>
      </c>
      <c r="AI1043" s="3"/>
      <c r="AJ1043" s="3"/>
      <c r="AK1043" s="3" t="str">
        <f>HYPERLINK("https://knigipp.ru/api/getInfo/item/335ed8e4-9dff-11f0-a285-00155d82e908")</f>
        <v>https://knigipp.ru/api/getInfo/item/335ed8e4-9dff-11f0-a285-00155d82e908</v>
      </c>
      <c r="AL1043" s="3" t="s">
        <v>4473</v>
      </c>
    </row>
    <row r="1044" spans="1:38" ht="21" customHeight="1" outlineLevel="3" x14ac:dyDescent="0.2">
      <c r="A1044" s="2">
        <v>786</v>
      </c>
      <c r="B1044" s="3" t="s">
        <v>4474</v>
      </c>
      <c r="C1044" s="49" t="s">
        <v>4475</v>
      </c>
      <c r="D1044" s="49"/>
      <c r="E1044" s="49"/>
      <c r="F1044" s="49"/>
      <c r="G1044" s="4" t="s">
        <v>4476</v>
      </c>
      <c r="H1044" s="8"/>
      <c r="I1044" s="9" t="s">
        <v>4477</v>
      </c>
      <c r="J1044" s="10"/>
      <c r="K1044" s="11">
        <v>20</v>
      </c>
      <c r="L1044" s="10"/>
      <c r="M1044" s="10" t="s">
        <v>47</v>
      </c>
      <c r="N1044" s="10"/>
      <c r="O1044" s="2">
        <v>1</v>
      </c>
      <c r="P1044" s="17">
        <f>597*(1-S3/100)</f>
        <v>597</v>
      </c>
      <c r="Q1044" s="18"/>
      <c r="R1044" s="10">
        <f>P1044*Q1044</f>
        <v>0</v>
      </c>
      <c r="S1044" s="19">
        <f>0.132*Q1044</f>
        <v>0</v>
      </c>
      <c r="T1044" s="20">
        <f>0.00033*Q1044</f>
        <v>0</v>
      </c>
      <c r="U1044" s="21"/>
      <c r="V1044" s="22" t="s">
        <v>4478</v>
      </c>
      <c r="W1044" s="22" t="s">
        <v>191</v>
      </c>
      <c r="X1044" s="3"/>
      <c r="Y1044" s="3" t="s">
        <v>4472</v>
      </c>
      <c r="Z1044" s="3" t="s">
        <v>384</v>
      </c>
      <c r="AA1044" s="3"/>
      <c r="AB1044" s="3"/>
      <c r="AC1044" s="3" t="str">
        <f>HYPERLINK("https://knigipp.ru/api/getInfo/image/eda65ff5-9dfe-11f0-a285-00155d82e908")</f>
        <v>https://knigipp.ru/api/getInfo/image/eda65ff5-9dfe-11f0-a285-00155d82e908</v>
      </c>
      <c r="AD1044" s="32">
        <v>192</v>
      </c>
      <c r="AE1044" s="3" t="s">
        <v>355</v>
      </c>
      <c r="AF1044" s="3" t="s">
        <v>55</v>
      </c>
      <c r="AG1044" s="3"/>
      <c r="AH1044" s="3" t="s">
        <v>56</v>
      </c>
      <c r="AI1044" s="3"/>
      <c r="AJ1044" s="3"/>
      <c r="AK1044" s="3" t="str">
        <f>HYPERLINK("https://knigipp.ru/api/getInfo/item/eda65ff5-9dfe-11f0-a285-00155d82e908")</f>
        <v>https://knigipp.ru/api/getInfo/item/eda65ff5-9dfe-11f0-a285-00155d82e908</v>
      </c>
      <c r="AL1044" s="3" t="s">
        <v>4473</v>
      </c>
    </row>
    <row r="1045" spans="1:38" ht="23.1" customHeight="1" outlineLevel="2" x14ac:dyDescent="0.2">
      <c r="A1045" s="47" t="s">
        <v>4479</v>
      </c>
      <c r="B1045" s="47"/>
      <c r="C1045" s="47"/>
      <c r="D1045" s="47"/>
      <c r="E1045" s="47"/>
      <c r="F1045" s="47"/>
    </row>
    <row r="1046" spans="1:38" ht="21" customHeight="1" outlineLevel="3" x14ac:dyDescent="0.2">
      <c r="A1046" s="2">
        <v>787</v>
      </c>
      <c r="B1046" s="3" t="s">
        <v>4480</v>
      </c>
      <c r="C1046" s="49" t="s">
        <v>4481</v>
      </c>
      <c r="D1046" s="49"/>
      <c r="E1046" s="49"/>
      <c r="F1046" s="49"/>
      <c r="G1046" s="4" t="s">
        <v>4482</v>
      </c>
      <c r="H1046" s="8"/>
      <c r="I1046" s="9" t="s">
        <v>4483</v>
      </c>
      <c r="J1046" s="10"/>
      <c r="K1046" s="11">
        <v>50</v>
      </c>
      <c r="L1046" s="10"/>
      <c r="M1046" s="10" t="s">
        <v>47</v>
      </c>
      <c r="N1046" s="10"/>
      <c r="O1046" s="2">
        <v>4</v>
      </c>
      <c r="P1046" s="17">
        <f>157*(1-S3/100)</f>
        <v>157</v>
      </c>
      <c r="Q1046" s="18"/>
      <c r="R1046" s="10">
        <f>P1046*Q1046</f>
        <v>0</v>
      </c>
      <c r="S1046" s="19">
        <f>0.031*Q1046</f>
        <v>0</v>
      </c>
      <c r="T1046" s="20">
        <f>0.00007*Q1046</f>
        <v>0</v>
      </c>
      <c r="U1046" s="21"/>
      <c r="V1046" s="22" t="s">
        <v>4484</v>
      </c>
      <c r="W1046" s="22" t="s">
        <v>191</v>
      </c>
      <c r="X1046" s="3"/>
      <c r="Y1046" s="3" t="s">
        <v>4485</v>
      </c>
      <c r="Z1046" s="3" t="s">
        <v>52</v>
      </c>
      <c r="AA1046" s="3"/>
      <c r="AB1046" s="3"/>
      <c r="AC1046" s="3" t="str">
        <f>HYPERLINK("https://knigipp.ru/api/getInfo/image/38212103-563e-11f0-a27f-00155d82e908")</f>
        <v>https://knigipp.ru/api/getInfo/image/38212103-563e-11f0-a27f-00155d82e908</v>
      </c>
      <c r="AD1046" s="32">
        <v>48</v>
      </c>
      <c r="AE1046" s="3"/>
      <c r="AF1046" s="3" t="s">
        <v>55</v>
      </c>
      <c r="AG1046" s="3"/>
      <c r="AH1046" s="3" t="s">
        <v>56</v>
      </c>
      <c r="AI1046" s="3"/>
      <c r="AJ1046" s="3"/>
      <c r="AK1046" s="3" t="str">
        <f>HYPERLINK("https://knigipp.ru/api/getInfo/item/38212103-563e-11f0-a27f-00155d82e908")</f>
        <v>https://knigipp.ru/api/getInfo/item/38212103-563e-11f0-a27f-00155d82e908</v>
      </c>
      <c r="AL1046" s="3" t="s">
        <v>4486</v>
      </c>
    </row>
    <row r="1047" spans="1:38" ht="21" customHeight="1" outlineLevel="3" x14ac:dyDescent="0.2">
      <c r="A1047" s="2">
        <v>788</v>
      </c>
      <c r="B1047" s="3" t="s">
        <v>4487</v>
      </c>
      <c r="C1047" s="49" t="s">
        <v>4488</v>
      </c>
      <c r="D1047" s="49"/>
      <c r="E1047" s="49"/>
      <c r="F1047" s="49"/>
      <c r="G1047" s="4" t="s">
        <v>4489</v>
      </c>
      <c r="H1047" s="8"/>
      <c r="I1047" s="9" t="s">
        <v>4483</v>
      </c>
      <c r="J1047" s="10"/>
      <c r="K1047" s="11">
        <v>50</v>
      </c>
      <c r="L1047" s="10"/>
      <c r="M1047" s="10" t="s">
        <v>47</v>
      </c>
      <c r="N1047" s="10"/>
      <c r="O1047" s="2">
        <v>4</v>
      </c>
      <c r="P1047" s="17">
        <f>157*(1-S3/100)</f>
        <v>157</v>
      </c>
      <c r="Q1047" s="18"/>
      <c r="R1047" s="10">
        <f>P1047*Q1047</f>
        <v>0</v>
      </c>
      <c r="S1047" s="19">
        <f>0.025*Q1047</f>
        <v>0</v>
      </c>
      <c r="T1047" s="20">
        <f>0.00004*Q1047</f>
        <v>0</v>
      </c>
      <c r="U1047" s="21"/>
      <c r="V1047" s="22" t="s">
        <v>4490</v>
      </c>
      <c r="W1047" s="22" t="s">
        <v>191</v>
      </c>
      <c r="X1047" s="3"/>
      <c r="Y1047" s="3" t="s">
        <v>4491</v>
      </c>
      <c r="Z1047" s="3" t="s">
        <v>52</v>
      </c>
      <c r="AA1047" s="3"/>
      <c r="AB1047" s="3"/>
      <c r="AC1047" s="3" t="str">
        <f>HYPERLINK("https://knigipp.ru/api/getInfo/image/6b933ac5-563e-11f0-a27f-00155d82e908")</f>
        <v>https://knigipp.ru/api/getInfo/image/6b933ac5-563e-11f0-a27f-00155d82e908</v>
      </c>
      <c r="AD1047" s="32">
        <v>48</v>
      </c>
      <c r="AE1047" s="3"/>
      <c r="AF1047" s="3" t="s">
        <v>55</v>
      </c>
      <c r="AG1047" s="3"/>
      <c r="AH1047" s="3" t="s">
        <v>56</v>
      </c>
      <c r="AI1047" s="3"/>
      <c r="AJ1047" s="3"/>
      <c r="AK1047" s="3" t="str">
        <f>HYPERLINK("https://knigipp.ru/api/getInfo/item/6b933ac5-563e-11f0-a27f-00155d82e908")</f>
        <v>https://knigipp.ru/api/getInfo/item/6b933ac5-563e-11f0-a27f-00155d82e908</v>
      </c>
      <c r="AL1047" s="3" t="s">
        <v>4486</v>
      </c>
    </row>
    <row r="1048" spans="1:38" ht="23.1" customHeight="1" outlineLevel="2" x14ac:dyDescent="0.2">
      <c r="A1048" s="47" t="s">
        <v>4492</v>
      </c>
      <c r="B1048" s="47"/>
      <c r="C1048" s="47"/>
      <c r="D1048" s="47"/>
      <c r="E1048" s="47"/>
      <c r="F1048" s="47"/>
    </row>
    <row r="1049" spans="1:38" ht="21" customHeight="1" outlineLevel="3" x14ac:dyDescent="0.2">
      <c r="A1049" s="2">
        <v>789</v>
      </c>
      <c r="B1049" s="3" t="s">
        <v>4493</v>
      </c>
      <c r="C1049" s="49" t="s">
        <v>4494</v>
      </c>
      <c r="D1049" s="49"/>
      <c r="E1049" s="49"/>
      <c r="F1049" s="49"/>
      <c r="G1049" s="4" t="s">
        <v>4495</v>
      </c>
      <c r="H1049" s="8"/>
      <c r="I1049" s="9" t="s">
        <v>4496</v>
      </c>
      <c r="J1049" s="10"/>
      <c r="K1049" s="11">
        <v>10</v>
      </c>
      <c r="L1049" s="10"/>
      <c r="M1049" s="10" t="s">
        <v>47</v>
      </c>
      <c r="N1049" s="10"/>
      <c r="O1049" s="2">
        <v>2</v>
      </c>
      <c r="P1049" s="17">
        <f>477*(1-S3/100)</f>
        <v>477</v>
      </c>
      <c r="Q1049" s="18"/>
      <c r="R1049" s="10">
        <f>P1049*Q1049</f>
        <v>0</v>
      </c>
      <c r="S1049" s="19">
        <f>0.287*Q1049</f>
        <v>0</v>
      </c>
      <c r="T1049" s="20">
        <f>0.00062*Q1049</f>
        <v>0</v>
      </c>
      <c r="U1049" s="21"/>
      <c r="V1049" s="22" t="s">
        <v>4497</v>
      </c>
      <c r="W1049" s="22" t="s">
        <v>191</v>
      </c>
      <c r="X1049" s="3"/>
      <c r="Y1049" s="3" t="s">
        <v>4498</v>
      </c>
      <c r="Z1049" s="3" t="s">
        <v>52</v>
      </c>
      <c r="AA1049" s="3"/>
      <c r="AB1049" s="3"/>
      <c r="AC1049" s="3" t="str">
        <f>HYPERLINK("https://knigipp.ru/api/getInfo/image/41c6207c-6e18-11f0-a284-00155d82e908")</f>
        <v>https://knigipp.ru/api/getInfo/image/41c6207c-6e18-11f0-a284-00155d82e908</v>
      </c>
      <c r="AD1049" s="3"/>
      <c r="AE1049" s="3"/>
      <c r="AF1049" s="3" t="s">
        <v>127</v>
      </c>
      <c r="AG1049" s="3"/>
      <c r="AH1049" s="3" t="s">
        <v>56</v>
      </c>
      <c r="AI1049" s="3"/>
      <c r="AJ1049" s="3"/>
      <c r="AK1049" s="3" t="str">
        <f>HYPERLINK("https://knigipp.ru/api/getInfo/item/41c6207c-6e18-11f0-a284-00155d82e908")</f>
        <v>https://knigipp.ru/api/getInfo/item/41c6207c-6e18-11f0-a284-00155d82e908</v>
      </c>
      <c r="AL1049" s="3" t="s">
        <v>4499</v>
      </c>
    </row>
    <row r="1050" spans="1:38" ht="21" customHeight="1" outlineLevel="3" x14ac:dyDescent="0.2">
      <c r="A1050" s="5">
        <v>790</v>
      </c>
      <c r="B1050" s="6" t="s">
        <v>4500</v>
      </c>
      <c r="C1050" s="54" t="s">
        <v>4501</v>
      </c>
      <c r="D1050" s="54"/>
      <c r="E1050" s="54"/>
      <c r="F1050" s="54"/>
      <c r="G1050" s="7" t="s">
        <v>4502</v>
      </c>
      <c r="H1050" s="12"/>
      <c r="I1050" s="13" t="s">
        <v>4496</v>
      </c>
      <c r="J1050" s="14"/>
      <c r="K1050" s="15">
        <v>10</v>
      </c>
      <c r="L1050" s="14"/>
      <c r="M1050" s="14" t="s">
        <v>47</v>
      </c>
      <c r="N1050" s="14"/>
      <c r="O1050" s="5">
        <v>2</v>
      </c>
      <c r="P1050" s="23">
        <f>477*(1-S3/100)</f>
        <v>477</v>
      </c>
      <c r="Q1050" s="18"/>
      <c r="R1050" s="14">
        <f>P1050*Q1050</f>
        <v>0</v>
      </c>
      <c r="S1050" s="24">
        <f>0.289*Q1050</f>
        <v>0</v>
      </c>
      <c r="T1050" s="25">
        <f>0.00038*Q1050</f>
        <v>0</v>
      </c>
      <c r="U1050" s="26" t="s">
        <v>62</v>
      </c>
      <c r="V1050" s="27" t="s">
        <v>4503</v>
      </c>
      <c r="W1050" s="27" t="s">
        <v>191</v>
      </c>
      <c r="X1050" s="6"/>
      <c r="Y1050" s="6" t="s">
        <v>4504</v>
      </c>
      <c r="Z1050" s="6" t="s">
        <v>52</v>
      </c>
      <c r="AA1050" s="6"/>
      <c r="AB1050" s="6"/>
      <c r="AC1050" s="6" t="str">
        <f>HYPERLINK("https://knigipp.ru/api/getInfo/image/2bcb85ec-4492-11f1-a294-00155d82e908")</f>
        <v>https://knigipp.ru/api/getInfo/image/2bcb85ec-4492-11f1-a294-00155d82e908</v>
      </c>
      <c r="AD1050" s="6"/>
      <c r="AE1050" s="6" t="s">
        <v>355</v>
      </c>
      <c r="AF1050" s="6" t="s">
        <v>127</v>
      </c>
      <c r="AG1050" s="6"/>
      <c r="AH1050" s="6" t="s">
        <v>56</v>
      </c>
      <c r="AI1050" s="6"/>
      <c r="AJ1050" s="6"/>
      <c r="AK1050" s="6" t="str">
        <f>HYPERLINK("https://knigipp.ru/api/getInfo/item/2bcb85ec-4492-11f1-a294-00155d82e908")</f>
        <v>https://knigipp.ru/api/getInfo/item/2bcb85ec-4492-11f1-a294-00155d82e908</v>
      </c>
      <c r="AL1050" s="6" t="s">
        <v>4499</v>
      </c>
    </row>
    <row r="1051" spans="1:38" ht="21" customHeight="1" outlineLevel="3" x14ac:dyDescent="0.2">
      <c r="A1051" s="2">
        <v>791</v>
      </c>
      <c r="B1051" s="3" t="s">
        <v>4505</v>
      </c>
      <c r="C1051" s="49" t="s">
        <v>4506</v>
      </c>
      <c r="D1051" s="49"/>
      <c r="E1051" s="49"/>
      <c r="F1051" s="49"/>
      <c r="G1051" s="4" t="s">
        <v>4507</v>
      </c>
      <c r="H1051" s="8"/>
      <c r="I1051" s="9" t="s">
        <v>4496</v>
      </c>
      <c r="J1051" s="10"/>
      <c r="K1051" s="11">
        <v>10</v>
      </c>
      <c r="L1051" s="10"/>
      <c r="M1051" s="10" t="s">
        <v>47</v>
      </c>
      <c r="N1051" s="10"/>
      <c r="O1051" s="2">
        <v>2</v>
      </c>
      <c r="P1051" s="17">
        <f>477*(1-S3/100)</f>
        <v>477</v>
      </c>
      <c r="Q1051" s="18"/>
      <c r="R1051" s="10">
        <f>P1051*Q1051</f>
        <v>0</v>
      </c>
      <c r="S1051" s="19">
        <f>0.291*Q1051</f>
        <v>0</v>
      </c>
      <c r="T1051" s="20">
        <f>0.00054*Q1051</f>
        <v>0</v>
      </c>
      <c r="U1051" s="21"/>
      <c r="V1051" s="22" t="s">
        <v>4508</v>
      </c>
      <c r="W1051" s="22" t="s">
        <v>191</v>
      </c>
      <c r="X1051" s="3"/>
      <c r="Y1051" s="3" t="s">
        <v>4498</v>
      </c>
      <c r="Z1051" s="3" t="s">
        <v>52</v>
      </c>
      <c r="AA1051" s="3"/>
      <c r="AB1051" s="3"/>
      <c r="AC1051" s="3" t="str">
        <f>HYPERLINK("https://knigipp.ru/api/getInfo/image/b6446d2e-6e18-11f0-a284-00155d82e908")</f>
        <v>https://knigipp.ru/api/getInfo/image/b6446d2e-6e18-11f0-a284-00155d82e908</v>
      </c>
      <c r="AD1051" s="3"/>
      <c r="AE1051" s="3"/>
      <c r="AF1051" s="3" t="s">
        <v>127</v>
      </c>
      <c r="AG1051" s="3"/>
      <c r="AH1051" s="3" t="s">
        <v>56</v>
      </c>
      <c r="AI1051" s="3"/>
      <c r="AJ1051" s="3"/>
      <c r="AK1051" s="3" t="str">
        <f>HYPERLINK("https://knigipp.ru/api/getInfo/item/b6446d2e-6e18-11f0-a284-00155d82e908")</f>
        <v>https://knigipp.ru/api/getInfo/item/b6446d2e-6e18-11f0-a284-00155d82e908</v>
      </c>
      <c r="AL1051" s="3" t="s">
        <v>4499</v>
      </c>
    </row>
    <row r="1052" spans="1:38" ht="23.1" customHeight="1" outlineLevel="2" x14ac:dyDescent="0.2">
      <c r="A1052" s="47" t="s">
        <v>4509</v>
      </c>
      <c r="B1052" s="47"/>
      <c r="C1052" s="47"/>
      <c r="D1052" s="47"/>
      <c r="E1052" s="47"/>
      <c r="F1052" s="47"/>
    </row>
    <row r="1053" spans="1:38" ht="21" customHeight="1" outlineLevel="3" x14ac:dyDescent="0.2">
      <c r="A1053" s="2">
        <v>792</v>
      </c>
      <c r="B1053" s="3" t="s">
        <v>4510</v>
      </c>
      <c r="C1053" s="49" t="s">
        <v>4511</v>
      </c>
      <c r="D1053" s="49"/>
      <c r="E1053" s="49"/>
      <c r="F1053" s="49"/>
      <c r="G1053" s="4" t="s">
        <v>4512</v>
      </c>
      <c r="H1053" s="8"/>
      <c r="I1053" s="9" t="s">
        <v>4513</v>
      </c>
      <c r="J1053" s="10"/>
      <c r="K1053" s="11">
        <v>30</v>
      </c>
      <c r="L1053" s="10"/>
      <c r="M1053" s="10" t="s">
        <v>78</v>
      </c>
      <c r="N1053" s="10"/>
      <c r="O1053" s="2">
        <v>20</v>
      </c>
      <c r="P1053" s="17">
        <f>39*(1-S3/100)</f>
        <v>39</v>
      </c>
      <c r="Q1053" s="18"/>
      <c r="R1053" s="10">
        <f>P1053*Q1053</f>
        <v>0</v>
      </c>
      <c r="S1053" s="10">
        <v>0</v>
      </c>
      <c r="T1053" s="10">
        <v>0</v>
      </c>
      <c r="U1053" s="21"/>
      <c r="V1053" s="22" t="s">
        <v>4514</v>
      </c>
      <c r="W1053" s="22" t="s">
        <v>49</v>
      </c>
      <c r="X1053" s="3"/>
      <c r="Y1053" s="3"/>
      <c r="Z1053" s="3" t="s">
        <v>52</v>
      </c>
      <c r="AA1053" s="3"/>
      <c r="AB1053" s="3"/>
      <c r="AC1053" s="3" t="str">
        <f>HYPERLINK("https://knigipp.ru/api/getInfo/image/b94f44bb-0440-11ee-a23b-00155d82e902")</f>
        <v>https://knigipp.ru/api/getInfo/image/b94f44bb-0440-11ee-a23b-00155d82e902</v>
      </c>
      <c r="AD1053" s="32">
        <v>64</v>
      </c>
      <c r="AE1053" s="3" t="s">
        <v>54</v>
      </c>
      <c r="AF1053" s="3" t="s">
        <v>136</v>
      </c>
      <c r="AG1053" s="3"/>
      <c r="AH1053" s="3" t="s">
        <v>56</v>
      </c>
      <c r="AI1053" s="3"/>
      <c r="AJ1053" s="3"/>
      <c r="AK1053" s="3" t="str">
        <f>HYPERLINK("https://knigipp.ru/api/getInfo/item/b94f44bb-0440-11ee-a23b-00155d82e902")</f>
        <v>https://knigipp.ru/api/getInfo/item/b94f44bb-0440-11ee-a23b-00155d82e902</v>
      </c>
      <c r="AL1053" s="3" t="s">
        <v>4515</v>
      </c>
    </row>
    <row r="1054" spans="1:38" ht="21" customHeight="1" outlineLevel="3" x14ac:dyDescent="0.2">
      <c r="A1054" s="2">
        <v>793</v>
      </c>
      <c r="B1054" s="3" t="s">
        <v>4516</v>
      </c>
      <c r="C1054" s="49" t="s">
        <v>4517</v>
      </c>
      <c r="D1054" s="49"/>
      <c r="E1054" s="49"/>
      <c r="F1054" s="49"/>
      <c r="G1054" s="4" t="s">
        <v>4518</v>
      </c>
      <c r="H1054" s="8"/>
      <c r="I1054" s="9" t="s">
        <v>4513</v>
      </c>
      <c r="J1054" s="10"/>
      <c r="K1054" s="11">
        <v>30</v>
      </c>
      <c r="L1054" s="10"/>
      <c r="M1054" s="10" t="s">
        <v>47</v>
      </c>
      <c r="N1054" s="10"/>
      <c r="O1054" s="2">
        <v>20</v>
      </c>
      <c r="P1054" s="17">
        <f>39*(1-S3/100)</f>
        <v>39</v>
      </c>
      <c r="Q1054" s="18"/>
      <c r="R1054" s="10">
        <f>P1054*Q1054</f>
        <v>0</v>
      </c>
      <c r="S1054" s="10">
        <v>0</v>
      </c>
      <c r="T1054" s="10">
        <v>0</v>
      </c>
      <c r="U1054" s="21"/>
      <c r="V1054" s="22" t="s">
        <v>4519</v>
      </c>
      <c r="W1054" s="22" t="s">
        <v>49</v>
      </c>
      <c r="X1054" s="3"/>
      <c r="Y1054" s="3"/>
      <c r="Z1054" s="3" t="s">
        <v>52</v>
      </c>
      <c r="AA1054" s="3"/>
      <c r="AB1054" s="3"/>
      <c r="AC1054" s="3" t="str">
        <f>HYPERLINK("https://knigipp.ru/api/getInfo/image/5222fe80-0440-11ee-a23b-00155d82e902")</f>
        <v>https://knigipp.ru/api/getInfo/image/5222fe80-0440-11ee-a23b-00155d82e902</v>
      </c>
      <c r="AD1054" s="32">
        <v>64</v>
      </c>
      <c r="AE1054" s="3" t="s">
        <v>54</v>
      </c>
      <c r="AF1054" s="3" t="s">
        <v>136</v>
      </c>
      <c r="AG1054" s="3"/>
      <c r="AH1054" s="3" t="s">
        <v>56</v>
      </c>
      <c r="AI1054" s="3"/>
      <c r="AJ1054" s="3"/>
      <c r="AK1054" s="3" t="str">
        <f>HYPERLINK("https://knigipp.ru/api/getInfo/item/5222fe80-0440-11ee-a23b-00155d82e902")</f>
        <v>https://knigipp.ru/api/getInfo/item/5222fe80-0440-11ee-a23b-00155d82e902</v>
      </c>
      <c r="AL1054" s="3" t="s">
        <v>4515</v>
      </c>
    </row>
    <row r="1055" spans="1:38" ht="21" customHeight="1" outlineLevel="3" x14ac:dyDescent="0.2">
      <c r="A1055" s="2">
        <v>794</v>
      </c>
      <c r="B1055" s="3" t="s">
        <v>4520</v>
      </c>
      <c r="C1055" s="49" t="s">
        <v>4521</v>
      </c>
      <c r="D1055" s="49"/>
      <c r="E1055" s="49"/>
      <c r="F1055" s="49"/>
      <c r="G1055" s="4" t="s">
        <v>4522</v>
      </c>
      <c r="H1055" s="8"/>
      <c r="I1055" s="9" t="s">
        <v>4513</v>
      </c>
      <c r="J1055" s="10"/>
      <c r="K1055" s="11">
        <v>30</v>
      </c>
      <c r="L1055" s="10"/>
      <c r="M1055" s="10" t="s">
        <v>47</v>
      </c>
      <c r="N1055" s="10"/>
      <c r="O1055" s="2">
        <v>20</v>
      </c>
      <c r="P1055" s="17">
        <f>39*(1-S3/100)</f>
        <v>39</v>
      </c>
      <c r="Q1055" s="18"/>
      <c r="R1055" s="10">
        <f>P1055*Q1055</f>
        <v>0</v>
      </c>
      <c r="S1055" s="10">
        <v>0</v>
      </c>
      <c r="T1055" s="10">
        <v>0</v>
      </c>
      <c r="U1055" s="21"/>
      <c r="V1055" s="22" t="s">
        <v>4523</v>
      </c>
      <c r="W1055" s="22" t="s">
        <v>49</v>
      </c>
      <c r="X1055" s="3"/>
      <c r="Y1055" s="3"/>
      <c r="Z1055" s="3" t="s">
        <v>52</v>
      </c>
      <c r="AA1055" s="3"/>
      <c r="AB1055" s="3"/>
      <c r="AC1055" s="3" t="str">
        <f>HYPERLINK("https://knigipp.ru/api/getInfo/image/2c10526c-0440-11ee-a23b-00155d82e902")</f>
        <v>https://knigipp.ru/api/getInfo/image/2c10526c-0440-11ee-a23b-00155d82e902</v>
      </c>
      <c r="AD1055" s="32">
        <v>64</v>
      </c>
      <c r="AE1055" s="3" t="s">
        <v>54</v>
      </c>
      <c r="AF1055" s="3" t="s">
        <v>136</v>
      </c>
      <c r="AG1055" s="3"/>
      <c r="AH1055" s="3" t="s">
        <v>56</v>
      </c>
      <c r="AI1055" s="3"/>
      <c r="AJ1055" s="3"/>
      <c r="AK1055" s="3" t="str">
        <f>HYPERLINK("https://knigipp.ru/api/getInfo/item/2c10526c-0440-11ee-a23b-00155d82e902")</f>
        <v>https://knigipp.ru/api/getInfo/item/2c10526c-0440-11ee-a23b-00155d82e902</v>
      </c>
      <c r="AL1055" s="3" t="s">
        <v>4515</v>
      </c>
    </row>
    <row r="1056" spans="1:38" ht="21" customHeight="1" outlineLevel="3" x14ac:dyDescent="0.2">
      <c r="A1056" s="2">
        <v>795</v>
      </c>
      <c r="B1056" s="3" t="s">
        <v>4524</v>
      </c>
      <c r="C1056" s="49" t="s">
        <v>4525</v>
      </c>
      <c r="D1056" s="49"/>
      <c r="E1056" s="49"/>
      <c r="F1056" s="49"/>
      <c r="G1056" s="4" t="s">
        <v>4526</v>
      </c>
      <c r="H1056" s="8"/>
      <c r="I1056" s="9" t="s">
        <v>4513</v>
      </c>
      <c r="J1056" s="10"/>
      <c r="K1056" s="11">
        <v>30</v>
      </c>
      <c r="L1056" s="10"/>
      <c r="M1056" s="10" t="s">
        <v>47</v>
      </c>
      <c r="N1056" s="10"/>
      <c r="O1056" s="2">
        <v>20</v>
      </c>
      <c r="P1056" s="17">
        <f>39*(1-S3/100)</f>
        <v>39</v>
      </c>
      <c r="Q1056" s="18"/>
      <c r="R1056" s="10">
        <f>P1056*Q1056</f>
        <v>0</v>
      </c>
      <c r="S1056" s="10">
        <v>0</v>
      </c>
      <c r="T1056" s="10">
        <v>0</v>
      </c>
      <c r="U1056" s="21"/>
      <c r="V1056" s="22" t="s">
        <v>4527</v>
      </c>
      <c r="W1056" s="22" t="s">
        <v>49</v>
      </c>
      <c r="X1056" s="3"/>
      <c r="Y1056" s="3"/>
      <c r="Z1056" s="3" t="s">
        <v>52</v>
      </c>
      <c r="AA1056" s="3"/>
      <c r="AB1056" s="3"/>
      <c r="AC1056" s="3" t="str">
        <f>HYPERLINK("https://knigipp.ru/api/getInfo/image/873b69fa-0440-11ee-a23b-00155d82e902")</f>
        <v>https://knigipp.ru/api/getInfo/image/873b69fa-0440-11ee-a23b-00155d82e902</v>
      </c>
      <c r="AD1056" s="32">
        <v>64</v>
      </c>
      <c r="AE1056" s="3" t="s">
        <v>54</v>
      </c>
      <c r="AF1056" s="3" t="s">
        <v>136</v>
      </c>
      <c r="AG1056" s="3"/>
      <c r="AH1056" s="3" t="s">
        <v>56</v>
      </c>
      <c r="AI1056" s="3"/>
      <c r="AJ1056" s="3"/>
      <c r="AK1056" s="3" t="str">
        <f>HYPERLINK("https://knigipp.ru/api/getInfo/item/873b69fa-0440-11ee-a23b-00155d82e902")</f>
        <v>https://knigipp.ru/api/getInfo/item/873b69fa-0440-11ee-a23b-00155d82e902</v>
      </c>
      <c r="AL1056" s="3" t="s">
        <v>4515</v>
      </c>
    </row>
    <row r="1057" spans="1:38" ht="23.1" customHeight="1" outlineLevel="2" x14ac:dyDescent="0.2">
      <c r="A1057" s="47" t="s">
        <v>4528</v>
      </c>
      <c r="B1057" s="47"/>
      <c r="C1057" s="47"/>
      <c r="D1057" s="47"/>
      <c r="E1057" s="47"/>
      <c r="F1057" s="47"/>
    </row>
    <row r="1058" spans="1:38" ht="21" customHeight="1" outlineLevel="3" x14ac:dyDescent="0.2">
      <c r="A1058" s="2">
        <v>796</v>
      </c>
      <c r="B1058" s="3" t="s">
        <v>4529</v>
      </c>
      <c r="C1058" s="49" t="s">
        <v>4530</v>
      </c>
      <c r="D1058" s="49"/>
      <c r="E1058" s="49"/>
      <c r="F1058" s="49"/>
      <c r="G1058" s="4" t="s">
        <v>4531</v>
      </c>
      <c r="H1058" s="8"/>
      <c r="I1058" s="9" t="s">
        <v>4532</v>
      </c>
      <c r="J1058" s="10"/>
      <c r="K1058" s="11">
        <v>20</v>
      </c>
      <c r="L1058" s="10"/>
      <c r="M1058" s="10" t="s">
        <v>47</v>
      </c>
      <c r="N1058" s="10"/>
      <c r="O1058" s="2">
        <v>3</v>
      </c>
      <c r="P1058" s="17">
        <f>199*(1-S3/100)</f>
        <v>199</v>
      </c>
      <c r="Q1058" s="18"/>
      <c r="R1058" s="10">
        <f>P1058*Q1058</f>
        <v>0</v>
      </c>
      <c r="S1058" s="19">
        <f>0.155*Q1058</f>
        <v>0</v>
      </c>
      <c r="T1058" s="20">
        <f>0.00034*Q1058</f>
        <v>0</v>
      </c>
      <c r="U1058" s="21"/>
      <c r="V1058" s="22" t="s">
        <v>4533</v>
      </c>
      <c r="W1058" s="22" t="s">
        <v>49</v>
      </c>
      <c r="X1058" s="3"/>
      <c r="Y1058" s="3" t="s">
        <v>4534</v>
      </c>
      <c r="Z1058" s="3" t="s">
        <v>52</v>
      </c>
      <c r="AA1058" s="3"/>
      <c r="AB1058" s="3"/>
      <c r="AC1058" s="3" t="str">
        <f>HYPERLINK("https://knigipp.ru/api/getInfo/image/23e5b17a-c4f5-11ef-a268-00155d82e908")</f>
        <v>https://knigipp.ru/api/getInfo/image/23e5b17a-c4f5-11ef-a268-00155d82e908</v>
      </c>
      <c r="AD1058" s="32">
        <v>48</v>
      </c>
      <c r="AE1058" s="3" t="s">
        <v>54</v>
      </c>
      <c r="AF1058" s="3" t="s">
        <v>55</v>
      </c>
      <c r="AG1058" s="3"/>
      <c r="AH1058" s="3" t="s">
        <v>56</v>
      </c>
      <c r="AI1058" s="3"/>
      <c r="AJ1058" s="3"/>
      <c r="AK1058" s="3" t="str">
        <f>HYPERLINK("https://knigipp.ru/api/getInfo/item/23e5b17a-c4f5-11ef-a268-00155d82e908")</f>
        <v>https://knigipp.ru/api/getInfo/item/23e5b17a-c4f5-11ef-a268-00155d82e908</v>
      </c>
      <c r="AL1058" s="3" t="s">
        <v>4535</v>
      </c>
    </row>
    <row r="1059" spans="1:38" ht="21" customHeight="1" outlineLevel="3" x14ac:dyDescent="0.2">
      <c r="A1059" s="2">
        <v>797</v>
      </c>
      <c r="B1059" s="3" t="s">
        <v>4536</v>
      </c>
      <c r="C1059" s="49" t="s">
        <v>4537</v>
      </c>
      <c r="D1059" s="49"/>
      <c r="E1059" s="49"/>
      <c r="F1059" s="49"/>
      <c r="G1059" s="4" t="s">
        <v>4538</v>
      </c>
      <c r="H1059" s="8"/>
      <c r="I1059" s="9" t="s">
        <v>4532</v>
      </c>
      <c r="J1059" s="10"/>
      <c r="K1059" s="11">
        <v>20</v>
      </c>
      <c r="L1059" s="10"/>
      <c r="M1059" s="10" t="s">
        <v>47</v>
      </c>
      <c r="N1059" s="10"/>
      <c r="O1059" s="2">
        <v>3</v>
      </c>
      <c r="P1059" s="17">
        <f>199*(1-S3/100)</f>
        <v>199</v>
      </c>
      <c r="Q1059" s="18"/>
      <c r="R1059" s="10">
        <f>P1059*Q1059</f>
        <v>0</v>
      </c>
      <c r="S1059" s="19">
        <f>0.152*Q1059</f>
        <v>0</v>
      </c>
      <c r="T1059" s="20">
        <f>0.00034*Q1059</f>
        <v>0</v>
      </c>
      <c r="U1059" s="21"/>
      <c r="V1059" s="22" t="s">
        <v>4539</v>
      </c>
      <c r="W1059" s="22" t="s">
        <v>49</v>
      </c>
      <c r="X1059" s="3"/>
      <c r="Y1059" s="3" t="s">
        <v>4540</v>
      </c>
      <c r="Z1059" s="3" t="s">
        <v>52</v>
      </c>
      <c r="AA1059" s="3"/>
      <c r="AB1059" s="3"/>
      <c r="AC1059" s="3" t="str">
        <f>HYPERLINK("https://knigipp.ru/api/getInfo/image/56464fae-c4f5-11ef-a268-00155d82e908")</f>
        <v>https://knigipp.ru/api/getInfo/image/56464fae-c4f5-11ef-a268-00155d82e908</v>
      </c>
      <c r="AD1059" s="32">
        <v>48</v>
      </c>
      <c r="AE1059" s="3" t="s">
        <v>54</v>
      </c>
      <c r="AF1059" s="3" t="s">
        <v>55</v>
      </c>
      <c r="AG1059" s="3"/>
      <c r="AH1059" s="3" t="s">
        <v>56</v>
      </c>
      <c r="AI1059" s="3"/>
      <c r="AJ1059" s="3"/>
      <c r="AK1059" s="3" t="str">
        <f>HYPERLINK("https://knigipp.ru/api/getInfo/item/56464fae-c4f5-11ef-a268-00155d82e908")</f>
        <v>https://knigipp.ru/api/getInfo/item/56464fae-c4f5-11ef-a268-00155d82e908</v>
      </c>
      <c r="AL1059" s="3" t="s">
        <v>4535</v>
      </c>
    </row>
    <row r="1060" spans="1:38" ht="23.1" customHeight="1" outlineLevel="2" x14ac:dyDescent="0.2">
      <c r="A1060" s="47" t="s">
        <v>4541</v>
      </c>
      <c r="B1060" s="47"/>
      <c r="C1060" s="47"/>
      <c r="D1060" s="47"/>
      <c r="E1060" s="47"/>
      <c r="F1060" s="47"/>
    </row>
    <row r="1061" spans="1:38" ht="21" customHeight="1" outlineLevel="3" x14ac:dyDescent="0.2">
      <c r="A1061" s="2">
        <v>798</v>
      </c>
      <c r="B1061" s="3" t="s">
        <v>4542</v>
      </c>
      <c r="C1061" s="49" t="s">
        <v>4543</v>
      </c>
      <c r="D1061" s="49"/>
      <c r="E1061" s="49"/>
      <c r="F1061" s="49"/>
      <c r="G1061" s="4" t="s">
        <v>4544</v>
      </c>
      <c r="H1061" s="8"/>
      <c r="I1061" s="9" t="s">
        <v>4545</v>
      </c>
      <c r="J1061" s="10"/>
      <c r="K1061" s="11">
        <v>30</v>
      </c>
      <c r="L1061" s="10"/>
      <c r="M1061" s="10" t="s">
        <v>47</v>
      </c>
      <c r="N1061" s="10"/>
      <c r="O1061" s="2">
        <v>8</v>
      </c>
      <c r="P1061" s="17">
        <f>79*(1-S3/100)</f>
        <v>79</v>
      </c>
      <c r="Q1061" s="18"/>
      <c r="R1061" s="10">
        <f>P1061*Q1061</f>
        <v>0</v>
      </c>
      <c r="S1061" s="19">
        <f>0.095*Q1061</f>
        <v>0</v>
      </c>
      <c r="T1061" s="20">
        <f>0.00018*Q1061</f>
        <v>0</v>
      </c>
      <c r="U1061" s="21"/>
      <c r="V1061" s="22" t="s">
        <v>4546</v>
      </c>
      <c r="W1061" s="22" t="s">
        <v>191</v>
      </c>
      <c r="X1061" s="3"/>
      <c r="Y1061" s="3" t="s">
        <v>4547</v>
      </c>
      <c r="Z1061" s="3" t="s">
        <v>52</v>
      </c>
      <c r="AA1061" s="3"/>
      <c r="AB1061" s="3"/>
      <c r="AC1061" s="3" t="str">
        <f>HYPERLINK("https://knigipp.ru/api/getInfo/image/f6bf7b78-4f36-11ef-a262-00155d82e908")</f>
        <v>https://knigipp.ru/api/getInfo/image/f6bf7b78-4f36-11ef-a262-00155d82e908</v>
      </c>
      <c r="AD1061" s="32">
        <v>48</v>
      </c>
      <c r="AE1061" s="3" t="s">
        <v>54</v>
      </c>
      <c r="AF1061" s="3" t="s">
        <v>136</v>
      </c>
      <c r="AG1061" s="3"/>
      <c r="AH1061" s="3" t="s">
        <v>56</v>
      </c>
      <c r="AI1061" s="3"/>
      <c r="AJ1061" s="3"/>
      <c r="AK1061" s="3" t="str">
        <f>HYPERLINK("https://knigipp.ru/api/getInfo/item/f6bf7b78-4f36-11ef-a262-00155d82e908")</f>
        <v>https://knigipp.ru/api/getInfo/item/f6bf7b78-4f36-11ef-a262-00155d82e908</v>
      </c>
      <c r="AL1061" s="3" t="s">
        <v>4548</v>
      </c>
    </row>
    <row r="1062" spans="1:38" ht="21" customHeight="1" outlineLevel="3" x14ac:dyDescent="0.2">
      <c r="A1062" s="2">
        <v>799</v>
      </c>
      <c r="B1062" s="3" t="s">
        <v>4549</v>
      </c>
      <c r="C1062" s="49" t="s">
        <v>4550</v>
      </c>
      <c r="D1062" s="49"/>
      <c r="E1062" s="49"/>
      <c r="F1062" s="49"/>
      <c r="G1062" s="4" t="s">
        <v>4551</v>
      </c>
      <c r="H1062" s="8"/>
      <c r="I1062" s="9" t="s">
        <v>4545</v>
      </c>
      <c r="J1062" s="10"/>
      <c r="K1062" s="11">
        <v>30</v>
      </c>
      <c r="L1062" s="10"/>
      <c r="M1062" s="10" t="s">
        <v>47</v>
      </c>
      <c r="N1062" s="10"/>
      <c r="O1062" s="2">
        <v>8</v>
      </c>
      <c r="P1062" s="17">
        <f>79*(1-S3/100)</f>
        <v>79</v>
      </c>
      <c r="Q1062" s="18"/>
      <c r="R1062" s="10">
        <f>P1062*Q1062</f>
        <v>0</v>
      </c>
      <c r="S1062" s="19">
        <f>0.099*Q1062</f>
        <v>0</v>
      </c>
      <c r="T1062" s="20">
        <f>0.00015*Q1062</f>
        <v>0</v>
      </c>
      <c r="U1062" s="21"/>
      <c r="V1062" s="22" t="s">
        <v>4552</v>
      </c>
      <c r="W1062" s="22" t="s">
        <v>191</v>
      </c>
      <c r="X1062" s="3"/>
      <c r="Y1062" s="3" t="s">
        <v>4553</v>
      </c>
      <c r="Z1062" s="3" t="s">
        <v>52</v>
      </c>
      <c r="AA1062" s="3"/>
      <c r="AB1062" s="3"/>
      <c r="AC1062" s="3" t="str">
        <f>HYPERLINK("https://knigipp.ru/api/getInfo/image/240063cb-4f37-11ef-a262-00155d82e908")</f>
        <v>https://knigipp.ru/api/getInfo/image/240063cb-4f37-11ef-a262-00155d82e908</v>
      </c>
      <c r="AD1062" s="32">
        <v>48</v>
      </c>
      <c r="AE1062" s="3" t="s">
        <v>54</v>
      </c>
      <c r="AF1062" s="3" t="s">
        <v>136</v>
      </c>
      <c r="AG1062" s="3"/>
      <c r="AH1062" s="3" t="s">
        <v>56</v>
      </c>
      <c r="AI1062" s="3"/>
      <c r="AJ1062" s="3"/>
      <c r="AK1062" s="3" t="str">
        <f>HYPERLINK("https://knigipp.ru/api/getInfo/item/240063cb-4f37-11ef-a262-00155d82e908")</f>
        <v>https://knigipp.ru/api/getInfo/item/240063cb-4f37-11ef-a262-00155d82e908</v>
      </c>
      <c r="AL1062" s="3" t="s">
        <v>4548</v>
      </c>
    </row>
    <row r="1063" spans="1:38" ht="21" customHeight="1" outlineLevel="3" x14ac:dyDescent="0.2">
      <c r="A1063" s="2">
        <v>800</v>
      </c>
      <c r="B1063" s="3" t="s">
        <v>4554</v>
      </c>
      <c r="C1063" s="49" t="s">
        <v>4555</v>
      </c>
      <c r="D1063" s="49"/>
      <c r="E1063" s="49"/>
      <c r="F1063" s="49"/>
      <c r="G1063" s="4" t="s">
        <v>4556</v>
      </c>
      <c r="H1063" s="8"/>
      <c r="I1063" s="9" t="s">
        <v>4545</v>
      </c>
      <c r="J1063" s="10"/>
      <c r="K1063" s="11">
        <v>30</v>
      </c>
      <c r="L1063" s="10"/>
      <c r="M1063" s="10" t="s">
        <v>47</v>
      </c>
      <c r="N1063" s="10"/>
      <c r="O1063" s="2">
        <v>8</v>
      </c>
      <c r="P1063" s="17">
        <f>79*(1-S3/100)</f>
        <v>79</v>
      </c>
      <c r="Q1063" s="18"/>
      <c r="R1063" s="10">
        <f>P1063*Q1063</f>
        <v>0</v>
      </c>
      <c r="S1063" s="19">
        <f>0.061*Q1063</f>
        <v>0</v>
      </c>
      <c r="T1063" s="20">
        <f>0.00033*Q1063</f>
        <v>0</v>
      </c>
      <c r="U1063" s="21"/>
      <c r="V1063" s="22" t="s">
        <v>4557</v>
      </c>
      <c r="W1063" s="22" t="s">
        <v>191</v>
      </c>
      <c r="X1063" s="3"/>
      <c r="Y1063" s="3" t="s">
        <v>4558</v>
      </c>
      <c r="Z1063" s="3" t="s">
        <v>52</v>
      </c>
      <c r="AA1063" s="3"/>
      <c r="AB1063" s="3"/>
      <c r="AC1063" s="3" t="str">
        <f>HYPERLINK("https://knigipp.ru/api/getInfo/image/527e971a-4f37-11ef-a262-00155d82e908")</f>
        <v>https://knigipp.ru/api/getInfo/image/527e971a-4f37-11ef-a262-00155d82e908</v>
      </c>
      <c r="AD1063" s="32">
        <v>48</v>
      </c>
      <c r="AE1063" s="3" t="s">
        <v>54</v>
      </c>
      <c r="AF1063" s="3" t="s">
        <v>136</v>
      </c>
      <c r="AG1063" s="3"/>
      <c r="AH1063" s="3" t="s">
        <v>56</v>
      </c>
      <c r="AI1063" s="3"/>
      <c r="AJ1063" s="3"/>
      <c r="AK1063" s="3" t="str">
        <f>HYPERLINK("https://knigipp.ru/api/getInfo/item/527e971a-4f37-11ef-a262-00155d82e908")</f>
        <v>https://knigipp.ru/api/getInfo/item/527e971a-4f37-11ef-a262-00155d82e908</v>
      </c>
      <c r="AL1063" s="3" t="s">
        <v>4548</v>
      </c>
    </row>
    <row r="1064" spans="1:38" ht="21" customHeight="1" outlineLevel="3" x14ac:dyDescent="0.2">
      <c r="A1064" s="2">
        <v>801</v>
      </c>
      <c r="B1064" s="3" t="s">
        <v>4559</v>
      </c>
      <c r="C1064" s="49" t="s">
        <v>4560</v>
      </c>
      <c r="D1064" s="49"/>
      <c r="E1064" s="49"/>
      <c r="F1064" s="49"/>
      <c r="G1064" s="4" t="s">
        <v>4561</v>
      </c>
      <c r="H1064" s="8"/>
      <c r="I1064" s="9" t="s">
        <v>4545</v>
      </c>
      <c r="J1064" s="10"/>
      <c r="K1064" s="11">
        <v>30</v>
      </c>
      <c r="L1064" s="10"/>
      <c r="M1064" s="10" t="s">
        <v>304</v>
      </c>
      <c r="N1064" s="10"/>
      <c r="O1064" s="2">
        <v>8</v>
      </c>
      <c r="P1064" s="17">
        <f>79*(1-S3/100)</f>
        <v>79</v>
      </c>
      <c r="Q1064" s="18"/>
      <c r="R1064" s="10">
        <f>P1064*Q1064</f>
        <v>0</v>
      </c>
      <c r="S1064" s="19">
        <f>0.095*Q1064</f>
        <v>0</v>
      </c>
      <c r="T1064" s="20">
        <f>0.00025*Q1064</f>
        <v>0</v>
      </c>
      <c r="U1064" s="21"/>
      <c r="V1064" s="22" t="s">
        <v>4562</v>
      </c>
      <c r="W1064" s="22" t="s">
        <v>191</v>
      </c>
      <c r="X1064" s="3"/>
      <c r="Y1064" s="3" t="s">
        <v>4563</v>
      </c>
      <c r="Z1064" s="3" t="s">
        <v>52</v>
      </c>
      <c r="AA1064" s="3"/>
      <c r="AB1064" s="3"/>
      <c r="AC1064" s="3" t="str">
        <f>HYPERLINK("https://knigipp.ru/api/getInfo/image/6df7fb0f-4f37-11ef-a262-00155d82e908")</f>
        <v>https://knigipp.ru/api/getInfo/image/6df7fb0f-4f37-11ef-a262-00155d82e908</v>
      </c>
      <c r="AD1064" s="32">
        <v>48</v>
      </c>
      <c r="AE1064" s="3" t="s">
        <v>54</v>
      </c>
      <c r="AF1064" s="3" t="s">
        <v>136</v>
      </c>
      <c r="AG1064" s="3"/>
      <c r="AH1064" s="3" t="s">
        <v>56</v>
      </c>
      <c r="AI1064" s="3"/>
      <c r="AJ1064" s="3"/>
      <c r="AK1064" s="3" t="str">
        <f>HYPERLINK("https://knigipp.ru/api/getInfo/item/6df7fb0f-4f37-11ef-a262-00155d82e908")</f>
        <v>https://knigipp.ru/api/getInfo/item/6df7fb0f-4f37-11ef-a262-00155d82e908</v>
      </c>
      <c r="AL1064" s="3" t="s">
        <v>4548</v>
      </c>
    </row>
    <row r="1065" spans="1:38" ht="23.1" customHeight="1" outlineLevel="2" x14ac:dyDescent="0.2">
      <c r="A1065" s="47" t="s">
        <v>4564</v>
      </c>
      <c r="B1065" s="47"/>
      <c r="C1065" s="47"/>
      <c r="D1065" s="47"/>
      <c r="E1065" s="47"/>
      <c r="F1065" s="47"/>
    </row>
    <row r="1066" spans="1:38" ht="21" customHeight="1" outlineLevel="3" x14ac:dyDescent="0.2">
      <c r="A1066" s="2">
        <v>802</v>
      </c>
      <c r="B1066" s="3" t="s">
        <v>4565</v>
      </c>
      <c r="C1066" s="49" t="s">
        <v>4566</v>
      </c>
      <c r="D1066" s="49"/>
      <c r="E1066" s="49"/>
      <c r="F1066" s="49"/>
      <c r="G1066" s="4" t="s">
        <v>4567</v>
      </c>
      <c r="H1066" s="8"/>
      <c r="I1066" s="9" t="s">
        <v>4568</v>
      </c>
      <c r="J1066" s="10"/>
      <c r="K1066" s="11">
        <v>30</v>
      </c>
      <c r="L1066" s="10"/>
      <c r="M1066" s="10" t="s">
        <v>47</v>
      </c>
      <c r="N1066" s="10"/>
      <c r="O1066" s="2">
        <v>10</v>
      </c>
      <c r="P1066" s="17">
        <f>69.7*(1-S3/100)</f>
        <v>69.7</v>
      </c>
      <c r="Q1066" s="18"/>
      <c r="R1066" s="10">
        <f>P1066*Q1066</f>
        <v>0</v>
      </c>
      <c r="S1066" s="19">
        <f>0.065*Q1066</f>
        <v>0</v>
      </c>
      <c r="T1066" s="20">
        <f>0.00045*Q1066</f>
        <v>0</v>
      </c>
      <c r="U1066" s="21"/>
      <c r="V1066" s="22" t="s">
        <v>4569</v>
      </c>
      <c r="W1066" s="22" t="s">
        <v>191</v>
      </c>
      <c r="X1066" s="3"/>
      <c r="Y1066" s="3"/>
      <c r="Z1066" s="3" t="s">
        <v>52</v>
      </c>
      <c r="AA1066" s="3"/>
      <c r="AB1066" s="3"/>
      <c r="AC1066" s="3" t="str">
        <f>HYPERLINK("https://knigipp.ru/api/getInfo/image/3e489bb5-982a-11ee-a250-00155d82e908")</f>
        <v>https://knigipp.ru/api/getInfo/image/3e489bb5-982a-11ee-a250-00155d82e908</v>
      </c>
      <c r="AD1066" s="32">
        <v>32</v>
      </c>
      <c r="AE1066" s="3"/>
      <c r="AF1066" s="3" t="s">
        <v>136</v>
      </c>
      <c r="AG1066" s="3"/>
      <c r="AH1066" s="3" t="s">
        <v>56</v>
      </c>
      <c r="AI1066" s="3"/>
      <c r="AJ1066" s="3" t="s">
        <v>4570</v>
      </c>
      <c r="AK1066" s="3" t="str">
        <f>HYPERLINK("https://knigipp.ru/api/getInfo/item/3e489bb5-982a-11ee-a250-00155d82e908")</f>
        <v>https://knigipp.ru/api/getInfo/item/3e489bb5-982a-11ee-a250-00155d82e908</v>
      </c>
      <c r="AL1066" s="3" t="s">
        <v>4571</v>
      </c>
    </row>
    <row r="1067" spans="1:38" ht="21" customHeight="1" outlineLevel="3" x14ac:dyDescent="0.2">
      <c r="A1067" s="2">
        <v>803</v>
      </c>
      <c r="B1067" s="3" t="s">
        <v>4572</v>
      </c>
      <c r="C1067" s="49" t="s">
        <v>4573</v>
      </c>
      <c r="D1067" s="49"/>
      <c r="E1067" s="49"/>
      <c r="F1067" s="49"/>
      <c r="G1067" s="4" t="s">
        <v>4574</v>
      </c>
      <c r="H1067" s="8"/>
      <c r="I1067" s="9" t="s">
        <v>4568</v>
      </c>
      <c r="J1067" s="10"/>
      <c r="K1067" s="11">
        <v>30</v>
      </c>
      <c r="L1067" s="10"/>
      <c r="M1067" s="10" t="s">
        <v>47</v>
      </c>
      <c r="N1067" s="10"/>
      <c r="O1067" s="2">
        <v>10</v>
      </c>
      <c r="P1067" s="17">
        <f>69.7*(1-S3/100)</f>
        <v>69.7</v>
      </c>
      <c r="Q1067" s="18"/>
      <c r="R1067" s="10">
        <f>P1067*Q1067</f>
        <v>0</v>
      </c>
      <c r="S1067" s="19">
        <f>0.065*Q1067</f>
        <v>0</v>
      </c>
      <c r="T1067" s="20">
        <f>0.00017*Q1067</f>
        <v>0</v>
      </c>
      <c r="U1067" s="21"/>
      <c r="V1067" s="22" t="s">
        <v>4575</v>
      </c>
      <c r="W1067" s="22" t="s">
        <v>191</v>
      </c>
      <c r="X1067" s="3"/>
      <c r="Y1067" s="3"/>
      <c r="Z1067" s="3" t="s">
        <v>52</v>
      </c>
      <c r="AA1067" s="3"/>
      <c r="AB1067" s="3"/>
      <c r="AC1067" s="3" t="str">
        <f>HYPERLINK("https://knigipp.ru/api/getInfo/image/8dfc9bf0-982a-11ee-a250-00155d82e908")</f>
        <v>https://knigipp.ru/api/getInfo/image/8dfc9bf0-982a-11ee-a250-00155d82e908</v>
      </c>
      <c r="AD1067" s="32">
        <v>32</v>
      </c>
      <c r="AE1067" s="3"/>
      <c r="AF1067" s="3" t="s">
        <v>136</v>
      </c>
      <c r="AG1067" s="3"/>
      <c r="AH1067" s="3" t="s">
        <v>56</v>
      </c>
      <c r="AI1067" s="3"/>
      <c r="AJ1067" s="3" t="s">
        <v>4570</v>
      </c>
      <c r="AK1067" s="3" t="str">
        <f>HYPERLINK("https://knigipp.ru/api/getInfo/item/8dfc9bf0-982a-11ee-a250-00155d82e908")</f>
        <v>https://knigipp.ru/api/getInfo/item/8dfc9bf0-982a-11ee-a250-00155d82e908</v>
      </c>
      <c r="AL1067" s="3" t="s">
        <v>4571</v>
      </c>
    </row>
    <row r="1068" spans="1:38" ht="21" customHeight="1" outlineLevel="3" x14ac:dyDescent="0.2">
      <c r="A1068" s="2">
        <v>804</v>
      </c>
      <c r="B1068" s="3" t="s">
        <v>4576</v>
      </c>
      <c r="C1068" s="49" t="s">
        <v>4577</v>
      </c>
      <c r="D1068" s="49"/>
      <c r="E1068" s="49"/>
      <c r="F1068" s="49"/>
      <c r="G1068" s="4" t="s">
        <v>4578</v>
      </c>
      <c r="H1068" s="8"/>
      <c r="I1068" s="9" t="s">
        <v>4568</v>
      </c>
      <c r="J1068" s="10"/>
      <c r="K1068" s="11">
        <v>30</v>
      </c>
      <c r="L1068" s="10"/>
      <c r="M1068" s="10" t="s">
        <v>47</v>
      </c>
      <c r="N1068" s="10"/>
      <c r="O1068" s="2">
        <v>10</v>
      </c>
      <c r="P1068" s="17">
        <f>69.7*(1-S3/100)</f>
        <v>69.7</v>
      </c>
      <c r="Q1068" s="18"/>
      <c r="R1068" s="10">
        <f>P1068*Q1068</f>
        <v>0</v>
      </c>
      <c r="S1068" s="19">
        <f>0.065*Q1068</f>
        <v>0</v>
      </c>
      <c r="T1068" s="20">
        <f>0.00006*Q1068</f>
        <v>0</v>
      </c>
      <c r="U1068" s="21"/>
      <c r="V1068" s="22" t="s">
        <v>4579</v>
      </c>
      <c r="W1068" s="22" t="s">
        <v>191</v>
      </c>
      <c r="X1068" s="3"/>
      <c r="Y1068" s="3"/>
      <c r="Z1068" s="3" t="s">
        <v>52</v>
      </c>
      <c r="AA1068" s="3"/>
      <c r="AB1068" s="3"/>
      <c r="AC1068" s="3" t="str">
        <f>HYPERLINK("https://knigipp.ru/api/getInfo/image/69ed369f-9828-11ee-a250-00155d82e908")</f>
        <v>https://knigipp.ru/api/getInfo/image/69ed369f-9828-11ee-a250-00155d82e908</v>
      </c>
      <c r="AD1068" s="32">
        <v>32</v>
      </c>
      <c r="AE1068" s="3"/>
      <c r="AF1068" s="3" t="s">
        <v>136</v>
      </c>
      <c r="AG1068" s="3"/>
      <c r="AH1068" s="3" t="s">
        <v>56</v>
      </c>
      <c r="AI1068" s="3"/>
      <c r="AJ1068" s="3" t="s">
        <v>4570</v>
      </c>
      <c r="AK1068" s="3" t="str">
        <f>HYPERLINK("https://knigipp.ru/api/getInfo/item/69ed369f-9828-11ee-a250-00155d82e908")</f>
        <v>https://knigipp.ru/api/getInfo/item/69ed369f-9828-11ee-a250-00155d82e908</v>
      </c>
      <c r="AL1068" s="3" t="s">
        <v>4571</v>
      </c>
    </row>
    <row r="1069" spans="1:38" ht="21" customHeight="1" outlineLevel="3" x14ac:dyDescent="0.2">
      <c r="A1069" s="2">
        <v>805</v>
      </c>
      <c r="B1069" s="3" t="s">
        <v>4580</v>
      </c>
      <c r="C1069" s="49" t="s">
        <v>4581</v>
      </c>
      <c r="D1069" s="49"/>
      <c r="E1069" s="49"/>
      <c r="F1069" s="49"/>
      <c r="G1069" s="4" t="s">
        <v>4582</v>
      </c>
      <c r="H1069" s="8"/>
      <c r="I1069" s="9" t="s">
        <v>4568</v>
      </c>
      <c r="J1069" s="10"/>
      <c r="K1069" s="11">
        <v>30</v>
      </c>
      <c r="L1069" s="10"/>
      <c r="M1069" s="10" t="s">
        <v>47</v>
      </c>
      <c r="N1069" s="10"/>
      <c r="O1069" s="2">
        <v>10</v>
      </c>
      <c r="P1069" s="17">
        <f>69.7*(1-S3/100)</f>
        <v>69.7</v>
      </c>
      <c r="Q1069" s="18"/>
      <c r="R1069" s="10">
        <f>P1069*Q1069</f>
        <v>0</v>
      </c>
      <c r="S1069" s="19">
        <f>0.061*Q1069</f>
        <v>0</v>
      </c>
      <c r="T1069" s="20">
        <f>0.00017*Q1069</f>
        <v>0</v>
      </c>
      <c r="U1069" s="21"/>
      <c r="V1069" s="22" t="s">
        <v>4583</v>
      </c>
      <c r="W1069" s="22" t="s">
        <v>191</v>
      </c>
      <c r="X1069" s="3"/>
      <c r="Y1069" s="3"/>
      <c r="Z1069" s="3" t="s">
        <v>52</v>
      </c>
      <c r="AA1069" s="3"/>
      <c r="AB1069" s="3"/>
      <c r="AC1069" s="3" t="str">
        <f>HYPERLINK("https://knigipp.ru/api/getInfo/image/9ce12d8b-9828-11ee-a250-00155d82e908")</f>
        <v>https://knigipp.ru/api/getInfo/image/9ce12d8b-9828-11ee-a250-00155d82e908</v>
      </c>
      <c r="AD1069" s="32">
        <v>32</v>
      </c>
      <c r="AE1069" s="3"/>
      <c r="AF1069" s="3" t="s">
        <v>136</v>
      </c>
      <c r="AG1069" s="3"/>
      <c r="AH1069" s="3" t="s">
        <v>56</v>
      </c>
      <c r="AI1069" s="3"/>
      <c r="AJ1069" s="3" t="s">
        <v>4570</v>
      </c>
      <c r="AK1069" s="3" t="str">
        <f>HYPERLINK("https://knigipp.ru/api/getInfo/item/9ce12d8b-9828-11ee-a250-00155d82e908")</f>
        <v>https://knigipp.ru/api/getInfo/item/9ce12d8b-9828-11ee-a250-00155d82e908</v>
      </c>
      <c r="AL1069" s="3" t="s">
        <v>4571</v>
      </c>
    </row>
    <row r="1070" spans="1:38" ht="21" customHeight="1" outlineLevel="3" x14ac:dyDescent="0.2">
      <c r="A1070" s="2">
        <v>806</v>
      </c>
      <c r="B1070" s="3" t="s">
        <v>4584</v>
      </c>
      <c r="C1070" s="49" t="s">
        <v>4585</v>
      </c>
      <c r="D1070" s="49"/>
      <c r="E1070" s="49"/>
      <c r="F1070" s="49"/>
      <c r="G1070" s="4" t="s">
        <v>4586</v>
      </c>
      <c r="H1070" s="8"/>
      <c r="I1070" s="9" t="s">
        <v>4568</v>
      </c>
      <c r="J1070" s="10"/>
      <c r="K1070" s="11">
        <v>30</v>
      </c>
      <c r="L1070" s="10"/>
      <c r="M1070" s="10" t="s">
        <v>47</v>
      </c>
      <c r="N1070" s="10"/>
      <c r="O1070" s="2">
        <v>14</v>
      </c>
      <c r="P1070" s="17">
        <f>49*(1-S3/100)</f>
        <v>49</v>
      </c>
      <c r="Q1070" s="18"/>
      <c r="R1070" s="10">
        <f>P1070*Q1070</f>
        <v>0</v>
      </c>
      <c r="S1070" s="19">
        <f>0.067*Q1070</f>
        <v>0</v>
      </c>
      <c r="T1070" s="20">
        <f>0.00005*Q1070</f>
        <v>0</v>
      </c>
      <c r="U1070" s="21"/>
      <c r="V1070" s="22" t="s">
        <v>4587</v>
      </c>
      <c r="W1070" s="22" t="s">
        <v>191</v>
      </c>
      <c r="X1070" s="3"/>
      <c r="Y1070" s="3"/>
      <c r="Z1070" s="3" t="s">
        <v>52</v>
      </c>
      <c r="AA1070" s="3"/>
      <c r="AB1070" s="3"/>
      <c r="AC1070" s="3" t="str">
        <f>HYPERLINK("https://knigipp.ru/api/getInfo/image/a88ca758-cc8a-11e8-a20d-ac1f6b442184")</f>
        <v>https://knigipp.ru/api/getInfo/image/a88ca758-cc8a-11e8-a20d-ac1f6b442184</v>
      </c>
      <c r="AD1070" s="32">
        <v>32</v>
      </c>
      <c r="AE1070" s="3"/>
      <c r="AF1070" s="3" t="s">
        <v>136</v>
      </c>
      <c r="AG1070" s="3"/>
      <c r="AH1070" s="3" t="s">
        <v>56</v>
      </c>
      <c r="AI1070" s="3"/>
      <c r="AJ1070" s="3" t="s">
        <v>4570</v>
      </c>
      <c r="AK1070" s="3" t="str">
        <f>HYPERLINK("https://knigipp.ru/api/getInfo/item/a88ca758-cc8a-11e8-a20d-ac1f6b442184")</f>
        <v>https://knigipp.ru/api/getInfo/item/a88ca758-cc8a-11e8-a20d-ac1f6b442184</v>
      </c>
      <c r="AL1070" s="3" t="s">
        <v>4571</v>
      </c>
    </row>
    <row r="1071" spans="1:38" ht="23.1" customHeight="1" outlineLevel="2" x14ac:dyDescent="0.2">
      <c r="A1071" s="47" t="s">
        <v>4588</v>
      </c>
      <c r="B1071" s="47"/>
      <c r="C1071" s="47"/>
      <c r="D1071" s="47"/>
      <c r="E1071" s="47"/>
      <c r="F1071" s="47"/>
    </row>
    <row r="1072" spans="1:38" ht="21" customHeight="1" outlineLevel="3" x14ac:dyDescent="0.2">
      <c r="A1072" s="2">
        <v>807</v>
      </c>
      <c r="B1072" s="3" t="s">
        <v>4589</v>
      </c>
      <c r="C1072" s="49" t="s">
        <v>4590</v>
      </c>
      <c r="D1072" s="49"/>
      <c r="E1072" s="49"/>
      <c r="F1072" s="49"/>
      <c r="G1072" s="4" t="s">
        <v>4591</v>
      </c>
      <c r="H1072" s="8"/>
      <c r="I1072" s="9" t="s">
        <v>4592</v>
      </c>
      <c r="J1072" s="10"/>
      <c r="K1072" s="11">
        <v>50</v>
      </c>
      <c r="L1072" s="10"/>
      <c r="M1072" s="10" t="s">
        <v>47</v>
      </c>
      <c r="N1072" s="10"/>
      <c r="O1072" s="2">
        <v>15</v>
      </c>
      <c r="P1072" s="17">
        <f>47.7*(1-S3/100)</f>
        <v>47.7</v>
      </c>
      <c r="Q1072" s="18"/>
      <c r="R1072" s="10">
        <f>P1072*Q1072</f>
        <v>0</v>
      </c>
      <c r="S1072" s="10">
        <v>0</v>
      </c>
      <c r="T1072" s="10">
        <v>0</v>
      </c>
      <c r="U1072" s="21"/>
      <c r="V1072" s="22" t="s">
        <v>4593</v>
      </c>
      <c r="W1072" s="22" t="s">
        <v>191</v>
      </c>
      <c r="X1072" s="3"/>
      <c r="Y1072" s="3"/>
      <c r="Z1072" s="3" t="s">
        <v>52</v>
      </c>
      <c r="AA1072" s="3"/>
      <c r="AB1072" s="3"/>
      <c r="AC1072" s="3" t="str">
        <f>HYPERLINK("https://knigipp.ru/api/getInfo/image/87ce0724-9826-11ee-a250-00155d82e908")</f>
        <v>https://knigipp.ru/api/getInfo/image/87ce0724-9826-11ee-a250-00155d82e908</v>
      </c>
      <c r="AD1072" s="32">
        <v>32</v>
      </c>
      <c r="AE1072" s="3" t="s">
        <v>54</v>
      </c>
      <c r="AF1072" s="3" t="s">
        <v>136</v>
      </c>
      <c r="AG1072" s="3"/>
      <c r="AH1072" s="3" t="s">
        <v>56</v>
      </c>
      <c r="AI1072" s="3"/>
      <c r="AJ1072" s="3"/>
      <c r="AK1072" s="3" t="str">
        <f>HYPERLINK("https://knigipp.ru/api/getInfo/item/87ce0724-9826-11ee-a250-00155d82e908")</f>
        <v>https://knigipp.ru/api/getInfo/item/87ce0724-9826-11ee-a250-00155d82e908</v>
      </c>
      <c r="AL1072" s="3" t="s">
        <v>4594</v>
      </c>
    </row>
    <row r="1073" spans="1:38" ht="21" customHeight="1" outlineLevel="3" x14ac:dyDescent="0.2">
      <c r="A1073" s="2">
        <v>808</v>
      </c>
      <c r="B1073" s="3" t="s">
        <v>4595</v>
      </c>
      <c r="C1073" s="49" t="s">
        <v>4596</v>
      </c>
      <c r="D1073" s="49"/>
      <c r="E1073" s="49"/>
      <c r="F1073" s="49"/>
      <c r="G1073" s="4" t="s">
        <v>4597</v>
      </c>
      <c r="H1073" s="8"/>
      <c r="I1073" s="9" t="s">
        <v>4592</v>
      </c>
      <c r="J1073" s="10"/>
      <c r="K1073" s="11">
        <v>50</v>
      </c>
      <c r="L1073" s="10"/>
      <c r="M1073" s="10" t="s">
        <v>304</v>
      </c>
      <c r="N1073" s="10"/>
      <c r="O1073" s="2">
        <v>15</v>
      </c>
      <c r="P1073" s="17">
        <f>47.7*(1-S3/100)</f>
        <v>47.7</v>
      </c>
      <c r="Q1073" s="18"/>
      <c r="R1073" s="10">
        <f>P1073*Q1073</f>
        <v>0</v>
      </c>
      <c r="S1073" s="10">
        <v>0</v>
      </c>
      <c r="T1073" s="10">
        <v>0</v>
      </c>
      <c r="U1073" s="21"/>
      <c r="V1073" s="22" t="s">
        <v>4598</v>
      </c>
      <c r="W1073" s="22" t="s">
        <v>191</v>
      </c>
      <c r="X1073" s="3"/>
      <c r="Y1073" s="3"/>
      <c r="Z1073" s="3" t="s">
        <v>52</v>
      </c>
      <c r="AA1073" s="3"/>
      <c r="AB1073" s="3"/>
      <c r="AC1073" s="3" t="str">
        <f>HYPERLINK("https://knigipp.ru/api/getInfo/image/18a696c1-9826-11ee-a250-00155d82e908")</f>
        <v>https://knigipp.ru/api/getInfo/image/18a696c1-9826-11ee-a250-00155d82e908</v>
      </c>
      <c r="AD1073" s="32">
        <v>32</v>
      </c>
      <c r="AE1073" s="3" t="s">
        <v>54</v>
      </c>
      <c r="AF1073" s="3" t="s">
        <v>136</v>
      </c>
      <c r="AG1073" s="3"/>
      <c r="AH1073" s="3" t="s">
        <v>56</v>
      </c>
      <c r="AI1073" s="3"/>
      <c r="AJ1073" s="3"/>
      <c r="AK1073" s="3" t="str">
        <f>HYPERLINK("https://knigipp.ru/api/getInfo/item/18a696c1-9826-11ee-a250-00155d82e908")</f>
        <v>https://knigipp.ru/api/getInfo/item/18a696c1-9826-11ee-a250-00155d82e908</v>
      </c>
      <c r="AL1073" s="3" t="s">
        <v>4594</v>
      </c>
    </row>
    <row r="1074" spans="1:38" ht="21" customHeight="1" outlineLevel="3" x14ac:dyDescent="0.2">
      <c r="A1074" s="2">
        <v>809</v>
      </c>
      <c r="B1074" s="3" t="s">
        <v>4599</v>
      </c>
      <c r="C1074" s="49" t="s">
        <v>4600</v>
      </c>
      <c r="D1074" s="49"/>
      <c r="E1074" s="49"/>
      <c r="F1074" s="49"/>
      <c r="G1074" s="4" t="s">
        <v>4601</v>
      </c>
      <c r="H1074" s="8"/>
      <c r="I1074" s="9" t="s">
        <v>4592</v>
      </c>
      <c r="J1074" s="10"/>
      <c r="K1074" s="11">
        <v>50</v>
      </c>
      <c r="L1074" s="10"/>
      <c r="M1074" s="10" t="s">
        <v>47</v>
      </c>
      <c r="N1074" s="10"/>
      <c r="O1074" s="2">
        <v>15</v>
      </c>
      <c r="P1074" s="17">
        <f>47.7*(1-S3/100)</f>
        <v>47.7</v>
      </c>
      <c r="Q1074" s="18"/>
      <c r="R1074" s="10">
        <f>P1074*Q1074</f>
        <v>0</v>
      </c>
      <c r="S1074" s="10">
        <v>0</v>
      </c>
      <c r="T1074" s="10">
        <v>0</v>
      </c>
      <c r="U1074" s="21"/>
      <c r="V1074" s="22" t="s">
        <v>4602</v>
      </c>
      <c r="W1074" s="22" t="s">
        <v>191</v>
      </c>
      <c r="X1074" s="3"/>
      <c r="Y1074" s="3"/>
      <c r="Z1074" s="3" t="s">
        <v>52</v>
      </c>
      <c r="AA1074" s="3"/>
      <c r="AB1074" s="3"/>
      <c r="AC1074" s="3" t="str">
        <f>HYPERLINK("https://knigipp.ru/api/getInfo/image/de72402d-9826-11ee-a250-00155d82e908")</f>
        <v>https://knigipp.ru/api/getInfo/image/de72402d-9826-11ee-a250-00155d82e908</v>
      </c>
      <c r="AD1074" s="32">
        <v>32</v>
      </c>
      <c r="AE1074" s="3" t="s">
        <v>54</v>
      </c>
      <c r="AF1074" s="3" t="s">
        <v>136</v>
      </c>
      <c r="AG1074" s="3"/>
      <c r="AH1074" s="3" t="s">
        <v>56</v>
      </c>
      <c r="AI1074" s="3"/>
      <c r="AJ1074" s="3"/>
      <c r="AK1074" s="3" t="str">
        <f>HYPERLINK("https://knigipp.ru/api/getInfo/item/de72402d-9826-11ee-a250-00155d82e908")</f>
        <v>https://knigipp.ru/api/getInfo/item/de72402d-9826-11ee-a250-00155d82e908</v>
      </c>
      <c r="AL1074" s="3" t="s">
        <v>4594</v>
      </c>
    </row>
    <row r="1075" spans="1:38" ht="21" customHeight="1" outlineLevel="3" x14ac:dyDescent="0.2">
      <c r="A1075" s="2">
        <v>810</v>
      </c>
      <c r="B1075" s="3" t="s">
        <v>4603</v>
      </c>
      <c r="C1075" s="49" t="s">
        <v>4604</v>
      </c>
      <c r="D1075" s="49"/>
      <c r="E1075" s="49"/>
      <c r="F1075" s="49"/>
      <c r="G1075" s="4" t="s">
        <v>4605</v>
      </c>
      <c r="H1075" s="8"/>
      <c r="I1075" s="9" t="s">
        <v>4592</v>
      </c>
      <c r="J1075" s="10"/>
      <c r="K1075" s="11">
        <v>50</v>
      </c>
      <c r="L1075" s="10"/>
      <c r="M1075" s="10" t="s">
        <v>47</v>
      </c>
      <c r="N1075" s="10"/>
      <c r="O1075" s="2">
        <v>15</v>
      </c>
      <c r="P1075" s="17">
        <f>47.7*(1-S3/100)</f>
        <v>47.7</v>
      </c>
      <c r="Q1075" s="18"/>
      <c r="R1075" s="10">
        <f>P1075*Q1075</f>
        <v>0</v>
      </c>
      <c r="S1075" s="19">
        <f>0.038*Q1075</f>
        <v>0</v>
      </c>
      <c r="T1075" s="20">
        <f>0.00022*Q1075</f>
        <v>0</v>
      </c>
      <c r="U1075" s="21"/>
      <c r="V1075" s="22" t="s">
        <v>4606</v>
      </c>
      <c r="W1075" s="22" t="s">
        <v>191</v>
      </c>
      <c r="X1075" s="3"/>
      <c r="Y1075" s="3"/>
      <c r="Z1075" s="3" t="s">
        <v>52</v>
      </c>
      <c r="AA1075" s="3"/>
      <c r="AB1075" s="3"/>
      <c r="AC1075" s="3" t="str">
        <f>HYPERLINK("https://knigipp.ru/api/getInfo/image/47d7dd57-98db-11e9-a227-ac1f6b442184")</f>
        <v>https://knigipp.ru/api/getInfo/image/47d7dd57-98db-11e9-a227-ac1f6b442184</v>
      </c>
      <c r="AD1075" s="32">
        <v>32</v>
      </c>
      <c r="AE1075" s="3"/>
      <c r="AF1075" s="3" t="s">
        <v>136</v>
      </c>
      <c r="AG1075" s="3"/>
      <c r="AH1075" s="3" t="s">
        <v>56</v>
      </c>
      <c r="AI1075" s="3"/>
      <c r="AJ1075" s="3"/>
      <c r="AK1075" s="3" t="str">
        <f>HYPERLINK("https://knigipp.ru/api/getInfo/item/47d7dd57-98db-11e9-a227-ac1f6b442184")</f>
        <v>https://knigipp.ru/api/getInfo/item/47d7dd57-98db-11e9-a227-ac1f6b442184</v>
      </c>
      <c r="AL1075" s="3" t="s">
        <v>4594</v>
      </c>
    </row>
    <row r="1076" spans="1:38" ht="23.1" customHeight="1" outlineLevel="1" x14ac:dyDescent="0.2">
      <c r="A1076" s="46" t="s">
        <v>4607</v>
      </c>
      <c r="B1076" s="46"/>
      <c r="C1076" s="46"/>
      <c r="D1076" s="46"/>
      <c r="E1076" s="46"/>
      <c r="F1076" s="46"/>
    </row>
    <row r="1077" spans="1:38" ht="23.1" customHeight="1" outlineLevel="2" x14ac:dyDescent="0.2">
      <c r="A1077" s="47" t="s">
        <v>4608</v>
      </c>
      <c r="B1077" s="47"/>
      <c r="C1077" s="47"/>
      <c r="D1077" s="47"/>
      <c r="E1077" s="47"/>
      <c r="F1077" s="47"/>
    </row>
    <row r="1078" spans="1:38" ht="23.1" customHeight="1" outlineLevel="3" x14ac:dyDescent="0.2">
      <c r="A1078" s="48" t="s">
        <v>4609</v>
      </c>
      <c r="B1078" s="48"/>
      <c r="C1078" s="48"/>
      <c r="D1078" s="48"/>
      <c r="E1078" s="48"/>
      <c r="F1078" s="48"/>
    </row>
    <row r="1079" spans="1:38" ht="21" customHeight="1" outlineLevel="4" x14ac:dyDescent="0.2">
      <c r="A1079" s="2">
        <v>811</v>
      </c>
      <c r="B1079" s="3" t="s">
        <v>4610</v>
      </c>
      <c r="C1079" s="49" t="s">
        <v>4611</v>
      </c>
      <c r="D1079" s="49"/>
      <c r="E1079" s="49"/>
      <c r="F1079" s="49"/>
      <c r="G1079" s="4" t="s">
        <v>4612</v>
      </c>
      <c r="H1079" s="8"/>
      <c r="I1079" s="9" t="s">
        <v>4613</v>
      </c>
      <c r="J1079" s="10"/>
      <c r="K1079" s="11">
        <v>50</v>
      </c>
      <c r="L1079" s="10"/>
      <c r="M1079" s="10" t="s">
        <v>304</v>
      </c>
      <c r="N1079" s="10"/>
      <c r="O1079" s="2">
        <v>5</v>
      </c>
      <c r="P1079" s="17">
        <f>126*(1-S3/100)</f>
        <v>126</v>
      </c>
      <c r="Q1079" s="18"/>
      <c r="R1079" s="10">
        <f>P1079*Q1079</f>
        <v>0</v>
      </c>
      <c r="S1079" s="19">
        <f>0.076*Q1079</f>
        <v>0</v>
      </c>
      <c r="T1079" s="30">
        <f>0.0001*Q1079</f>
        <v>0</v>
      </c>
      <c r="U1079" s="21"/>
      <c r="V1079" s="22" t="s">
        <v>4614</v>
      </c>
      <c r="W1079" s="22" t="s">
        <v>49</v>
      </c>
      <c r="X1079" s="3"/>
      <c r="Y1079" s="3"/>
      <c r="Z1079" s="3" t="s">
        <v>52</v>
      </c>
      <c r="AA1079" s="3"/>
      <c r="AB1079" s="3"/>
      <c r="AC1079" s="3" t="str">
        <f>HYPERLINK("https://knigipp.ru/api/getInfo/image/4faed349-c377-11eb-a206-ac1f6b442185")</f>
        <v>https://knigipp.ru/api/getInfo/image/4faed349-c377-11eb-a206-ac1f6b442185</v>
      </c>
      <c r="AD1079" s="32">
        <v>24</v>
      </c>
      <c r="AE1079" s="3"/>
      <c r="AF1079" s="3" t="s">
        <v>136</v>
      </c>
      <c r="AG1079" s="3"/>
      <c r="AH1079" s="3" t="s">
        <v>56</v>
      </c>
      <c r="AI1079" s="3"/>
      <c r="AJ1079" s="3"/>
      <c r="AK1079" s="3" t="str">
        <f>HYPERLINK("https://knigipp.ru/api/getInfo/item/4faed349-c377-11eb-a206-ac1f6b442185")</f>
        <v>https://knigipp.ru/api/getInfo/item/4faed349-c377-11eb-a206-ac1f6b442185</v>
      </c>
      <c r="AL1079" s="3" t="s">
        <v>4615</v>
      </c>
    </row>
    <row r="1080" spans="1:38" ht="23.1" customHeight="1" outlineLevel="3" x14ac:dyDescent="0.2">
      <c r="A1080" s="48" t="s">
        <v>4616</v>
      </c>
      <c r="B1080" s="48"/>
      <c r="C1080" s="48"/>
      <c r="D1080" s="48"/>
      <c r="E1080" s="48"/>
      <c r="F1080" s="48"/>
    </row>
    <row r="1081" spans="1:38" ht="21" customHeight="1" outlineLevel="4" x14ac:dyDescent="0.2">
      <c r="A1081" s="2">
        <v>812</v>
      </c>
      <c r="B1081" s="3" t="s">
        <v>4617</v>
      </c>
      <c r="C1081" s="49" t="s">
        <v>4618</v>
      </c>
      <c r="D1081" s="49"/>
      <c r="E1081" s="49"/>
      <c r="F1081" s="49"/>
      <c r="G1081" s="4" t="s">
        <v>4619</v>
      </c>
      <c r="H1081" s="8"/>
      <c r="I1081" s="9" t="s">
        <v>4620</v>
      </c>
      <c r="J1081" s="10"/>
      <c r="K1081" s="10"/>
      <c r="L1081" s="10"/>
      <c r="M1081" s="10" t="s">
        <v>47</v>
      </c>
      <c r="N1081" s="10"/>
      <c r="O1081" s="2">
        <v>1</v>
      </c>
      <c r="P1081" s="17">
        <f>599*(1-S3/100)</f>
        <v>599</v>
      </c>
      <c r="Q1081" s="18"/>
      <c r="R1081" s="10">
        <f>P1081*Q1081</f>
        <v>0</v>
      </c>
      <c r="S1081" s="19">
        <f>0.441*Q1081</f>
        <v>0</v>
      </c>
      <c r="T1081" s="20">
        <f>0.00084*Q1081</f>
        <v>0</v>
      </c>
      <c r="U1081" s="21"/>
      <c r="V1081" s="22" t="s">
        <v>4621</v>
      </c>
      <c r="W1081" s="22" t="s">
        <v>49</v>
      </c>
      <c r="X1081" s="3"/>
      <c r="Y1081" s="3"/>
      <c r="Z1081" s="3" t="s">
        <v>460</v>
      </c>
      <c r="AA1081" s="3"/>
      <c r="AB1081" s="3"/>
      <c r="AC1081" s="3" t="str">
        <f>HYPERLINK("https://knigipp.ru/api/getInfo/image/8a5f2f47-22c0-11ec-a20f-ac1f6b442185")</f>
        <v>https://knigipp.ru/api/getInfo/image/8a5f2f47-22c0-11ec-a20f-ac1f6b442185</v>
      </c>
      <c r="AD1081" s="32">
        <v>144</v>
      </c>
      <c r="AE1081" s="3"/>
      <c r="AF1081" s="3" t="s">
        <v>55</v>
      </c>
      <c r="AG1081" s="3"/>
      <c r="AH1081" s="3" t="s">
        <v>56</v>
      </c>
      <c r="AI1081" s="3"/>
      <c r="AJ1081" s="3" t="s">
        <v>4622</v>
      </c>
      <c r="AK1081" s="3" t="str">
        <f>HYPERLINK("https://knigipp.ru/api/getInfo/item/8a5f2f47-22c0-11ec-a20f-ac1f6b442185")</f>
        <v>https://knigipp.ru/api/getInfo/item/8a5f2f47-22c0-11ec-a20f-ac1f6b442185</v>
      </c>
      <c r="AL1081" s="3" t="s">
        <v>4623</v>
      </c>
    </row>
    <row r="1082" spans="1:38" ht="23.1" customHeight="1" outlineLevel="3" x14ac:dyDescent="0.2">
      <c r="A1082" s="48" t="s">
        <v>4624</v>
      </c>
      <c r="B1082" s="48"/>
      <c r="C1082" s="48"/>
      <c r="D1082" s="48"/>
      <c r="E1082" s="48"/>
      <c r="F1082" s="48"/>
    </row>
    <row r="1083" spans="1:38" ht="21" customHeight="1" outlineLevel="4" x14ac:dyDescent="0.2">
      <c r="A1083" s="5">
        <v>813</v>
      </c>
      <c r="B1083" s="6" t="s">
        <v>4625</v>
      </c>
      <c r="C1083" s="54" t="s">
        <v>4626</v>
      </c>
      <c r="D1083" s="54"/>
      <c r="E1083" s="54"/>
      <c r="F1083" s="54"/>
      <c r="G1083" s="7" t="s">
        <v>4627</v>
      </c>
      <c r="H1083" s="12"/>
      <c r="I1083" s="13"/>
      <c r="J1083" s="14"/>
      <c r="K1083" s="15">
        <v>50</v>
      </c>
      <c r="L1083" s="14"/>
      <c r="M1083" s="14" t="s">
        <v>47</v>
      </c>
      <c r="N1083" s="14"/>
      <c r="O1083" s="5">
        <v>5</v>
      </c>
      <c r="P1083" s="23">
        <f>137*(1-S3/100)</f>
        <v>137</v>
      </c>
      <c r="Q1083" s="18"/>
      <c r="R1083" s="14">
        <f>P1083*Q1083</f>
        <v>0</v>
      </c>
      <c r="S1083" s="24">
        <f>0.107*Q1083</f>
        <v>0</v>
      </c>
      <c r="T1083" s="25">
        <f>0.00017*Q1083</f>
        <v>0</v>
      </c>
      <c r="U1083" s="26" t="s">
        <v>62</v>
      </c>
      <c r="V1083" s="27" t="s">
        <v>4628</v>
      </c>
      <c r="W1083" s="27" t="s">
        <v>49</v>
      </c>
      <c r="X1083" s="6"/>
      <c r="Y1083" s="6"/>
      <c r="Z1083" s="6" t="s">
        <v>3329</v>
      </c>
      <c r="AA1083" s="6"/>
      <c r="AB1083" s="6"/>
      <c r="AC1083" s="6" t="str">
        <f>HYPERLINK("https://knigipp.ru/api/getInfo/image/b2b4866f-5b51-11f1-a295-00155d82e908")</f>
        <v>https://knigipp.ru/api/getInfo/image/b2b4866f-5b51-11f1-a295-00155d82e908</v>
      </c>
      <c r="AD1083" s="33">
        <v>32</v>
      </c>
      <c r="AE1083" s="6" t="s">
        <v>54</v>
      </c>
      <c r="AF1083" s="6" t="s">
        <v>136</v>
      </c>
      <c r="AG1083" s="6"/>
      <c r="AH1083" s="6" t="s">
        <v>56</v>
      </c>
      <c r="AI1083" s="6"/>
      <c r="AJ1083" s="6"/>
      <c r="AK1083" s="6" t="str">
        <f>HYPERLINK("https://knigipp.ru/api/getInfo/item/b2b4866f-5b51-11f1-a295-00155d82e908")</f>
        <v>https://knigipp.ru/api/getInfo/item/b2b4866f-5b51-11f1-a295-00155d82e908</v>
      </c>
      <c r="AL1083" s="6" t="s">
        <v>1207</v>
      </c>
    </row>
    <row r="1084" spans="1:38" ht="21" customHeight="1" outlineLevel="4" x14ac:dyDescent="0.2">
      <c r="A1084" s="2">
        <v>814</v>
      </c>
      <c r="B1084" s="3" t="s">
        <v>4629</v>
      </c>
      <c r="C1084" s="49" t="s">
        <v>4630</v>
      </c>
      <c r="D1084" s="49"/>
      <c r="E1084" s="49"/>
      <c r="F1084" s="49"/>
      <c r="G1084" s="4" t="s">
        <v>4631</v>
      </c>
      <c r="H1084" s="8"/>
      <c r="I1084" s="9" t="s">
        <v>4632</v>
      </c>
      <c r="J1084" s="10"/>
      <c r="K1084" s="11">
        <v>50</v>
      </c>
      <c r="L1084" s="10"/>
      <c r="M1084" s="10" t="s">
        <v>47</v>
      </c>
      <c r="N1084" s="10"/>
      <c r="O1084" s="2">
        <v>5</v>
      </c>
      <c r="P1084" s="17">
        <f>137*(1-S3/100)</f>
        <v>137</v>
      </c>
      <c r="Q1084" s="18"/>
      <c r="R1084" s="10">
        <f>P1084*Q1084</f>
        <v>0</v>
      </c>
      <c r="S1084" s="19">
        <f>0.102*Q1084</f>
        <v>0</v>
      </c>
      <c r="T1084" s="20">
        <f>0.00034*Q1084</f>
        <v>0</v>
      </c>
      <c r="U1084" s="21"/>
      <c r="V1084" s="22" t="s">
        <v>4633</v>
      </c>
      <c r="W1084" s="22" t="s">
        <v>49</v>
      </c>
      <c r="X1084" s="3"/>
      <c r="Y1084" s="3" t="s">
        <v>4634</v>
      </c>
      <c r="Z1084" s="3" t="s">
        <v>384</v>
      </c>
      <c r="AA1084" s="3"/>
      <c r="AB1084" s="3"/>
      <c r="AC1084" s="3" t="str">
        <f>HYPERLINK("https://knigipp.ru/api/getInfo/image/fa4d3a3c-cc59-11f0-a28a-00155d82e908")</f>
        <v>https://knigipp.ru/api/getInfo/image/fa4d3a3c-cc59-11f0-a28a-00155d82e908</v>
      </c>
      <c r="AD1084" s="32">
        <v>32</v>
      </c>
      <c r="AE1084" s="3" t="s">
        <v>54</v>
      </c>
      <c r="AF1084" s="3" t="s">
        <v>136</v>
      </c>
      <c r="AG1084" s="3"/>
      <c r="AH1084" s="3" t="s">
        <v>56</v>
      </c>
      <c r="AI1084" s="3"/>
      <c r="AJ1084" s="3"/>
      <c r="AK1084" s="3" t="str">
        <f>HYPERLINK("https://knigipp.ru/api/getInfo/item/fa4d3a3c-cc59-11f0-a28a-00155d82e908")</f>
        <v>https://knigipp.ru/api/getInfo/item/fa4d3a3c-cc59-11f0-a28a-00155d82e908</v>
      </c>
      <c r="AL1084" s="3" t="s">
        <v>1207</v>
      </c>
    </row>
    <row r="1085" spans="1:38" ht="21" customHeight="1" outlineLevel="4" x14ac:dyDescent="0.2">
      <c r="A1085" s="5">
        <v>815</v>
      </c>
      <c r="B1085" s="6" t="s">
        <v>4635</v>
      </c>
      <c r="C1085" s="54" t="s">
        <v>4636</v>
      </c>
      <c r="D1085" s="54"/>
      <c r="E1085" s="54"/>
      <c r="F1085" s="54"/>
      <c r="G1085" s="7" t="s">
        <v>4637</v>
      </c>
      <c r="H1085" s="12"/>
      <c r="I1085" s="13"/>
      <c r="J1085" s="14"/>
      <c r="K1085" s="15">
        <v>50</v>
      </c>
      <c r="L1085" s="14"/>
      <c r="M1085" s="14" t="s">
        <v>47</v>
      </c>
      <c r="N1085" s="14"/>
      <c r="O1085" s="5">
        <v>5</v>
      </c>
      <c r="P1085" s="23">
        <f>137*(1-S3/100)</f>
        <v>137</v>
      </c>
      <c r="Q1085" s="18"/>
      <c r="R1085" s="14">
        <f>P1085*Q1085</f>
        <v>0</v>
      </c>
      <c r="S1085" s="24">
        <f>0.107*Q1085</f>
        <v>0</v>
      </c>
      <c r="T1085" s="25">
        <f>0.00017*Q1085</f>
        <v>0</v>
      </c>
      <c r="U1085" s="26" t="s">
        <v>62</v>
      </c>
      <c r="V1085" s="27" t="s">
        <v>4638</v>
      </c>
      <c r="W1085" s="27" t="s">
        <v>49</v>
      </c>
      <c r="X1085" s="6"/>
      <c r="Y1085" s="6"/>
      <c r="Z1085" s="6" t="s">
        <v>3329</v>
      </c>
      <c r="AA1085" s="6"/>
      <c r="AB1085" s="6"/>
      <c r="AC1085" s="6" t="str">
        <f>HYPERLINK("https://knigipp.ru/api/getInfo/image/e33f81a6-5b51-11f1-a295-00155d82e908")</f>
        <v>https://knigipp.ru/api/getInfo/image/e33f81a6-5b51-11f1-a295-00155d82e908</v>
      </c>
      <c r="AD1085" s="33">
        <v>32</v>
      </c>
      <c r="AE1085" s="6" t="s">
        <v>54</v>
      </c>
      <c r="AF1085" s="6" t="s">
        <v>136</v>
      </c>
      <c r="AG1085" s="6"/>
      <c r="AH1085" s="6" t="s">
        <v>56</v>
      </c>
      <c r="AI1085" s="6"/>
      <c r="AJ1085" s="6"/>
      <c r="AK1085" s="6" t="str">
        <f>HYPERLINK("https://knigipp.ru/api/getInfo/item/e33f81a6-5b51-11f1-a295-00155d82e908")</f>
        <v>https://knigipp.ru/api/getInfo/item/e33f81a6-5b51-11f1-a295-00155d82e908</v>
      </c>
      <c r="AL1085" s="6" t="s">
        <v>1207</v>
      </c>
    </row>
    <row r="1086" spans="1:38" ht="21" customHeight="1" outlineLevel="4" x14ac:dyDescent="0.2">
      <c r="A1086" s="2">
        <v>816</v>
      </c>
      <c r="B1086" s="3" t="s">
        <v>4639</v>
      </c>
      <c r="C1086" s="49" t="s">
        <v>4640</v>
      </c>
      <c r="D1086" s="49"/>
      <c r="E1086" s="49"/>
      <c r="F1086" s="49"/>
      <c r="G1086" s="4" t="s">
        <v>4641</v>
      </c>
      <c r="H1086" s="8"/>
      <c r="I1086" s="9" t="s">
        <v>4632</v>
      </c>
      <c r="J1086" s="10"/>
      <c r="K1086" s="11">
        <v>50</v>
      </c>
      <c r="L1086" s="10"/>
      <c r="M1086" s="10" t="s">
        <v>47</v>
      </c>
      <c r="N1086" s="10"/>
      <c r="O1086" s="2">
        <v>5</v>
      </c>
      <c r="P1086" s="17">
        <f>137*(1-S3/100)</f>
        <v>137</v>
      </c>
      <c r="Q1086" s="18"/>
      <c r="R1086" s="10">
        <f>P1086*Q1086</f>
        <v>0</v>
      </c>
      <c r="S1086" s="19">
        <f>0.106*Q1086</f>
        <v>0</v>
      </c>
      <c r="T1086" s="30">
        <f>0.0004*Q1086</f>
        <v>0</v>
      </c>
      <c r="U1086" s="21"/>
      <c r="V1086" s="22" t="s">
        <v>4642</v>
      </c>
      <c r="W1086" s="22" t="s">
        <v>49</v>
      </c>
      <c r="X1086" s="3"/>
      <c r="Y1086" s="3" t="s">
        <v>4643</v>
      </c>
      <c r="Z1086" s="3" t="s">
        <v>384</v>
      </c>
      <c r="AA1086" s="3"/>
      <c r="AB1086" s="3"/>
      <c r="AC1086" s="3" t="str">
        <f>HYPERLINK("https://knigipp.ru/api/getInfo/image/2defd946-cc5a-11f0-a28a-00155d82e908")</f>
        <v>https://knigipp.ru/api/getInfo/image/2defd946-cc5a-11f0-a28a-00155d82e908</v>
      </c>
      <c r="AD1086" s="32">
        <v>32</v>
      </c>
      <c r="AE1086" s="3" t="s">
        <v>54</v>
      </c>
      <c r="AF1086" s="3" t="s">
        <v>136</v>
      </c>
      <c r="AG1086" s="3"/>
      <c r="AH1086" s="3" t="s">
        <v>56</v>
      </c>
      <c r="AI1086" s="3"/>
      <c r="AJ1086" s="3"/>
      <c r="AK1086" s="3" t="str">
        <f>HYPERLINK("https://knigipp.ru/api/getInfo/item/2defd946-cc5a-11f0-a28a-00155d82e908")</f>
        <v>https://knigipp.ru/api/getInfo/item/2defd946-cc5a-11f0-a28a-00155d82e908</v>
      </c>
      <c r="AL1086" s="3" t="s">
        <v>1207</v>
      </c>
    </row>
    <row r="1087" spans="1:38" ht="23.1" customHeight="1" outlineLevel="3" x14ac:dyDescent="0.2">
      <c r="A1087" s="48" t="s">
        <v>4644</v>
      </c>
      <c r="B1087" s="48"/>
      <c r="C1087" s="48"/>
      <c r="D1087" s="48"/>
      <c r="E1087" s="48"/>
      <c r="F1087" s="48"/>
    </row>
    <row r="1088" spans="1:38" ht="21" customHeight="1" outlineLevel="4" x14ac:dyDescent="0.2">
      <c r="A1088" s="2">
        <v>817</v>
      </c>
      <c r="B1088" s="3" t="s">
        <v>4645</v>
      </c>
      <c r="C1088" s="49" t="s">
        <v>4646</v>
      </c>
      <c r="D1088" s="49"/>
      <c r="E1088" s="49"/>
      <c r="F1088" s="49"/>
      <c r="G1088" s="4" t="s">
        <v>4647</v>
      </c>
      <c r="H1088" s="8" t="s">
        <v>610</v>
      </c>
      <c r="I1088" s="9" t="s">
        <v>4648</v>
      </c>
      <c r="J1088" s="10"/>
      <c r="K1088" s="11">
        <v>30</v>
      </c>
      <c r="L1088" s="10"/>
      <c r="M1088" s="10" t="s">
        <v>47</v>
      </c>
      <c r="N1088" s="10"/>
      <c r="O1088" s="2">
        <v>7</v>
      </c>
      <c r="P1088" s="17">
        <f>97*(1-S3/100)</f>
        <v>97</v>
      </c>
      <c r="Q1088" s="18"/>
      <c r="R1088" s="10">
        <f>P1088*Q1088</f>
        <v>0</v>
      </c>
      <c r="S1088" s="19">
        <f>0.064*Q1088</f>
        <v>0</v>
      </c>
      <c r="T1088" s="20">
        <f>0.00029*Q1088</f>
        <v>0</v>
      </c>
      <c r="U1088" s="21"/>
      <c r="V1088" s="22" t="s">
        <v>4649</v>
      </c>
      <c r="W1088" s="22" t="s">
        <v>49</v>
      </c>
      <c r="X1088" s="3"/>
      <c r="Y1088" s="3"/>
      <c r="Z1088" s="3" t="s">
        <v>52</v>
      </c>
      <c r="AA1088" s="3"/>
      <c r="AB1088" s="3"/>
      <c r="AC1088" s="3" t="str">
        <f>HYPERLINK("https://knigipp.ru/api/getInfo/image/15595516-c4fa-11ef-a268-00155d82e908")</f>
        <v>https://knigipp.ru/api/getInfo/image/15595516-c4fa-11ef-a268-00155d82e908</v>
      </c>
      <c r="AD1088" s="32">
        <v>24</v>
      </c>
      <c r="AE1088" s="3" t="s">
        <v>54</v>
      </c>
      <c r="AF1088" s="3" t="s">
        <v>136</v>
      </c>
      <c r="AG1088" s="3"/>
      <c r="AH1088" s="3" t="s">
        <v>613</v>
      </c>
      <c r="AI1088" s="3"/>
      <c r="AJ1088" s="3"/>
      <c r="AK1088" s="3" t="str">
        <f>HYPERLINK("https://knigipp.ru/api/getInfo/item/15595516-c4fa-11ef-a268-00155d82e908")</f>
        <v>https://knigipp.ru/api/getInfo/item/15595516-c4fa-11ef-a268-00155d82e908</v>
      </c>
      <c r="AL1088" s="3" t="s">
        <v>4650</v>
      </c>
    </row>
    <row r="1089" spans="1:38" ht="23.1" customHeight="1" outlineLevel="3" x14ac:dyDescent="0.2">
      <c r="A1089" s="48" t="s">
        <v>4651</v>
      </c>
      <c r="B1089" s="48"/>
      <c r="C1089" s="48"/>
      <c r="D1089" s="48"/>
      <c r="E1089" s="48"/>
      <c r="F1089" s="48"/>
    </row>
    <row r="1090" spans="1:38" ht="21" customHeight="1" outlineLevel="4" x14ac:dyDescent="0.2">
      <c r="A1090" s="2">
        <v>818</v>
      </c>
      <c r="B1090" s="3" t="s">
        <v>4652</v>
      </c>
      <c r="C1090" s="49" t="s">
        <v>4653</v>
      </c>
      <c r="D1090" s="49"/>
      <c r="E1090" s="49"/>
      <c r="F1090" s="49"/>
      <c r="G1090" s="4" t="s">
        <v>4654</v>
      </c>
      <c r="H1090" s="8" t="s">
        <v>610</v>
      </c>
      <c r="I1090" s="9" t="s">
        <v>4655</v>
      </c>
      <c r="J1090" s="10"/>
      <c r="K1090" s="11">
        <v>50</v>
      </c>
      <c r="L1090" s="10"/>
      <c r="M1090" s="10" t="s">
        <v>78</v>
      </c>
      <c r="N1090" s="10"/>
      <c r="O1090" s="2">
        <v>5</v>
      </c>
      <c r="P1090" s="17">
        <f>127*(1-S3/100)</f>
        <v>127</v>
      </c>
      <c r="Q1090" s="18"/>
      <c r="R1090" s="10">
        <f>P1090*Q1090</f>
        <v>0</v>
      </c>
      <c r="S1090" s="19">
        <f>0.065*Q1090</f>
        <v>0</v>
      </c>
      <c r="T1090" s="20">
        <f>0.00024*Q1090</f>
        <v>0</v>
      </c>
      <c r="U1090" s="21"/>
      <c r="V1090" s="22" t="s">
        <v>4656</v>
      </c>
      <c r="W1090" s="22" t="s">
        <v>49</v>
      </c>
      <c r="X1090" s="3"/>
      <c r="Y1090" s="3"/>
      <c r="Z1090" s="3" t="s">
        <v>52</v>
      </c>
      <c r="AA1090" s="3"/>
      <c r="AB1090" s="3"/>
      <c r="AC1090" s="3" t="str">
        <f>HYPERLINK("https://knigipp.ru/api/getInfo/image/6c57cc78-bad7-11ea-a249-ac1f6b442184")</f>
        <v>https://knigipp.ru/api/getInfo/image/6c57cc78-bad7-11ea-a249-ac1f6b442184</v>
      </c>
      <c r="AD1090" s="32">
        <v>24</v>
      </c>
      <c r="AE1090" s="3"/>
      <c r="AF1090" s="3" t="s">
        <v>136</v>
      </c>
      <c r="AG1090" s="3"/>
      <c r="AH1090" s="3" t="s">
        <v>613</v>
      </c>
      <c r="AI1090" s="3"/>
      <c r="AJ1090" s="3"/>
      <c r="AK1090" s="3" t="str">
        <f>HYPERLINK("https://knigipp.ru/api/getInfo/item/6c57cc78-bad7-11ea-a249-ac1f6b442184")</f>
        <v>https://knigipp.ru/api/getInfo/item/6c57cc78-bad7-11ea-a249-ac1f6b442184</v>
      </c>
      <c r="AL1090" s="3" t="s">
        <v>4657</v>
      </c>
    </row>
    <row r="1091" spans="1:38" ht="21" customHeight="1" outlineLevel="4" x14ac:dyDescent="0.2">
      <c r="A1091" s="2">
        <v>819</v>
      </c>
      <c r="B1091" s="3" t="s">
        <v>4658</v>
      </c>
      <c r="C1091" s="49" t="s">
        <v>4659</v>
      </c>
      <c r="D1091" s="49"/>
      <c r="E1091" s="49"/>
      <c r="F1091" s="49"/>
      <c r="G1091" s="4" t="s">
        <v>4660</v>
      </c>
      <c r="H1091" s="8" t="s">
        <v>610</v>
      </c>
      <c r="I1091" s="9" t="s">
        <v>4655</v>
      </c>
      <c r="J1091" s="10"/>
      <c r="K1091" s="11">
        <v>50</v>
      </c>
      <c r="L1091" s="10"/>
      <c r="M1091" s="10" t="s">
        <v>47</v>
      </c>
      <c r="N1091" s="10"/>
      <c r="O1091" s="2">
        <v>5</v>
      </c>
      <c r="P1091" s="17">
        <f>127*(1-S3/100)</f>
        <v>127</v>
      </c>
      <c r="Q1091" s="18"/>
      <c r="R1091" s="10">
        <f>P1091*Q1091</f>
        <v>0</v>
      </c>
      <c r="S1091" s="19">
        <f>0.066*Q1091</f>
        <v>0</v>
      </c>
      <c r="T1091" s="20">
        <f>0.00103*Q1091</f>
        <v>0</v>
      </c>
      <c r="U1091" s="21"/>
      <c r="V1091" s="22" t="s">
        <v>4661</v>
      </c>
      <c r="W1091" s="22" t="s">
        <v>49</v>
      </c>
      <c r="X1091" s="3"/>
      <c r="Y1091" s="3"/>
      <c r="Z1091" s="3" t="s">
        <v>52</v>
      </c>
      <c r="AA1091" s="3"/>
      <c r="AB1091" s="3"/>
      <c r="AC1091" s="3" t="str">
        <f>HYPERLINK("https://knigipp.ru/api/getInfo/image/93a03332-bad7-11ea-a249-ac1f6b442184")</f>
        <v>https://knigipp.ru/api/getInfo/image/93a03332-bad7-11ea-a249-ac1f6b442184</v>
      </c>
      <c r="AD1091" s="32">
        <v>24</v>
      </c>
      <c r="AE1091" s="3"/>
      <c r="AF1091" s="3" t="s">
        <v>136</v>
      </c>
      <c r="AG1091" s="3"/>
      <c r="AH1091" s="3" t="s">
        <v>613</v>
      </c>
      <c r="AI1091" s="3"/>
      <c r="AJ1091" s="3"/>
      <c r="AK1091" s="3" t="str">
        <f>HYPERLINK("https://knigipp.ru/api/getInfo/item/93a03332-bad7-11ea-a249-ac1f6b442184")</f>
        <v>https://knigipp.ru/api/getInfo/item/93a03332-bad7-11ea-a249-ac1f6b442184</v>
      </c>
      <c r="AL1091" s="3" t="s">
        <v>4657</v>
      </c>
    </row>
    <row r="1092" spans="1:38" ht="23.1" customHeight="1" outlineLevel="3" x14ac:dyDescent="0.2">
      <c r="A1092" s="48" t="s">
        <v>4662</v>
      </c>
      <c r="B1092" s="48"/>
      <c r="C1092" s="48"/>
      <c r="D1092" s="48"/>
      <c r="E1092" s="48"/>
      <c r="F1092" s="48"/>
    </row>
    <row r="1093" spans="1:38" ht="21" customHeight="1" outlineLevel="4" x14ac:dyDescent="0.2">
      <c r="A1093" s="2">
        <v>820</v>
      </c>
      <c r="B1093" s="3" t="s">
        <v>4663</v>
      </c>
      <c r="C1093" s="49" t="s">
        <v>4664</v>
      </c>
      <c r="D1093" s="49"/>
      <c r="E1093" s="49"/>
      <c r="F1093" s="49"/>
      <c r="G1093" s="4" t="s">
        <v>4665</v>
      </c>
      <c r="H1093" s="8" t="s">
        <v>610</v>
      </c>
      <c r="I1093" s="9" t="s">
        <v>4666</v>
      </c>
      <c r="J1093" s="10"/>
      <c r="K1093" s="11">
        <v>50</v>
      </c>
      <c r="L1093" s="10"/>
      <c r="M1093" s="10" t="s">
        <v>47</v>
      </c>
      <c r="N1093" s="10"/>
      <c r="O1093" s="2">
        <v>7</v>
      </c>
      <c r="P1093" s="17">
        <f>97*(1-S3/100)</f>
        <v>97</v>
      </c>
      <c r="Q1093" s="18"/>
      <c r="R1093" s="10">
        <f>P1093*Q1093</f>
        <v>0</v>
      </c>
      <c r="S1093" s="19">
        <f>0.064*Q1093</f>
        <v>0</v>
      </c>
      <c r="T1093" s="20">
        <f>0.00022*Q1093</f>
        <v>0</v>
      </c>
      <c r="U1093" s="21"/>
      <c r="V1093" s="22" t="s">
        <v>4667</v>
      </c>
      <c r="W1093" s="22" t="s">
        <v>49</v>
      </c>
      <c r="X1093" s="3"/>
      <c r="Y1093" s="3"/>
      <c r="Z1093" s="3" t="s">
        <v>52</v>
      </c>
      <c r="AA1093" s="3"/>
      <c r="AB1093" s="3"/>
      <c r="AC1093" s="3" t="str">
        <f>HYPERLINK("https://knigipp.ru/api/getInfo/image/3e6f7b1a-3be9-11ec-a20f-ac1f6b442185")</f>
        <v>https://knigipp.ru/api/getInfo/image/3e6f7b1a-3be9-11ec-a20f-ac1f6b442185</v>
      </c>
      <c r="AD1093" s="32">
        <v>16</v>
      </c>
      <c r="AE1093" s="3"/>
      <c r="AF1093" s="3" t="s">
        <v>136</v>
      </c>
      <c r="AG1093" s="3"/>
      <c r="AH1093" s="3" t="s">
        <v>613</v>
      </c>
      <c r="AI1093" s="3"/>
      <c r="AJ1093" s="3"/>
      <c r="AK1093" s="3" t="str">
        <f>HYPERLINK("https://knigipp.ru/api/getInfo/item/3e6f7b1a-3be9-11ec-a20f-ac1f6b442185")</f>
        <v>https://knigipp.ru/api/getInfo/item/3e6f7b1a-3be9-11ec-a20f-ac1f6b442185</v>
      </c>
      <c r="AL1093" s="3" t="s">
        <v>935</v>
      </c>
    </row>
    <row r="1094" spans="1:38" ht="21" customHeight="1" outlineLevel="4" x14ac:dyDescent="0.2">
      <c r="A1094" s="2">
        <v>821</v>
      </c>
      <c r="B1094" s="3" t="s">
        <v>4668</v>
      </c>
      <c r="C1094" s="49" t="s">
        <v>4669</v>
      </c>
      <c r="D1094" s="49"/>
      <c r="E1094" s="49"/>
      <c r="F1094" s="49"/>
      <c r="G1094" s="4" t="s">
        <v>4670</v>
      </c>
      <c r="H1094" s="8" t="s">
        <v>610</v>
      </c>
      <c r="I1094" s="9" t="s">
        <v>4666</v>
      </c>
      <c r="J1094" s="10"/>
      <c r="K1094" s="11">
        <v>50</v>
      </c>
      <c r="L1094" s="10"/>
      <c r="M1094" s="10" t="s">
        <v>47</v>
      </c>
      <c r="N1094" s="10"/>
      <c r="O1094" s="2">
        <v>7</v>
      </c>
      <c r="P1094" s="17">
        <f>97*(1-S3/100)</f>
        <v>97</v>
      </c>
      <c r="Q1094" s="18"/>
      <c r="R1094" s="10">
        <f>P1094*Q1094</f>
        <v>0</v>
      </c>
      <c r="S1094" s="19">
        <f>0.064*Q1094</f>
        <v>0</v>
      </c>
      <c r="T1094" s="20">
        <f>0.00022*Q1094</f>
        <v>0</v>
      </c>
      <c r="U1094" s="21"/>
      <c r="V1094" s="22" t="s">
        <v>4671</v>
      </c>
      <c r="W1094" s="22" t="s">
        <v>49</v>
      </c>
      <c r="X1094" s="3"/>
      <c r="Y1094" s="3"/>
      <c r="Z1094" s="3" t="s">
        <v>52</v>
      </c>
      <c r="AA1094" s="3"/>
      <c r="AB1094" s="3"/>
      <c r="AC1094" s="3" t="str">
        <f>HYPERLINK("https://knigipp.ru/api/getInfo/image/f13f1c36-3be8-11ec-a20f-ac1f6b442185")</f>
        <v>https://knigipp.ru/api/getInfo/image/f13f1c36-3be8-11ec-a20f-ac1f6b442185</v>
      </c>
      <c r="AD1094" s="32">
        <v>16</v>
      </c>
      <c r="AE1094" s="3"/>
      <c r="AF1094" s="3" t="s">
        <v>136</v>
      </c>
      <c r="AG1094" s="3"/>
      <c r="AH1094" s="3" t="s">
        <v>613</v>
      </c>
      <c r="AI1094" s="3"/>
      <c r="AJ1094" s="3"/>
      <c r="AK1094" s="3" t="str">
        <f>HYPERLINK("https://knigipp.ru/api/getInfo/item/f13f1c36-3be8-11ec-a20f-ac1f6b442185")</f>
        <v>https://knigipp.ru/api/getInfo/item/f13f1c36-3be8-11ec-a20f-ac1f6b442185</v>
      </c>
      <c r="AL1094" s="3" t="s">
        <v>935</v>
      </c>
    </row>
    <row r="1095" spans="1:38" ht="21" customHeight="1" outlineLevel="4" x14ac:dyDescent="0.2">
      <c r="A1095" s="2">
        <v>822</v>
      </c>
      <c r="B1095" s="3" t="s">
        <v>4672</v>
      </c>
      <c r="C1095" s="49" t="s">
        <v>4673</v>
      </c>
      <c r="D1095" s="49"/>
      <c r="E1095" s="49"/>
      <c r="F1095" s="49"/>
      <c r="G1095" s="4" t="s">
        <v>4674</v>
      </c>
      <c r="H1095" s="8" t="s">
        <v>610</v>
      </c>
      <c r="I1095" s="9" t="s">
        <v>4666</v>
      </c>
      <c r="J1095" s="10"/>
      <c r="K1095" s="11">
        <v>50</v>
      </c>
      <c r="L1095" s="10"/>
      <c r="M1095" s="10" t="s">
        <v>47</v>
      </c>
      <c r="N1095" s="10"/>
      <c r="O1095" s="2">
        <v>7</v>
      </c>
      <c r="P1095" s="17">
        <f>97*(1-S3/100)</f>
        <v>97</v>
      </c>
      <c r="Q1095" s="18"/>
      <c r="R1095" s="10">
        <f>P1095*Q1095</f>
        <v>0</v>
      </c>
      <c r="S1095" s="19">
        <f>0.064*Q1095</f>
        <v>0</v>
      </c>
      <c r="T1095" s="20">
        <f>0.00028*Q1095</f>
        <v>0</v>
      </c>
      <c r="U1095" s="21"/>
      <c r="V1095" s="22" t="s">
        <v>4675</v>
      </c>
      <c r="W1095" s="22" t="s">
        <v>49</v>
      </c>
      <c r="X1095" s="3"/>
      <c r="Y1095" s="3"/>
      <c r="Z1095" s="3" t="s">
        <v>52</v>
      </c>
      <c r="AA1095" s="3"/>
      <c r="AB1095" s="3"/>
      <c r="AC1095" s="3" t="str">
        <f>HYPERLINK("https://knigipp.ru/api/getInfo/image/c309f5b1-3be9-11ec-a20f-ac1f6b442185")</f>
        <v>https://knigipp.ru/api/getInfo/image/c309f5b1-3be9-11ec-a20f-ac1f6b442185</v>
      </c>
      <c r="AD1095" s="32">
        <v>16</v>
      </c>
      <c r="AE1095" s="3"/>
      <c r="AF1095" s="3" t="s">
        <v>136</v>
      </c>
      <c r="AG1095" s="3"/>
      <c r="AH1095" s="3" t="s">
        <v>613</v>
      </c>
      <c r="AI1095" s="3"/>
      <c r="AJ1095" s="3"/>
      <c r="AK1095" s="3" t="str">
        <f>HYPERLINK("https://knigipp.ru/api/getInfo/item/c309f5b1-3be9-11ec-a20f-ac1f6b442185")</f>
        <v>https://knigipp.ru/api/getInfo/item/c309f5b1-3be9-11ec-a20f-ac1f6b442185</v>
      </c>
      <c r="AL1095" s="3" t="s">
        <v>935</v>
      </c>
    </row>
    <row r="1096" spans="1:38" ht="21" customHeight="1" outlineLevel="4" x14ac:dyDescent="0.2">
      <c r="A1096" s="2">
        <v>823</v>
      </c>
      <c r="B1096" s="3" t="s">
        <v>4676</v>
      </c>
      <c r="C1096" s="49" t="s">
        <v>4677</v>
      </c>
      <c r="D1096" s="49"/>
      <c r="E1096" s="49"/>
      <c r="F1096" s="49"/>
      <c r="G1096" s="4" t="s">
        <v>4678</v>
      </c>
      <c r="H1096" s="8" t="s">
        <v>610</v>
      </c>
      <c r="I1096" s="9" t="s">
        <v>4666</v>
      </c>
      <c r="J1096" s="10"/>
      <c r="K1096" s="11">
        <v>50</v>
      </c>
      <c r="L1096" s="10"/>
      <c r="M1096" s="10" t="s">
        <v>47</v>
      </c>
      <c r="N1096" s="10"/>
      <c r="O1096" s="2">
        <v>7</v>
      </c>
      <c r="P1096" s="17">
        <f>97*(1-S3/100)</f>
        <v>97</v>
      </c>
      <c r="Q1096" s="18"/>
      <c r="R1096" s="10">
        <f>P1096*Q1096</f>
        <v>0</v>
      </c>
      <c r="S1096" s="19">
        <f>0.064*Q1096</f>
        <v>0</v>
      </c>
      <c r="T1096" s="20">
        <f>0.00022*Q1096</f>
        <v>0</v>
      </c>
      <c r="U1096" s="21"/>
      <c r="V1096" s="22" t="s">
        <v>4679</v>
      </c>
      <c r="W1096" s="22" t="s">
        <v>49</v>
      </c>
      <c r="X1096" s="3"/>
      <c r="Y1096" s="3"/>
      <c r="Z1096" s="3" t="s">
        <v>52</v>
      </c>
      <c r="AA1096" s="3"/>
      <c r="AB1096" s="3"/>
      <c r="AC1096" s="3" t="str">
        <f>HYPERLINK("https://knigipp.ru/api/getInfo/image/6dbf5499-3be9-11ec-a20f-ac1f6b442185")</f>
        <v>https://knigipp.ru/api/getInfo/image/6dbf5499-3be9-11ec-a20f-ac1f6b442185</v>
      </c>
      <c r="AD1096" s="32">
        <v>16</v>
      </c>
      <c r="AE1096" s="3"/>
      <c r="AF1096" s="3" t="s">
        <v>136</v>
      </c>
      <c r="AG1096" s="3"/>
      <c r="AH1096" s="3" t="s">
        <v>613</v>
      </c>
      <c r="AI1096" s="3"/>
      <c r="AJ1096" s="3"/>
      <c r="AK1096" s="3" t="str">
        <f>HYPERLINK("https://knigipp.ru/api/getInfo/item/6dbf5499-3be9-11ec-a20f-ac1f6b442185")</f>
        <v>https://knigipp.ru/api/getInfo/item/6dbf5499-3be9-11ec-a20f-ac1f6b442185</v>
      </c>
      <c r="AL1096" s="3" t="s">
        <v>935</v>
      </c>
    </row>
    <row r="1097" spans="1:38" ht="23.1" customHeight="1" outlineLevel="3" x14ac:dyDescent="0.2">
      <c r="A1097" s="48" t="s">
        <v>4680</v>
      </c>
      <c r="B1097" s="48"/>
      <c r="C1097" s="48"/>
      <c r="D1097" s="48"/>
      <c r="E1097" s="48"/>
      <c r="F1097" s="48"/>
    </row>
    <row r="1098" spans="1:38" ht="21" customHeight="1" outlineLevel="4" x14ac:dyDescent="0.2">
      <c r="A1098" s="2">
        <v>824</v>
      </c>
      <c r="B1098" s="3" t="s">
        <v>4681</v>
      </c>
      <c r="C1098" s="49" t="s">
        <v>4682</v>
      </c>
      <c r="D1098" s="49"/>
      <c r="E1098" s="49"/>
      <c r="F1098" s="49"/>
      <c r="G1098" s="4" t="s">
        <v>4683</v>
      </c>
      <c r="H1098" s="8"/>
      <c r="I1098" s="9" t="s">
        <v>4684</v>
      </c>
      <c r="J1098" s="10"/>
      <c r="K1098" s="11">
        <v>20</v>
      </c>
      <c r="L1098" s="10"/>
      <c r="M1098" s="10" t="s">
        <v>47</v>
      </c>
      <c r="N1098" s="10"/>
      <c r="O1098" s="2">
        <v>2</v>
      </c>
      <c r="P1098" s="17">
        <f>297*(1-S3/100)</f>
        <v>297</v>
      </c>
      <c r="Q1098" s="18"/>
      <c r="R1098" s="10">
        <f>P1098*Q1098</f>
        <v>0</v>
      </c>
      <c r="S1098" s="35">
        <f>0.1*Q1098</f>
        <v>0</v>
      </c>
      <c r="T1098" s="20">
        <f>0.00082*Q1098</f>
        <v>0</v>
      </c>
      <c r="U1098" s="21"/>
      <c r="V1098" s="22" t="s">
        <v>4685</v>
      </c>
      <c r="W1098" s="22" t="s">
        <v>49</v>
      </c>
      <c r="X1098" s="3"/>
      <c r="Y1098" s="3" t="s">
        <v>4686</v>
      </c>
      <c r="Z1098" s="3" t="s">
        <v>52</v>
      </c>
      <c r="AA1098" s="3"/>
      <c r="AB1098" s="3"/>
      <c r="AC1098" s="3" t="str">
        <f>HYPERLINK("https://knigipp.ru/api/getInfo/image/c04455aa-7fc4-11ef-a265-00155d82e908")</f>
        <v>https://knigipp.ru/api/getInfo/image/c04455aa-7fc4-11ef-a265-00155d82e908</v>
      </c>
      <c r="AD1098" s="32">
        <v>24</v>
      </c>
      <c r="AE1098" s="3"/>
      <c r="AF1098" s="3" t="s">
        <v>136</v>
      </c>
      <c r="AG1098" s="3"/>
      <c r="AH1098" s="3" t="s">
        <v>613</v>
      </c>
      <c r="AI1098" s="3"/>
      <c r="AJ1098" s="3"/>
      <c r="AK1098" s="3" t="str">
        <f>HYPERLINK("https://knigipp.ru/api/getInfo/item/c04455aa-7fc4-11ef-a265-00155d82e908")</f>
        <v>https://knigipp.ru/api/getInfo/item/c04455aa-7fc4-11ef-a265-00155d82e908</v>
      </c>
      <c r="AL1098" s="3" t="s">
        <v>4623</v>
      </c>
    </row>
    <row r="1099" spans="1:38" ht="21" customHeight="1" outlineLevel="4" x14ac:dyDescent="0.2">
      <c r="A1099" s="2">
        <v>825</v>
      </c>
      <c r="B1099" s="3" t="s">
        <v>4687</v>
      </c>
      <c r="C1099" s="49" t="s">
        <v>4688</v>
      </c>
      <c r="D1099" s="49"/>
      <c r="E1099" s="49"/>
      <c r="F1099" s="49"/>
      <c r="G1099" s="4" t="s">
        <v>4689</v>
      </c>
      <c r="H1099" s="8"/>
      <c r="I1099" s="9" t="s">
        <v>4684</v>
      </c>
      <c r="J1099" s="10"/>
      <c r="K1099" s="11">
        <v>20</v>
      </c>
      <c r="L1099" s="10"/>
      <c r="M1099" s="10" t="s">
        <v>47</v>
      </c>
      <c r="N1099" s="10"/>
      <c r="O1099" s="2">
        <v>2</v>
      </c>
      <c r="P1099" s="17">
        <f>297*(1-S3/100)</f>
        <v>297</v>
      </c>
      <c r="Q1099" s="18"/>
      <c r="R1099" s="10">
        <f>P1099*Q1099</f>
        <v>0</v>
      </c>
      <c r="S1099" s="19">
        <f>0.101*Q1099</f>
        <v>0</v>
      </c>
      <c r="T1099" s="20">
        <f>0.00111*Q1099</f>
        <v>0</v>
      </c>
      <c r="U1099" s="21"/>
      <c r="V1099" s="22" t="s">
        <v>4690</v>
      </c>
      <c r="W1099" s="22" t="s">
        <v>49</v>
      </c>
      <c r="X1099" s="3"/>
      <c r="Y1099" s="3" t="s">
        <v>4686</v>
      </c>
      <c r="Z1099" s="3" t="s">
        <v>52</v>
      </c>
      <c r="AA1099" s="3"/>
      <c r="AB1099" s="3"/>
      <c r="AC1099" s="3" t="str">
        <f>HYPERLINK("https://knigipp.ru/api/getInfo/image/8e51cb16-7fc4-11ef-a265-00155d82e908")</f>
        <v>https://knigipp.ru/api/getInfo/image/8e51cb16-7fc4-11ef-a265-00155d82e908</v>
      </c>
      <c r="AD1099" s="32">
        <v>24</v>
      </c>
      <c r="AE1099" s="3"/>
      <c r="AF1099" s="3" t="s">
        <v>136</v>
      </c>
      <c r="AG1099" s="3"/>
      <c r="AH1099" s="3" t="s">
        <v>613</v>
      </c>
      <c r="AI1099" s="3"/>
      <c r="AJ1099" s="3"/>
      <c r="AK1099" s="3" t="str">
        <f>HYPERLINK("https://knigipp.ru/api/getInfo/item/8e51cb16-7fc4-11ef-a265-00155d82e908")</f>
        <v>https://knigipp.ru/api/getInfo/item/8e51cb16-7fc4-11ef-a265-00155d82e908</v>
      </c>
      <c r="AL1099" s="3" t="s">
        <v>4623</v>
      </c>
    </row>
    <row r="1100" spans="1:38" ht="21" customHeight="1" outlineLevel="4" x14ac:dyDescent="0.2">
      <c r="A1100" s="2">
        <v>826</v>
      </c>
      <c r="B1100" s="3" t="s">
        <v>4691</v>
      </c>
      <c r="C1100" s="49" t="s">
        <v>4692</v>
      </c>
      <c r="D1100" s="49"/>
      <c r="E1100" s="49"/>
      <c r="F1100" s="49"/>
      <c r="G1100" s="4" t="s">
        <v>4693</v>
      </c>
      <c r="H1100" s="8"/>
      <c r="I1100" s="9" t="s">
        <v>4684</v>
      </c>
      <c r="J1100" s="10"/>
      <c r="K1100" s="11">
        <v>20</v>
      </c>
      <c r="L1100" s="10"/>
      <c r="M1100" s="10" t="s">
        <v>47</v>
      </c>
      <c r="N1100" s="10"/>
      <c r="O1100" s="2">
        <v>2</v>
      </c>
      <c r="P1100" s="17">
        <f>297*(1-S3/100)</f>
        <v>297</v>
      </c>
      <c r="Q1100" s="18"/>
      <c r="R1100" s="10">
        <f>P1100*Q1100</f>
        <v>0</v>
      </c>
      <c r="S1100" s="19">
        <f>0.097*Q1100</f>
        <v>0</v>
      </c>
      <c r="T1100" s="20">
        <f>0.00118*Q1100</f>
        <v>0</v>
      </c>
      <c r="U1100" s="21"/>
      <c r="V1100" s="22" t="s">
        <v>4694</v>
      </c>
      <c r="W1100" s="22" t="s">
        <v>49</v>
      </c>
      <c r="X1100" s="3"/>
      <c r="Y1100" s="3" t="s">
        <v>4686</v>
      </c>
      <c r="Z1100" s="3" t="s">
        <v>52</v>
      </c>
      <c r="AA1100" s="3"/>
      <c r="AB1100" s="3"/>
      <c r="AC1100" s="3" t="str">
        <f>HYPERLINK("https://knigipp.ru/api/getInfo/image/f9bc5a01-7fc4-11ef-a265-00155d82e908")</f>
        <v>https://knigipp.ru/api/getInfo/image/f9bc5a01-7fc4-11ef-a265-00155d82e908</v>
      </c>
      <c r="AD1100" s="32">
        <v>24</v>
      </c>
      <c r="AE1100" s="3"/>
      <c r="AF1100" s="3" t="s">
        <v>136</v>
      </c>
      <c r="AG1100" s="3"/>
      <c r="AH1100" s="3" t="s">
        <v>613</v>
      </c>
      <c r="AI1100" s="3"/>
      <c r="AJ1100" s="3"/>
      <c r="AK1100" s="3" t="str">
        <f>HYPERLINK("https://knigipp.ru/api/getInfo/item/f9bc5a01-7fc4-11ef-a265-00155d82e908")</f>
        <v>https://knigipp.ru/api/getInfo/item/f9bc5a01-7fc4-11ef-a265-00155d82e908</v>
      </c>
      <c r="AL1100" s="3" t="s">
        <v>4623</v>
      </c>
    </row>
    <row r="1101" spans="1:38" ht="21" customHeight="1" outlineLevel="4" x14ac:dyDescent="0.2">
      <c r="A1101" s="2">
        <v>827</v>
      </c>
      <c r="B1101" s="3" t="s">
        <v>4695</v>
      </c>
      <c r="C1101" s="49" t="s">
        <v>4696</v>
      </c>
      <c r="D1101" s="49"/>
      <c r="E1101" s="49"/>
      <c r="F1101" s="49"/>
      <c r="G1101" s="4" t="s">
        <v>4697</v>
      </c>
      <c r="H1101" s="8" t="s">
        <v>610</v>
      </c>
      <c r="I1101" s="9" t="s">
        <v>4684</v>
      </c>
      <c r="J1101" s="10"/>
      <c r="K1101" s="11">
        <v>20</v>
      </c>
      <c r="L1101" s="10"/>
      <c r="M1101" s="10" t="s">
        <v>47</v>
      </c>
      <c r="N1101" s="10"/>
      <c r="O1101" s="2">
        <v>2</v>
      </c>
      <c r="P1101" s="17">
        <f>297*(1-S3/100)</f>
        <v>297</v>
      </c>
      <c r="Q1101" s="18"/>
      <c r="R1101" s="10">
        <f>P1101*Q1101</f>
        <v>0</v>
      </c>
      <c r="S1101" s="19">
        <f>0.101*Q1101</f>
        <v>0</v>
      </c>
      <c r="T1101" s="20">
        <f>0.00118*Q1101</f>
        <v>0</v>
      </c>
      <c r="U1101" s="21"/>
      <c r="V1101" s="22" t="s">
        <v>4698</v>
      </c>
      <c r="W1101" s="22" t="s">
        <v>49</v>
      </c>
      <c r="X1101" s="3"/>
      <c r="Y1101" s="3" t="s">
        <v>4686</v>
      </c>
      <c r="Z1101" s="3" t="s">
        <v>52</v>
      </c>
      <c r="AA1101" s="3"/>
      <c r="AB1101" s="3"/>
      <c r="AC1101" s="3" t="str">
        <f>HYPERLINK("https://knigipp.ru/api/getInfo/image/20b0f429-7fc5-11ef-a265-00155d82e908")</f>
        <v>https://knigipp.ru/api/getInfo/image/20b0f429-7fc5-11ef-a265-00155d82e908</v>
      </c>
      <c r="AD1101" s="32">
        <v>24</v>
      </c>
      <c r="AE1101" s="3"/>
      <c r="AF1101" s="3" t="s">
        <v>136</v>
      </c>
      <c r="AG1101" s="3"/>
      <c r="AH1101" s="3" t="s">
        <v>613</v>
      </c>
      <c r="AI1101" s="3"/>
      <c r="AJ1101" s="3"/>
      <c r="AK1101" s="3" t="str">
        <f>HYPERLINK("https://knigipp.ru/api/getInfo/item/20b0f429-7fc5-11ef-a265-00155d82e908")</f>
        <v>https://knigipp.ru/api/getInfo/item/20b0f429-7fc5-11ef-a265-00155d82e908</v>
      </c>
      <c r="AL1101" s="3" t="s">
        <v>4623</v>
      </c>
    </row>
    <row r="1102" spans="1:38" ht="23.1" customHeight="1" outlineLevel="3" x14ac:dyDescent="0.2">
      <c r="A1102" s="48" t="s">
        <v>4699</v>
      </c>
      <c r="B1102" s="48"/>
      <c r="C1102" s="48"/>
      <c r="D1102" s="48"/>
      <c r="E1102" s="48"/>
      <c r="F1102" s="48"/>
    </row>
    <row r="1103" spans="1:38" ht="21" customHeight="1" outlineLevel="4" x14ac:dyDescent="0.2">
      <c r="A1103" s="2">
        <v>828</v>
      </c>
      <c r="B1103" s="3" t="s">
        <v>4700</v>
      </c>
      <c r="C1103" s="49" t="s">
        <v>4701</v>
      </c>
      <c r="D1103" s="49"/>
      <c r="E1103" s="49"/>
      <c r="F1103" s="49"/>
      <c r="G1103" s="4" t="s">
        <v>4702</v>
      </c>
      <c r="H1103" s="8"/>
      <c r="I1103" s="9" t="s">
        <v>4703</v>
      </c>
      <c r="J1103" s="10"/>
      <c r="K1103" s="11">
        <v>20</v>
      </c>
      <c r="L1103" s="10"/>
      <c r="M1103" s="10" t="s">
        <v>47</v>
      </c>
      <c r="N1103" s="10"/>
      <c r="O1103" s="2">
        <v>3</v>
      </c>
      <c r="P1103" s="17">
        <f>229*(1-S3/100)</f>
        <v>229</v>
      </c>
      <c r="Q1103" s="18"/>
      <c r="R1103" s="10">
        <f>P1103*Q1103</f>
        <v>0</v>
      </c>
      <c r="S1103" s="19">
        <f>0.119*Q1103</f>
        <v>0</v>
      </c>
      <c r="T1103" s="20">
        <f>0.00069*Q1103</f>
        <v>0</v>
      </c>
      <c r="U1103" s="21"/>
      <c r="V1103" s="22" t="s">
        <v>4704</v>
      </c>
      <c r="W1103" s="22" t="s">
        <v>49</v>
      </c>
      <c r="X1103" s="3"/>
      <c r="Y1103" s="3" t="s">
        <v>4705</v>
      </c>
      <c r="Z1103" s="3" t="s">
        <v>52</v>
      </c>
      <c r="AA1103" s="3" t="s">
        <v>438</v>
      </c>
      <c r="AB1103" s="3"/>
      <c r="AC1103" s="3" t="str">
        <f>HYPERLINK("https://knigipp.ru/api/getInfo/image/b0b5bd52-d7ce-11ee-a25a-00155d82e908")</f>
        <v>https://knigipp.ru/api/getInfo/image/b0b5bd52-d7ce-11ee-a25a-00155d82e908</v>
      </c>
      <c r="AD1103" s="32">
        <v>14</v>
      </c>
      <c r="AE1103" s="3" t="s">
        <v>54</v>
      </c>
      <c r="AF1103" s="3" t="s">
        <v>741</v>
      </c>
      <c r="AG1103" s="3"/>
      <c r="AH1103" s="3" t="s">
        <v>56</v>
      </c>
      <c r="AI1103" s="3"/>
      <c r="AJ1103" s="3"/>
      <c r="AK1103" s="3" t="str">
        <f>HYPERLINK("https://knigipp.ru/api/getInfo/item/b0b5bd52-d7ce-11ee-a25a-00155d82e908")</f>
        <v>https://knigipp.ru/api/getInfo/item/b0b5bd52-d7ce-11ee-a25a-00155d82e908</v>
      </c>
      <c r="AL1103" s="3" t="s">
        <v>4706</v>
      </c>
    </row>
    <row r="1104" spans="1:38" ht="21" customHeight="1" outlineLevel="4" x14ac:dyDescent="0.2">
      <c r="A1104" s="2">
        <v>829</v>
      </c>
      <c r="B1104" s="3" t="s">
        <v>4707</v>
      </c>
      <c r="C1104" s="49" t="s">
        <v>4708</v>
      </c>
      <c r="D1104" s="49"/>
      <c r="E1104" s="49"/>
      <c r="F1104" s="49"/>
      <c r="G1104" s="4" t="s">
        <v>4709</v>
      </c>
      <c r="H1104" s="8"/>
      <c r="I1104" s="9" t="s">
        <v>4703</v>
      </c>
      <c r="J1104" s="10"/>
      <c r="K1104" s="11">
        <v>20</v>
      </c>
      <c r="L1104" s="10"/>
      <c r="M1104" s="10" t="s">
        <v>47</v>
      </c>
      <c r="N1104" s="10"/>
      <c r="O1104" s="2">
        <v>3</v>
      </c>
      <c r="P1104" s="17">
        <f>229*(1-S3/100)</f>
        <v>229</v>
      </c>
      <c r="Q1104" s="18"/>
      <c r="R1104" s="10">
        <f>P1104*Q1104</f>
        <v>0</v>
      </c>
      <c r="S1104" s="19">
        <f>0.116*Q1104</f>
        <v>0</v>
      </c>
      <c r="T1104" s="20">
        <f>0.00043*Q1104</f>
        <v>0</v>
      </c>
      <c r="U1104" s="21"/>
      <c r="V1104" s="22" t="s">
        <v>4710</v>
      </c>
      <c r="W1104" s="22" t="s">
        <v>49</v>
      </c>
      <c r="X1104" s="3"/>
      <c r="Y1104" s="3" t="s">
        <v>4705</v>
      </c>
      <c r="Z1104" s="3" t="s">
        <v>52</v>
      </c>
      <c r="AA1104" s="3" t="s">
        <v>438</v>
      </c>
      <c r="AB1104" s="3"/>
      <c r="AC1104" s="3" t="str">
        <f>HYPERLINK("https://knigipp.ru/api/getInfo/image/d01d43d1-d7ce-11ee-a25a-00155d82e908")</f>
        <v>https://knigipp.ru/api/getInfo/image/d01d43d1-d7ce-11ee-a25a-00155d82e908</v>
      </c>
      <c r="AD1104" s="32">
        <v>14</v>
      </c>
      <c r="AE1104" s="3" t="s">
        <v>54</v>
      </c>
      <c r="AF1104" s="3" t="s">
        <v>741</v>
      </c>
      <c r="AG1104" s="3"/>
      <c r="AH1104" s="3" t="s">
        <v>56</v>
      </c>
      <c r="AI1104" s="3"/>
      <c r="AJ1104" s="3"/>
      <c r="AK1104" s="3" t="str">
        <f>HYPERLINK("https://knigipp.ru/api/getInfo/item/d01d43d1-d7ce-11ee-a25a-00155d82e908")</f>
        <v>https://knigipp.ru/api/getInfo/item/d01d43d1-d7ce-11ee-a25a-00155d82e908</v>
      </c>
      <c r="AL1104" s="3" t="s">
        <v>4706</v>
      </c>
    </row>
    <row r="1105" spans="1:38" ht="23.1" customHeight="1" outlineLevel="3" x14ac:dyDescent="0.2">
      <c r="A1105" s="48" t="s">
        <v>4711</v>
      </c>
      <c r="B1105" s="48"/>
      <c r="C1105" s="48"/>
      <c r="D1105" s="48"/>
      <c r="E1105" s="48"/>
      <c r="F1105" s="48"/>
    </row>
    <row r="1106" spans="1:38" ht="21" customHeight="1" outlineLevel="4" x14ac:dyDescent="0.2">
      <c r="A1106" s="2">
        <v>830</v>
      </c>
      <c r="B1106" s="3" t="s">
        <v>4712</v>
      </c>
      <c r="C1106" s="49" t="s">
        <v>4713</v>
      </c>
      <c r="D1106" s="49"/>
      <c r="E1106" s="49"/>
      <c r="F1106" s="49"/>
      <c r="G1106" s="4" t="s">
        <v>4714</v>
      </c>
      <c r="H1106" s="8"/>
      <c r="I1106" s="9" t="s">
        <v>4715</v>
      </c>
      <c r="J1106" s="10"/>
      <c r="K1106" s="11">
        <v>50</v>
      </c>
      <c r="L1106" s="10"/>
      <c r="M1106" s="10" t="s">
        <v>304</v>
      </c>
      <c r="N1106" s="10"/>
      <c r="O1106" s="2">
        <v>7</v>
      </c>
      <c r="P1106" s="17">
        <f>87.8*(1-S3/100)</f>
        <v>87.8</v>
      </c>
      <c r="Q1106" s="18"/>
      <c r="R1106" s="10">
        <f>P1106*Q1106</f>
        <v>0</v>
      </c>
      <c r="S1106" s="19">
        <f>0.068*Q1106</f>
        <v>0</v>
      </c>
      <c r="T1106" s="20">
        <f>0.00056*Q1106</f>
        <v>0</v>
      </c>
      <c r="U1106" s="21"/>
      <c r="V1106" s="22" t="s">
        <v>4716</v>
      </c>
      <c r="W1106" s="22" t="s">
        <v>49</v>
      </c>
      <c r="X1106" s="3"/>
      <c r="Y1106" s="3"/>
      <c r="Z1106" s="3" t="s">
        <v>52</v>
      </c>
      <c r="AA1106" s="3"/>
      <c r="AB1106" s="3"/>
      <c r="AC1106" s="3" t="str">
        <f>HYPERLINK("https://knigipp.ru/api/getInfo/image/9bd56b81-6966-11ec-a20f-ac1f6b442185")</f>
        <v>https://knigipp.ru/api/getInfo/image/9bd56b81-6966-11ec-a20f-ac1f6b442185</v>
      </c>
      <c r="AD1106" s="32">
        <v>16</v>
      </c>
      <c r="AE1106" s="3"/>
      <c r="AF1106" s="3" t="s">
        <v>136</v>
      </c>
      <c r="AG1106" s="3"/>
      <c r="AH1106" s="3" t="s">
        <v>56</v>
      </c>
      <c r="AI1106" s="3"/>
      <c r="AJ1106" s="3"/>
      <c r="AK1106" s="3" t="str">
        <f>HYPERLINK("https://knigipp.ru/api/getInfo/item/9bd56b81-6966-11ec-a20f-ac1f6b442185")</f>
        <v>https://knigipp.ru/api/getInfo/item/9bd56b81-6966-11ec-a20f-ac1f6b442185</v>
      </c>
      <c r="AL1106" s="3" t="s">
        <v>614</v>
      </c>
    </row>
    <row r="1107" spans="1:38" ht="21" customHeight="1" outlineLevel="4" x14ac:dyDescent="0.2">
      <c r="A1107" s="2">
        <v>831</v>
      </c>
      <c r="B1107" s="3" t="s">
        <v>4717</v>
      </c>
      <c r="C1107" s="49" t="s">
        <v>4718</v>
      </c>
      <c r="D1107" s="49"/>
      <c r="E1107" s="49"/>
      <c r="F1107" s="49"/>
      <c r="G1107" s="4" t="s">
        <v>4719</v>
      </c>
      <c r="H1107" s="8"/>
      <c r="I1107" s="9" t="s">
        <v>4715</v>
      </c>
      <c r="J1107" s="10"/>
      <c r="K1107" s="11">
        <v>50</v>
      </c>
      <c r="L1107" s="10"/>
      <c r="M1107" s="10" t="s">
        <v>78</v>
      </c>
      <c r="N1107" s="10"/>
      <c r="O1107" s="2">
        <v>7</v>
      </c>
      <c r="P1107" s="17">
        <f>87.8*(1-S3/100)</f>
        <v>87.8</v>
      </c>
      <c r="Q1107" s="18"/>
      <c r="R1107" s="10">
        <f>P1107*Q1107</f>
        <v>0</v>
      </c>
      <c r="S1107" s="28">
        <f>0.07*Q1107</f>
        <v>0</v>
      </c>
      <c r="T1107" s="20">
        <f>0.00057*Q1107</f>
        <v>0</v>
      </c>
      <c r="U1107" s="21"/>
      <c r="V1107" s="22" t="s">
        <v>4720</v>
      </c>
      <c r="W1107" s="22" t="s">
        <v>49</v>
      </c>
      <c r="X1107" s="3"/>
      <c r="Y1107" s="3"/>
      <c r="Z1107" s="3" t="s">
        <v>52</v>
      </c>
      <c r="AA1107" s="3"/>
      <c r="AB1107" s="3"/>
      <c r="AC1107" s="3" t="str">
        <f>HYPERLINK("https://knigipp.ru/api/getInfo/image/be5297aa-6966-11ec-a20f-ac1f6b442185")</f>
        <v>https://knigipp.ru/api/getInfo/image/be5297aa-6966-11ec-a20f-ac1f6b442185</v>
      </c>
      <c r="AD1107" s="32">
        <v>16</v>
      </c>
      <c r="AE1107" s="3"/>
      <c r="AF1107" s="3" t="s">
        <v>136</v>
      </c>
      <c r="AG1107" s="3"/>
      <c r="AH1107" s="3" t="s">
        <v>56</v>
      </c>
      <c r="AI1107" s="3"/>
      <c r="AJ1107" s="3"/>
      <c r="AK1107" s="3" t="str">
        <f>HYPERLINK("https://knigipp.ru/api/getInfo/item/be5297aa-6966-11ec-a20f-ac1f6b442185")</f>
        <v>https://knigipp.ru/api/getInfo/item/be5297aa-6966-11ec-a20f-ac1f6b442185</v>
      </c>
      <c r="AL1107" s="3" t="s">
        <v>614</v>
      </c>
    </row>
    <row r="1108" spans="1:38" ht="23.1" customHeight="1" outlineLevel="3" x14ac:dyDescent="0.2">
      <c r="A1108" s="48" t="s">
        <v>4721</v>
      </c>
      <c r="B1108" s="48"/>
      <c r="C1108" s="48"/>
      <c r="D1108" s="48"/>
      <c r="E1108" s="48"/>
      <c r="F1108" s="48"/>
    </row>
    <row r="1109" spans="1:38" ht="21" customHeight="1" outlineLevel="4" x14ac:dyDescent="0.2">
      <c r="A1109" s="2">
        <v>832</v>
      </c>
      <c r="B1109" s="3" t="s">
        <v>4722</v>
      </c>
      <c r="C1109" s="49" t="s">
        <v>4723</v>
      </c>
      <c r="D1109" s="49"/>
      <c r="E1109" s="49"/>
      <c r="F1109" s="49"/>
      <c r="G1109" s="4" t="s">
        <v>4724</v>
      </c>
      <c r="H1109" s="8"/>
      <c r="I1109" s="9" t="s">
        <v>4725</v>
      </c>
      <c r="J1109" s="10"/>
      <c r="K1109" s="11">
        <v>50</v>
      </c>
      <c r="L1109" s="10"/>
      <c r="M1109" s="10" t="s">
        <v>304</v>
      </c>
      <c r="N1109" s="10"/>
      <c r="O1109" s="2">
        <v>8</v>
      </c>
      <c r="P1109" s="17">
        <f>74*(1-S3/100)</f>
        <v>74</v>
      </c>
      <c r="Q1109" s="18"/>
      <c r="R1109" s="10">
        <f>P1109*Q1109</f>
        <v>0</v>
      </c>
      <c r="S1109" s="19">
        <f>0.058*Q1109</f>
        <v>0</v>
      </c>
      <c r="T1109" s="20">
        <f>0.00073*Q1109</f>
        <v>0</v>
      </c>
      <c r="U1109" s="21"/>
      <c r="V1109" s="22" t="s">
        <v>4726</v>
      </c>
      <c r="W1109" s="22" t="s">
        <v>49</v>
      </c>
      <c r="X1109" s="3"/>
      <c r="Y1109" s="3"/>
      <c r="Z1109" s="3" t="s">
        <v>52</v>
      </c>
      <c r="AA1109" s="3"/>
      <c r="AB1109" s="3"/>
      <c r="AC1109" s="3" t="str">
        <f>HYPERLINK("https://knigipp.ru/api/getInfo/image/9fb2aa07-d1da-11ec-a212-ac1f6b442185")</f>
        <v>https://knigipp.ru/api/getInfo/image/9fb2aa07-d1da-11ec-a212-ac1f6b442185</v>
      </c>
      <c r="AD1109" s="32">
        <v>16</v>
      </c>
      <c r="AE1109" s="3"/>
      <c r="AF1109" s="3" t="s">
        <v>136</v>
      </c>
      <c r="AG1109" s="3"/>
      <c r="AH1109" s="3" t="s">
        <v>613</v>
      </c>
      <c r="AI1109" s="3"/>
      <c r="AJ1109" s="3"/>
      <c r="AK1109" s="3" t="str">
        <f>HYPERLINK("https://knigipp.ru/api/getInfo/item/9fb2aa07-d1da-11ec-a212-ac1f6b442185")</f>
        <v>https://knigipp.ru/api/getInfo/item/9fb2aa07-d1da-11ec-a212-ac1f6b442185</v>
      </c>
      <c r="AL1109" s="3" t="s">
        <v>1155</v>
      </c>
    </row>
    <row r="1110" spans="1:38" ht="21" customHeight="1" outlineLevel="4" x14ac:dyDescent="0.2">
      <c r="A1110" s="2">
        <v>833</v>
      </c>
      <c r="B1110" s="3" t="s">
        <v>4727</v>
      </c>
      <c r="C1110" s="49" t="s">
        <v>4728</v>
      </c>
      <c r="D1110" s="49"/>
      <c r="E1110" s="49"/>
      <c r="F1110" s="49"/>
      <c r="G1110" s="4" t="s">
        <v>4729</v>
      </c>
      <c r="H1110" s="8"/>
      <c r="I1110" s="9" t="s">
        <v>4725</v>
      </c>
      <c r="J1110" s="10"/>
      <c r="K1110" s="11">
        <v>50</v>
      </c>
      <c r="L1110" s="10"/>
      <c r="M1110" s="10" t="s">
        <v>304</v>
      </c>
      <c r="N1110" s="10"/>
      <c r="O1110" s="2">
        <v>8</v>
      </c>
      <c r="P1110" s="17">
        <f>74*(1-S3/100)</f>
        <v>74</v>
      </c>
      <c r="Q1110" s="18"/>
      <c r="R1110" s="10">
        <f>P1110*Q1110</f>
        <v>0</v>
      </c>
      <c r="S1110" s="10">
        <v>0</v>
      </c>
      <c r="T1110" s="10">
        <v>0</v>
      </c>
      <c r="U1110" s="21"/>
      <c r="V1110" s="22" t="s">
        <v>4730</v>
      </c>
      <c r="W1110" s="22" t="s">
        <v>49</v>
      </c>
      <c r="X1110" s="3"/>
      <c r="Y1110" s="3"/>
      <c r="Z1110" s="3" t="s">
        <v>52</v>
      </c>
      <c r="AA1110" s="3"/>
      <c r="AB1110" s="3"/>
      <c r="AC1110" s="3" t="str">
        <f>HYPERLINK("https://knigipp.ru/api/getInfo/image/f03d62ac-d1da-11ec-a212-ac1f6b442185")</f>
        <v>https://knigipp.ru/api/getInfo/image/f03d62ac-d1da-11ec-a212-ac1f6b442185</v>
      </c>
      <c r="AD1110" s="32">
        <v>16</v>
      </c>
      <c r="AE1110" s="3"/>
      <c r="AF1110" s="3" t="s">
        <v>136</v>
      </c>
      <c r="AG1110" s="3"/>
      <c r="AH1110" s="3" t="s">
        <v>613</v>
      </c>
      <c r="AI1110" s="3"/>
      <c r="AJ1110" s="3"/>
      <c r="AK1110" s="3" t="str">
        <f>HYPERLINK("https://knigipp.ru/api/getInfo/item/f03d62ac-d1da-11ec-a212-ac1f6b442185")</f>
        <v>https://knigipp.ru/api/getInfo/item/f03d62ac-d1da-11ec-a212-ac1f6b442185</v>
      </c>
      <c r="AL1110" s="3" t="s">
        <v>1155</v>
      </c>
    </row>
    <row r="1111" spans="1:38" ht="23.1" customHeight="1" outlineLevel="3" x14ac:dyDescent="0.2">
      <c r="A1111" s="48" t="s">
        <v>4731</v>
      </c>
      <c r="B1111" s="48"/>
      <c r="C1111" s="48"/>
      <c r="D1111" s="48"/>
      <c r="E1111" s="48"/>
      <c r="F1111" s="48"/>
    </row>
    <row r="1112" spans="1:38" ht="21" customHeight="1" outlineLevel="4" x14ac:dyDescent="0.2">
      <c r="A1112" s="2">
        <v>834</v>
      </c>
      <c r="B1112" s="3" t="s">
        <v>4732</v>
      </c>
      <c r="C1112" s="49" t="s">
        <v>4733</v>
      </c>
      <c r="D1112" s="49"/>
      <c r="E1112" s="49"/>
      <c r="F1112" s="49"/>
      <c r="G1112" s="4" t="s">
        <v>4734</v>
      </c>
      <c r="H1112" s="8"/>
      <c r="I1112" s="9" t="s">
        <v>4735</v>
      </c>
      <c r="J1112" s="10"/>
      <c r="K1112" s="11">
        <v>20</v>
      </c>
      <c r="L1112" s="10"/>
      <c r="M1112" s="10" t="s">
        <v>47</v>
      </c>
      <c r="N1112" s="10"/>
      <c r="O1112" s="2">
        <v>4</v>
      </c>
      <c r="P1112" s="17">
        <f>169*(1-S3/100)</f>
        <v>169</v>
      </c>
      <c r="Q1112" s="18"/>
      <c r="R1112" s="10">
        <f>P1112*Q1112</f>
        <v>0</v>
      </c>
      <c r="S1112" s="19">
        <f>0.129*Q1112</f>
        <v>0</v>
      </c>
      <c r="T1112" s="30">
        <f>0.0004*Q1112</f>
        <v>0</v>
      </c>
      <c r="U1112" s="21"/>
      <c r="V1112" s="22" t="s">
        <v>4736</v>
      </c>
      <c r="W1112" s="22" t="s">
        <v>49</v>
      </c>
      <c r="X1112" s="3"/>
      <c r="Y1112" s="3" t="s">
        <v>4737</v>
      </c>
      <c r="Z1112" s="3" t="s">
        <v>52</v>
      </c>
      <c r="AA1112" s="3" t="s">
        <v>4738</v>
      </c>
      <c r="AB1112" s="3"/>
      <c r="AC1112" s="3" t="str">
        <f>HYPERLINK("https://knigipp.ru/api/getInfo/image/a2691cc9-3554-11ef-a261-00155d82e908")</f>
        <v>https://knigipp.ru/api/getInfo/image/a2691cc9-3554-11ef-a261-00155d82e908</v>
      </c>
      <c r="AD1112" s="32">
        <v>32</v>
      </c>
      <c r="AE1112" s="3" t="s">
        <v>54</v>
      </c>
      <c r="AF1112" s="3" t="s">
        <v>136</v>
      </c>
      <c r="AG1112" s="3"/>
      <c r="AH1112" s="3" t="s">
        <v>613</v>
      </c>
      <c r="AI1112" s="3"/>
      <c r="AJ1112" s="3"/>
      <c r="AK1112" s="3" t="str">
        <f>HYPERLINK("https://knigipp.ru/api/getInfo/item/a2691cc9-3554-11ef-a261-00155d82e908")</f>
        <v>https://knigipp.ru/api/getInfo/item/a2691cc9-3554-11ef-a261-00155d82e908</v>
      </c>
      <c r="AL1112" s="3" t="s">
        <v>4739</v>
      </c>
    </row>
    <row r="1113" spans="1:38" ht="21" customHeight="1" outlineLevel="4" x14ac:dyDescent="0.2">
      <c r="A1113" s="2">
        <v>835</v>
      </c>
      <c r="B1113" s="3" t="s">
        <v>4740</v>
      </c>
      <c r="C1113" s="49" t="s">
        <v>4741</v>
      </c>
      <c r="D1113" s="49"/>
      <c r="E1113" s="49"/>
      <c r="F1113" s="49"/>
      <c r="G1113" s="4" t="s">
        <v>4742</v>
      </c>
      <c r="H1113" s="8"/>
      <c r="I1113" s="9" t="s">
        <v>4743</v>
      </c>
      <c r="J1113" s="10"/>
      <c r="K1113" s="11">
        <v>20</v>
      </c>
      <c r="L1113" s="10"/>
      <c r="M1113" s="10" t="s">
        <v>47</v>
      </c>
      <c r="N1113" s="10"/>
      <c r="O1113" s="2">
        <v>4</v>
      </c>
      <c r="P1113" s="17">
        <f>169*(1-S3/100)</f>
        <v>169</v>
      </c>
      <c r="Q1113" s="18"/>
      <c r="R1113" s="10">
        <f>P1113*Q1113</f>
        <v>0</v>
      </c>
      <c r="S1113" s="19">
        <f>0.132*Q1113</f>
        <v>0</v>
      </c>
      <c r="T1113" s="20">
        <f>0.00036*Q1113</f>
        <v>0</v>
      </c>
      <c r="U1113" s="21"/>
      <c r="V1113" s="22" t="s">
        <v>4744</v>
      </c>
      <c r="W1113" s="22" t="s">
        <v>49</v>
      </c>
      <c r="X1113" s="3"/>
      <c r="Y1113" s="3" t="s">
        <v>4745</v>
      </c>
      <c r="Z1113" s="3" t="s">
        <v>52</v>
      </c>
      <c r="AA1113" s="3" t="s">
        <v>1611</v>
      </c>
      <c r="AB1113" s="3"/>
      <c r="AC1113" s="3" t="str">
        <f>HYPERLINK("https://knigipp.ru/api/getInfo/image/cf3c45b0-3554-11ef-a261-00155d82e908")</f>
        <v>https://knigipp.ru/api/getInfo/image/cf3c45b0-3554-11ef-a261-00155d82e908</v>
      </c>
      <c r="AD1113" s="32">
        <v>32</v>
      </c>
      <c r="AE1113" s="3" t="s">
        <v>54</v>
      </c>
      <c r="AF1113" s="3" t="s">
        <v>136</v>
      </c>
      <c r="AG1113" s="3"/>
      <c r="AH1113" s="3" t="s">
        <v>613</v>
      </c>
      <c r="AI1113" s="3"/>
      <c r="AJ1113" s="3"/>
      <c r="AK1113" s="3" t="str">
        <f>HYPERLINK("https://knigipp.ru/api/getInfo/item/cf3c45b0-3554-11ef-a261-00155d82e908")</f>
        <v>https://knigipp.ru/api/getInfo/item/cf3c45b0-3554-11ef-a261-00155d82e908</v>
      </c>
      <c r="AL1113" s="3" t="s">
        <v>4746</v>
      </c>
    </row>
    <row r="1114" spans="1:38" ht="23.1" customHeight="1" outlineLevel="2" x14ac:dyDescent="0.2">
      <c r="A1114" s="47" t="s">
        <v>4747</v>
      </c>
      <c r="B1114" s="47"/>
      <c r="C1114" s="47"/>
      <c r="D1114" s="47"/>
      <c r="E1114" s="47"/>
      <c r="F1114" s="47"/>
    </row>
    <row r="1115" spans="1:38" ht="23.1" customHeight="1" outlineLevel="3" x14ac:dyDescent="0.2">
      <c r="A1115" s="48" t="s">
        <v>4748</v>
      </c>
      <c r="B1115" s="48"/>
      <c r="C1115" s="48"/>
      <c r="D1115" s="48"/>
      <c r="E1115" s="48"/>
      <c r="F1115" s="48"/>
    </row>
    <row r="1116" spans="1:38" ht="21" customHeight="1" outlineLevel="4" x14ac:dyDescent="0.2">
      <c r="A1116" s="2">
        <v>836</v>
      </c>
      <c r="B1116" s="3" t="s">
        <v>4749</v>
      </c>
      <c r="C1116" s="49" t="s">
        <v>4750</v>
      </c>
      <c r="D1116" s="49"/>
      <c r="E1116" s="49"/>
      <c r="F1116" s="49"/>
      <c r="G1116" s="4" t="s">
        <v>4751</v>
      </c>
      <c r="H1116" s="8"/>
      <c r="I1116" s="9" t="s">
        <v>4752</v>
      </c>
      <c r="J1116" s="10"/>
      <c r="K1116" s="11">
        <v>30</v>
      </c>
      <c r="L1116" s="10"/>
      <c r="M1116" s="10" t="s">
        <v>47</v>
      </c>
      <c r="N1116" s="10"/>
      <c r="O1116" s="2">
        <v>12</v>
      </c>
      <c r="P1116" s="17">
        <f>57*(1-S3/100)</f>
        <v>57</v>
      </c>
      <c r="Q1116" s="18"/>
      <c r="R1116" s="10">
        <f t="shared" ref="R1116:R1123" si="41">P1116*Q1116</f>
        <v>0</v>
      </c>
      <c r="S1116" s="19">
        <f>0.029*Q1116</f>
        <v>0</v>
      </c>
      <c r="T1116" s="20">
        <f>0.00016*Q1116</f>
        <v>0</v>
      </c>
      <c r="U1116" s="21"/>
      <c r="V1116" s="22" t="s">
        <v>4753</v>
      </c>
      <c r="W1116" s="22" t="s">
        <v>49</v>
      </c>
      <c r="X1116" s="3" t="s">
        <v>4754</v>
      </c>
      <c r="Y1116" s="3" t="s">
        <v>4755</v>
      </c>
      <c r="Z1116" s="3"/>
      <c r="AA1116" s="3"/>
      <c r="AB1116" s="3"/>
      <c r="AC1116" s="3" t="str">
        <f>HYPERLINK("https://knigipp.ru/api/getInfo/image/b0881ac2-c4fb-11ef-a268-00155d82e908")</f>
        <v>https://knigipp.ru/api/getInfo/image/b0881ac2-c4fb-11ef-a268-00155d82e908</v>
      </c>
      <c r="AD1116" s="32">
        <v>12</v>
      </c>
      <c r="AE1116" s="3" t="s">
        <v>54</v>
      </c>
      <c r="AF1116" s="3" t="s">
        <v>136</v>
      </c>
      <c r="AG1116" s="3"/>
      <c r="AH1116" s="3" t="s">
        <v>56</v>
      </c>
      <c r="AI1116" s="3"/>
      <c r="AJ1116" s="3"/>
      <c r="AK1116" s="3" t="str">
        <f>HYPERLINK("https://knigipp.ru/api/getInfo/item/b0881ac2-c4fb-11ef-a268-00155d82e908")</f>
        <v>https://knigipp.ru/api/getInfo/item/b0881ac2-c4fb-11ef-a268-00155d82e908</v>
      </c>
      <c r="AL1116" s="3" t="s">
        <v>4756</v>
      </c>
    </row>
    <row r="1117" spans="1:38" ht="21" customHeight="1" outlineLevel="4" x14ac:dyDescent="0.2">
      <c r="A1117" s="2">
        <v>837</v>
      </c>
      <c r="B1117" s="3" t="s">
        <v>4757</v>
      </c>
      <c r="C1117" s="49" t="s">
        <v>4758</v>
      </c>
      <c r="D1117" s="49"/>
      <c r="E1117" s="49"/>
      <c r="F1117" s="49"/>
      <c r="G1117" s="4" t="s">
        <v>4759</v>
      </c>
      <c r="H1117" s="8"/>
      <c r="I1117" s="9" t="s">
        <v>4752</v>
      </c>
      <c r="J1117" s="10"/>
      <c r="K1117" s="11">
        <v>30</v>
      </c>
      <c r="L1117" s="10"/>
      <c r="M1117" s="10" t="s">
        <v>47</v>
      </c>
      <c r="N1117" s="10"/>
      <c r="O1117" s="2">
        <v>12</v>
      </c>
      <c r="P1117" s="17">
        <f>57*(1-S3/100)</f>
        <v>57</v>
      </c>
      <c r="Q1117" s="18"/>
      <c r="R1117" s="10">
        <f t="shared" si="41"/>
        <v>0</v>
      </c>
      <c r="S1117" s="19">
        <f>0.043*Q1117</f>
        <v>0</v>
      </c>
      <c r="T1117" s="20">
        <f>0.00009*Q1117</f>
        <v>0</v>
      </c>
      <c r="U1117" s="21"/>
      <c r="V1117" s="22" t="s">
        <v>4760</v>
      </c>
      <c r="W1117" s="22" t="s">
        <v>49</v>
      </c>
      <c r="X1117" s="3" t="s">
        <v>4754</v>
      </c>
      <c r="Y1117" s="3" t="s">
        <v>4761</v>
      </c>
      <c r="Z1117" s="3"/>
      <c r="AA1117" s="3"/>
      <c r="AB1117" s="3"/>
      <c r="AC1117" s="3" t="str">
        <f>HYPERLINK("https://knigipp.ru/api/getInfo/image/086cbbc6-c4fc-11ef-a268-00155d82e908")</f>
        <v>https://knigipp.ru/api/getInfo/image/086cbbc6-c4fc-11ef-a268-00155d82e908</v>
      </c>
      <c r="AD1117" s="32">
        <v>12</v>
      </c>
      <c r="AE1117" s="3" t="s">
        <v>54</v>
      </c>
      <c r="AF1117" s="3" t="s">
        <v>136</v>
      </c>
      <c r="AG1117" s="3"/>
      <c r="AH1117" s="3" t="s">
        <v>56</v>
      </c>
      <c r="AI1117" s="3"/>
      <c r="AJ1117" s="3"/>
      <c r="AK1117" s="3" t="str">
        <f>HYPERLINK("https://knigipp.ru/api/getInfo/item/086cbbc6-c4fc-11ef-a268-00155d82e908")</f>
        <v>https://knigipp.ru/api/getInfo/item/086cbbc6-c4fc-11ef-a268-00155d82e908</v>
      </c>
      <c r="AL1117" s="3" t="s">
        <v>4756</v>
      </c>
    </row>
    <row r="1118" spans="1:38" ht="21" customHeight="1" outlineLevel="4" x14ac:dyDescent="0.2">
      <c r="A1118" s="2">
        <v>838</v>
      </c>
      <c r="B1118" s="3" t="s">
        <v>4762</v>
      </c>
      <c r="C1118" s="49" t="s">
        <v>4763</v>
      </c>
      <c r="D1118" s="49"/>
      <c r="E1118" s="49"/>
      <c r="F1118" s="49"/>
      <c r="G1118" s="4" t="s">
        <v>4764</v>
      </c>
      <c r="H1118" s="8"/>
      <c r="I1118" s="9" t="s">
        <v>4752</v>
      </c>
      <c r="J1118" s="10"/>
      <c r="K1118" s="11">
        <v>30</v>
      </c>
      <c r="L1118" s="10"/>
      <c r="M1118" s="10" t="s">
        <v>47</v>
      </c>
      <c r="N1118" s="10"/>
      <c r="O1118" s="2">
        <v>12</v>
      </c>
      <c r="P1118" s="17">
        <f>57*(1-S3/100)</f>
        <v>57</v>
      </c>
      <c r="Q1118" s="18"/>
      <c r="R1118" s="10">
        <f t="shared" si="41"/>
        <v>0</v>
      </c>
      <c r="S1118" s="19">
        <f>0.029*Q1118</f>
        <v>0</v>
      </c>
      <c r="T1118" s="20">
        <f>0.00016*Q1118</f>
        <v>0</v>
      </c>
      <c r="U1118" s="21"/>
      <c r="V1118" s="22" t="s">
        <v>4765</v>
      </c>
      <c r="W1118" s="22" t="s">
        <v>49</v>
      </c>
      <c r="X1118" s="3" t="s">
        <v>4754</v>
      </c>
      <c r="Y1118" s="3" t="s">
        <v>4766</v>
      </c>
      <c r="Z1118" s="3"/>
      <c r="AA1118" s="3"/>
      <c r="AB1118" s="3"/>
      <c r="AC1118" s="3" t="str">
        <f>HYPERLINK("https://knigipp.ru/api/getInfo/image/afe2a0a8-c4fc-11ef-a268-00155d82e908")</f>
        <v>https://knigipp.ru/api/getInfo/image/afe2a0a8-c4fc-11ef-a268-00155d82e908</v>
      </c>
      <c r="AD1118" s="32">
        <v>12</v>
      </c>
      <c r="AE1118" s="3" t="s">
        <v>54</v>
      </c>
      <c r="AF1118" s="3" t="s">
        <v>136</v>
      </c>
      <c r="AG1118" s="3"/>
      <c r="AH1118" s="3" t="s">
        <v>56</v>
      </c>
      <c r="AI1118" s="3"/>
      <c r="AJ1118" s="3"/>
      <c r="AK1118" s="3" t="str">
        <f>HYPERLINK("https://knigipp.ru/api/getInfo/item/afe2a0a8-c4fc-11ef-a268-00155d82e908")</f>
        <v>https://knigipp.ru/api/getInfo/item/afe2a0a8-c4fc-11ef-a268-00155d82e908</v>
      </c>
      <c r="AL1118" s="3" t="s">
        <v>4756</v>
      </c>
    </row>
    <row r="1119" spans="1:38" ht="21" customHeight="1" outlineLevel="4" x14ac:dyDescent="0.2">
      <c r="A1119" s="2">
        <v>839</v>
      </c>
      <c r="B1119" s="3" t="s">
        <v>4767</v>
      </c>
      <c r="C1119" s="49" t="s">
        <v>4768</v>
      </c>
      <c r="D1119" s="49"/>
      <c r="E1119" s="49"/>
      <c r="F1119" s="49"/>
      <c r="G1119" s="4" t="s">
        <v>4769</v>
      </c>
      <c r="H1119" s="8"/>
      <c r="I1119" s="9" t="s">
        <v>4752</v>
      </c>
      <c r="J1119" s="10"/>
      <c r="K1119" s="11">
        <v>30</v>
      </c>
      <c r="L1119" s="10"/>
      <c r="M1119" s="10" t="s">
        <v>47</v>
      </c>
      <c r="N1119" s="10"/>
      <c r="O1119" s="2">
        <v>12</v>
      </c>
      <c r="P1119" s="17">
        <f>57*(1-S3/100)</f>
        <v>57</v>
      </c>
      <c r="Q1119" s="18"/>
      <c r="R1119" s="10">
        <f t="shared" si="41"/>
        <v>0</v>
      </c>
      <c r="S1119" s="19">
        <f>0.043*Q1119</f>
        <v>0</v>
      </c>
      <c r="T1119" s="20">
        <f>0.00009*Q1119</f>
        <v>0</v>
      </c>
      <c r="U1119" s="21"/>
      <c r="V1119" s="22" t="s">
        <v>4770</v>
      </c>
      <c r="W1119" s="22" t="s">
        <v>49</v>
      </c>
      <c r="X1119" s="3" t="s">
        <v>4754</v>
      </c>
      <c r="Y1119" s="3" t="s">
        <v>4771</v>
      </c>
      <c r="Z1119" s="3"/>
      <c r="AA1119" s="3"/>
      <c r="AB1119" s="3"/>
      <c r="AC1119" s="3" t="str">
        <f>HYPERLINK("https://knigipp.ru/api/getInfo/image/623dcab2-c4fc-11ef-a268-00155d82e908")</f>
        <v>https://knigipp.ru/api/getInfo/image/623dcab2-c4fc-11ef-a268-00155d82e908</v>
      </c>
      <c r="AD1119" s="32">
        <v>12</v>
      </c>
      <c r="AE1119" s="3" t="s">
        <v>54</v>
      </c>
      <c r="AF1119" s="3" t="s">
        <v>136</v>
      </c>
      <c r="AG1119" s="3"/>
      <c r="AH1119" s="3" t="s">
        <v>56</v>
      </c>
      <c r="AI1119" s="3"/>
      <c r="AJ1119" s="3"/>
      <c r="AK1119" s="3" t="str">
        <f>HYPERLINK("https://knigipp.ru/api/getInfo/item/623dcab2-c4fc-11ef-a268-00155d82e908")</f>
        <v>https://knigipp.ru/api/getInfo/item/623dcab2-c4fc-11ef-a268-00155d82e908</v>
      </c>
      <c r="AL1119" s="3" t="s">
        <v>4756</v>
      </c>
    </row>
    <row r="1120" spans="1:38" ht="21" customHeight="1" outlineLevel="4" x14ac:dyDescent="0.2">
      <c r="A1120" s="2">
        <v>840</v>
      </c>
      <c r="B1120" s="3" t="s">
        <v>4772</v>
      </c>
      <c r="C1120" s="49" t="s">
        <v>4773</v>
      </c>
      <c r="D1120" s="49"/>
      <c r="E1120" s="49"/>
      <c r="F1120" s="49"/>
      <c r="G1120" s="4" t="s">
        <v>4774</v>
      </c>
      <c r="H1120" s="8"/>
      <c r="I1120" s="9" t="s">
        <v>4752</v>
      </c>
      <c r="J1120" s="10"/>
      <c r="K1120" s="11">
        <v>30</v>
      </c>
      <c r="L1120" s="10"/>
      <c r="M1120" s="10" t="s">
        <v>47</v>
      </c>
      <c r="N1120" s="10"/>
      <c r="O1120" s="2">
        <v>12</v>
      </c>
      <c r="P1120" s="17">
        <f>57*(1-S3/100)</f>
        <v>57</v>
      </c>
      <c r="Q1120" s="18"/>
      <c r="R1120" s="10">
        <f t="shared" si="41"/>
        <v>0</v>
      </c>
      <c r="S1120" s="28">
        <f>0.43*Q1120</f>
        <v>0</v>
      </c>
      <c r="T1120" s="20">
        <f>0.00009*Q1120</f>
        <v>0</v>
      </c>
      <c r="U1120" s="21"/>
      <c r="V1120" s="22" t="s">
        <v>4775</v>
      </c>
      <c r="W1120" s="22" t="s">
        <v>49</v>
      </c>
      <c r="X1120" s="3" t="s">
        <v>4754</v>
      </c>
      <c r="Y1120" s="3" t="s">
        <v>4776</v>
      </c>
      <c r="Z1120" s="3"/>
      <c r="AA1120" s="3"/>
      <c r="AB1120" s="3"/>
      <c r="AC1120" s="3" t="str">
        <f>HYPERLINK("https://knigipp.ru/api/getInfo/image/d99c7509-c4fc-11ef-a268-00155d82e908")</f>
        <v>https://knigipp.ru/api/getInfo/image/d99c7509-c4fc-11ef-a268-00155d82e908</v>
      </c>
      <c r="AD1120" s="32">
        <v>12</v>
      </c>
      <c r="AE1120" s="3" t="s">
        <v>54</v>
      </c>
      <c r="AF1120" s="3" t="s">
        <v>136</v>
      </c>
      <c r="AG1120" s="3"/>
      <c r="AH1120" s="3" t="s">
        <v>56</v>
      </c>
      <c r="AI1120" s="3"/>
      <c r="AJ1120" s="3"/>
      <c r="AK1120" s="3" t="str">
        <f>HYPERLINK("https://knigipp.ru/api/getInfo/item/d99c7509-c4fc-11ef-a268-00155d82e908")</f>
        <v>https://knigipp.ru/api/getInfo/item/d99c7509-c4fc-11ef-a268-00155d82e908</v>
      </c>
      <c r="AL1120" s="3" t="s">
        <v>4756</v>
      </c>
    </row>
    <row r="1121" spans="1:38" ht="21" customHeight="1" outlineLevel="4" x14ac:dyDescent="0.2">
      <c r="A1121" s="2">
        <v>841</v>
      </c>
      <c r="B1121" s="3" t="s">
        <v>4777</v>
      </c>
      <c r="C1121" s="49" t="s">
        <v>4778</v>
      </c>
      <c r="D1121" s="49"/>
      <c r="E1121" s="49"/>
      <c r="F1121" s="49"/>
      <c r="G1121" s="4" t="s">
        <v>4779</v>
      </c>
      <c r="H1121" s="8"/>
      <c r="I1121" s="9" t="s">
        <v>4752</v>
      </c>
      <c r="J1121" s="10"/>
      <c r="K1121" s="11">
        <v>30</v>
      </c>
      <c r="L1121" s="10"/>
      <c r="M1121" s="10" t="s">
        <v>47</v>
      </c>
      <c r="N1121" s="10"/>
      <c r="O1121" s="2">
        <v>12</v>
      </c>
      <c r="P1121" s="17">
        <f>57*(1-S3/100)</f>
        <v>57</v>
      </c>
      <c r="Q1121" s="18"/>
      <c r="R1121" s="10">
        <f t="shared" si="41"/>
        <v>0</v>
      </c>
      <c r="S1121" s="19">
        <f>0.043*Q1121</f>
        <v>0</v>
      </c>
      <c r="T1121" s="20">
        <f>0.00009*Q1121</f>
        <v>0</v>
      </c>
      <c r="U1121" s="21"/>
      <c r="V1121" s="22" t="s">
        <v>4780</v>
      </c>
      <c r="W1121" s="22" t="s">
        <v>49</v>
      </c>
      <c r="X1121" s="3" t="s">
        <v>4754</v>
      </c>
      <c r="Y1121" s="3" t="s">
        <v>4781</v>
      </c>
      <c r="Z1121" s="3"/>
      <c r="AA1121" s="3"/>
      <c r="AB1121" s="3"/>
      <c r="AC1121" s="3" t="str">
        <f>HYPERLINK("https://knigipp.ru/api/getInfo/image/86c84067-c4fc-11ef-a268-00155d82e908")</f>
        <v>https://knigipp.ru/api/getInfo/image/86c84067-c4fc-11ef-a268-00155d82e908</v>
      </c>
      <c r="AD1121" s="32">
        <v>12</v>
      </c>
      <c r="AE1121" s="3" t="s">
        <v>54</v>
      </c>
      <c r="AF1121" s="3" t="s">
        <v>136</v>
      </c>
      <c r="AG1121" s="3"/>
      <c r="AH1121" s="3" t="s">
        <v>56</v>
      </c>
      <c r="AI1121" s="3"/>
      <c r="AJ1121" s="3"/>
      <c r="AK1121" s="3" t="str">
        <f>HYPERLINK("https://knigipp.ru/api/getInfo/item/86c84067-c4fc-11ef-a268-00155d82e908")</f>
        <v>https://knigipp.ru/api/getInfo/item/86c84067-c4fc-11ef-a268-00155d82e908</v>
      </c>
      <c r="AL1121" s="3" t="s">
        <v>4756</v>
      </c>
    </row>
    <row r="1122" spans="1:38" ht="21" customHeight="1" outlineLevel="4" x14ac:dyDescent="0.2">
      <c r="A1122" s="2">
        <v>842</v>
      </c>
      <c r="B1122" s="3" t="s">
        <v>4782</v>
      </c>
      <c r="C1122" s="49" t="s">
        <v>4783</v>
      </c>
      <c r="D1122" s="49"/>
      <c r="E1122" s="49"/>
      <c r="F1122" s="49"/>
      <c r="G1122" s="4" t="s">
        <v>4784</v>
      </c>
      <c r="H1122" s="8"/>
      <c r="I1122" s="9" t="s">
        <v>4752</v>
      </c>
      <c r="J1122" s="10"/>
      <c r="K1122" s="11">
        <v>30</v>
      </c>
      <c r="L1122" s="10"/>
      <c r="M1122" s="10" t="s">
        <v>47</v>
      </c>
      <c r="N1122" s="10"/>
      <c r="O1122" s="2">
        <v>12</v>
      </c>
      <c r="P1122" s="17">
        <f>57*(1-S3/100)</f>
        <v>57</v>
      </c>
      <c r="Q1122" s="18"/>
      <c r="R1122" s="10">
        <f t="shared" si="41"/>
        <v>0</v>
      </c>
      <c r="S1122" s="19">
        <f>0.026*Q1122</f>
        <v>0</v>
      </c>
      <c r="T1122" s="20">
        <f>0.00012*Q1122</f>
        <v>0</v>
      </c>
      <c r="U1122" s="21"/>
      <c r="V1122" s="22" t="s">
        <v>4785</v>
      </c>
      <c r="W1122" s="22" t="s">
        <v>49</v>
      </c>
      <c r="X1122" s="3" t="s">
        <v>4754</v>
      </c>
      <c r="Y1122" s="3" t="s">
        <v>4786</v>
      </c>
      <c r="Z1122" s="3"/>
      <c r="AA1122" s="3"/>
      <c r="AB1122" s="3"/>
      <c r="AC1122" s="3" t="str">
        <f>HYPERLINK("https://knigipp.ru/api/getInfo/image/fe066a82-c4fc-11ef-a268-00155d82e908")</f>
        <v>https://knigipp.ru/api/getInfo/image/fe066a82-c4fc-11ef-a268-00155d82e908</v>
      </c>
      <c r="AD1122" s="32">
        <v>12</v>
      </c>
      <c r="AE1122" s="3" t="s">
        <v>54</v>
      </c>
      <c r="AF1122" s="3" t="s">
        <v>136</v>
      </c>
      <c r="AG1122" s="3"/>
      <c r="AH1122" s="3" t="s">
        <v>56</v>
      </c>
      <c r="AI1122" s="3"/>
      <c r="AJ1122" s="3"/>
      <c r="AK1122" s="3" t="str">
        <f>HYPERLINK("https://knigipp.ru/api/getInfo/item/fe066a82-c4fc-11ef-a268-00155d82e908")</f>
        <v>https://knigipp.ru/api/getInfo/item/fe066a82-c4fc-11ef-a268-00155d82e908</v>
      </c>
      <c r="AL1122" s="3" t="s">
        <v>4756</v>
      </c>
    </row>
    <row r="1123" spans="1:38" ht="21" customHeight="1" outlineLevel="4" x14ac:dyDescent="0.2">
      <c r="A1123" s="2">
        <v>843</v>
      </c>
      <c r="B1123" s="3" t="s">
        <v>4787</v>
      </c>
      <c r="C1123" s="49" t="s">
        <v>4788</v>
      </c>
      <c r="D1123" s="49"/>
      <c r="E1123" s="49"/>
      <c r="F1123" s="49"/>
      <c r="G1123" s="4" t="s">
        <v>4789</v>
      </c>
      <c r="H1123" s="8"/>
      <c r="I1123" s="9" t="s">
        <v>4752</v>
      </c>
      <c r="J1123" s="10"/>
      <c r="K1123" s="11">
        <v>30</v>
      </c>
      <c r="L1123" s="10"/>
      <c r="M1123" s="10" t="s">
        <v>47</v>
      </c>
      <c r="N1123" s="10"/>
      <c r="O1123" s="2">
        <v>12</v>
      </c>
      <c r="P1123" s="17">
        <f>57*(1-S3/100)</f>
        <v>57</v>
      </c>
      <c r="Q1123" s="18"/>
      <c r="R1123" s="10">
        <f t="shared" si="41"/>
        <v>0</v>
      </c>
      <c r="S1123" s="19">
        <f>0.043*Q1123</f>
        <v>0</v>
      </c>
      <c r="T1123" s="20">
        <f>0.00009*Q1123</f>
        <v>0</v>
      </c>
      <c r="U1123" s="21"/>
      <c r="V1123" s="22" t="s">
        <v>4790</v>
      </c>
      <c r="W1123" s="22" t="s">
        <v>49</v>
      </c>
      <c r="X1123" s="3" t="s">
        <v>4754</v>
      </c>
      <c r="Y1123" s="3" t="s">
        <v>4791</v>
      </c>
      <c r="Z1123" s="3"/>
      <c r="AA1123" s="3"/>
      <c r="AB1123" s="3"/>
      <c r="AC1123" s="3" t="str">
        <f>HYPERLINK("https://knigipp.ru/api/getInfo/image/31b3356a-c4fc-11ef-a268-00155d82e908")</f>
        <v>https://knigipp.ru/api/getInfo/image/31b3356a-c4fc-11ef-a268-00155d82e908</v>
      </c>
      <c r="AD1123" s="32">
        <v>12</v>
      </c>
      <c r="AE1123" s="3" t="s">
        <v>54</v>
      </c>
      <c r="AF1123" s="3" t="s">
        <v>136</v>
      </c>
      <c r="AG1123" s="3"/>
      <c r="AH1123" s="3" t="s">
        <v>56</v>
      </c>
      <c r="AI1123" s="3"/>
      <c r="AJ1123" s="3"/>
      <c r="AK1123" s="3" t="str">
        <f>HYPERLINK("https://knigipp.ru/api/getInfo/item/31b3356a-c4fc-11ef-a268-00155d82e908")</f>
        <v>https://knigipp.ru/api/getInfo/item/31b3356a-c4fc-11ef-a268-00155d82e908</v>
      </c>
      <c r="AL1123" s="3" t="s">
        <v>4756</v>
      </c>
    </row>
    <row r="1124" spans="1:38" ht="23.1" customHeight="1" outlineLevel="3" x14ac:dyDescent="0.2">
      <c r="A1124" s="48" t="s">
        <v>4792</v>
      </c>
      <c r="B1124" s="48"/>
      <c r="C1124" s="48"/>
      <c r="D1124" s="48"/>
      <c r="E1124" s="48"/>
      <c r="F1124" s="48"/>
    </row>
    <row r="1125" spans="1:38" ht="21" customHeight="1" outlineLevel="4" x14ac:dyDescent="0.2">
      <c r="A1125" s="2">
        <v>844</v>
      </c>
      <c r="B1125" s="3" t="s">
        <v>4793</v>
      </c>
      <c r="C1125" s="49" t="s">
        <v>4794</v>
      </c>
      <c r="D1125" s="49"/>
      <c r="E1125" s="49"/>
      <c r="F1125" s="49"/>
      <c r="G1125" s="4" t="s">
        <v>4795</v>
      </c>
      <c r="H1125" s="8"/>
      <c r="I1125" s="9" t="s">
        <v>4796</v>
      </c>
      <c r="J1125" s="10"/>
      <c r="K1125" s="11">
        <v>50</v>
      </c>
      <c r="L1125" s="10"/>
      <c r="M1125" s="10" t="s">
        <v>78</v>
      </c>
      <c r="N1125" s="10"/>
      <c r="O1125" s="2">
        <v>10</v>
      </c>
      <c r="P1125" s="17">
        <f>69.3*(1-S3/100)</f>
        <v>69.3</v>
      </c>
      <c r="Q1125" s="18"/>
      <c r="R1125" s="10">
        <f>P1125*Q1125</f>
        <v>0</v>
      </c>
      <c r="S1125" s="28">
        <f>0.03*Q1125</f>
        <v>0</v>
      </c>
      <c r="T1125" s="20">
        <f>0.00004*Q1125</f>
        <v>0</v>
      </c>
      <c r="U1125" s="21"/>
      <c r="V1125" s="22" t="s">
        <v>4797</v>
      </c>
      <c r="W1125" s="22" t="s">
        <v>49</v>
      </c>
      <c r="X1125" s="3" t="s">
        <v>4798</v>
      </c>
      <c r="Y1125" s="3"/>
      <c r="Z1125" s="3" t="s">
        <v>52</v>
      </c>
      <c r="AA1125" s="3"/>
      <c r="AB1125" s="3"/>
      <c r="AC1125" s="3" t="str">
        <f>HYPERLINK("https://knigipp.ru/api/getInfo/image/42aba1bd-7a9d-11eb-a274-ac1f6b442184")</f>
        <v>https://knigipp.ru/api/getInfo/image/42aba1bd-7a9d-11eb-a274-ac1f6b442184</v>
      </c>
      <c r="AD1125" s="32">
        <v>16</v>
      </c>
      <c r="AE1125" s="3"/>
      <c r="AF1125" s="3" t="s">
        <v>136</v>
      </c>
      <c r="AG1125" s="3"/>
      <c r="AH1125" s="3" t="s">
        <v>56</v>
      </c>
      <c r="AI1125" s="3"/>
      <c r="AJ1125" s="3"/>
      <c r="AK1125" s="3" t="str">
        <f>HYPERLINK("https://knigipp.ru/api/getInfo/item/42aba1bd-7a9d-11eb-a274-ac1f6b442184")</f>
        <v>https://knigipp.ru/api/getInfo/item/42aba1bd-7a9d-11eb-a274-ac1f6b442184</v>
      </c>
      <c r="AL1125" s="3" t="s">
        <v>4799</v>
      </c>
    </row>
    <row r="1126" spans="1:38" ht="23.1" customHeight="1" outlineLevel="3" x14ac:dyDescent="0.2">
      <c r="A1126" s="48" t="s">
        <v>4800</v>
      </c>
      <c r="B1126" s="48"/>
      <c r="C1126" s="48"/>
      <c r="D1126" s="48"/>
      <c r="E1126" s="48"/>
      <c r="F1126" s="48"/>
    </row>
    <row r="1127" spans="1:38" ht="21" customHeight="1" outlineLevel="4" x14ac:dyDescent="0.2">
      <c r="A1127" s="2">
        <v>845</v>
      </c>
      <c r="B1127" s="3" t="s">
        <v>4801</v>
      </c>
      <c r="C1127" s="49" t="s">
        <v>4802</v>
      </c>
      <c r="D1127" s="49"/>
      <c r="E1127" s="49"/>
      <c r="F1127" s="49"/>
      <c r="G1127" s="4" t="s">
        <v>4803</v>
      </c>
      <c r="H1127" s="8"/>
      <c r="I1127" s="9" t="s">
        <v>4804</v>
      </c>
      <c r="J1127" s="10"/>
      <c r="K1127" s="11">
        <v>30</v>
      </c>
      <c r="L1127" s="10"/>
      <c r="M1127" s="10" t="s">
        <v>47</v>
      </c>
      <c r="N1127" s="10"/>
      <c r="O1127" s="2">
        <v>3</v>
      </c>
      <c r="P1127" s="17">
        <f>197*(1-S3/100)</f>
        <v>197</v>
      </c>
      <c r="Q1127" s="18"/>
      <c r="R1127" s="10">
        <f>P1127*Q1127</f>
        <v>0</v>
      </c>
      <c r="S1127" s="19">
        <f>0.065*Q1127</f>
        <v>0</v>
      </c>
      <c r="T1127" s="20">
        <f>0.00022*Q1127</f>
        <v>0</v>
      </c>
      <c r="U1127" s="21"/>
      <c r="V1127" s="22" t="s">
        <v>4805</v>
      </c>
      <c r="W1127" s="22" t="s">
        <v>49</v>
      </c>
      <c r="X1127" s="3"/>
      <c r="Y1127" s="3" t="s">
        <v>4806</v>
      </c>
      <c r="Z1127" s="3" t="s">
        <v>52</v>
      </c>
      <c r="AA1127" s="3"/>
      <c r="AB1127" s="3"/>
      <c r="AC1127" s="3" t="str">
        <f>HYPERLINK("https://knigipp.ru/api/getInfo/image/5eaca69d-6e17-11f0-a284-00155d82e908")</f>
        <v>https://knigipp.ru/api/getInfo/image/5eaca69d-6e17-11f0-a284-00155d82e908</v>
      </c>
      <c r="AD1127" s="32">
        <v>16</v>
      </c>
      <c r="AE1127" s="3"/>
      <c r="AF1127" s="3" t="s">
        <v>136</v>
      </c>
      <c r="AG1127" s="3"/>
      <c r="AH1127" s="3" t="s">
        <v>56</v>
      </c>
      <c r="AI1127" s="3"/>
      <c r="AJ1127" s="3"/>
      <c r="AK1127" s="3" t="str">
        <f>HYPERLINK("https://knigipp.ru/api/getInfo/item/5eaca69d-6e17-11f0-a284-00155d82e908")</f>
        <v>https://knigipp.ru/api/getInfo/item/5eaca69d-6e17-11f0-a284-00155d82e908</v>
      </c>
      <c r="AL1127" s="3" t="s">
        <v>4807</v>
      </c>
    </row>
    <row r="1128" spans="1:38" ht="21" customHeight="1" outlineLevel="4" x14ac:dyDescent="0.2">
      <c r="A1128" s="2">
        <v>846</v>
      </c>
      <c r="B1128" s="3" t="s">
        <v>4808</v>
      </c>
      <c r="C1128" s="49" t="s">
        <v>4809</v>
      </c>
      <c r="D1128" s="49"/>
      <c r="E1128" s="49"/>
      <c r="F1128" s="49"/>
      <c r="G1128" s="4" t="s">
        <v>4810</v>
      </c>
      <c r="H1128" s="8"/>
      <c r="I1128" s="9" t="s">
        <v>4804</v>
      </c>
      <c r="J1128" s="10"/>
      <c r="K1128" s="11">
        <v>30</v>
      </c>
      <c r="L1128" s="10"/>
      <c r="M1128" s="10" t="s">
        <v>47</v>
      </c>
      <c r="N1128" s="10"/>
      <c r="O1128" s="2">
        <v>3</v>
      </c>
      <c r="P1128" s="17">
        <f>197*(1-S3/100)</f>
        <v>197</v>
      </c>
      <c r="Q1128" s="18"/>
      <c r="R1128" s="10">
        <f>P1128*Q1128</f>
        <v>0</v>
      </c>
      <c r="S1128" s="19">
        <f>0.065*Q1128</f>
        <v>0</v>
      </c>
      <c r="T1128" s="20">
        <f>0.00022*Q1128</f>
        <v>0</v>
      </c>
      <c r="U1128" s="21"/>
      <c r="V1128" s="22" t="s">
        <v>4811</v>
      </c>
      <c r="W1128" s="22" t="s">
        <v>49</v>
      </c>
      <c r="X1128" s="3"/>
      <c r="Y1128" s="3" t="s">
        <v>4812</v>
      </c>
      <c r="Z1128" s="3" t="s">
        <v>52</v>
      </c>
      <c r="AA1128" s="3"/>
      <c r="AB1128" s="3"/>
      <c r="AC1128" s="3" t="str">
        <f>HYPERLINK("https://knigipp.ru/api/getInfo/image/ec5a3e90-6e16-11f0-a284-00155d82e908")</f>
        <v>https://knigipp.ru/api/getInfo/image/ec5a3e90-6e16-11f0-a284-00155d82e908</v>
      </c>
      <c r="AD1128" s="32">
        <v>16</v>
      </c>
      <c r="AE1128" s="3"/>
      <c r="AF1128" s="3" t="s">
        <v>136</v>
      </c>
      <c r="AG1128" s="3"/>
      <c r="AH1128" s="3" t="s">
        <v>56</v>
      </c>
      <c r="AI1128" s="3"/>
      <c r="AJ1128" s="3"/>
      <c r="AK1128" s="3" t="str">
        <f>HYPERLINK("https://knigipp.ru/api/getInfo/item/ec5a3e90-6e16-11f0-a284-00155d82e908")</f>
        <v>https://knigipp.ru/api/getInfo/item/ec5a3e90-6e16-11f0-a284-00155d82e908</v>
      </c>
      <c r="AL1128" s="3" t="s">
        <v>4807</v>
      </c>
    </row>
    <row r="1129" spans="1:38" ht="21" customHeight="1" outlineLevel="4" x14ac:dyDescent="0.2">
      <c r="A1129" s="2">
        <v>847</v>
      </c>
      <c r="B1129" s="3" t="s">
        <v>4813</v>
      </c>
      <c r="C1129" s="49" t="s">
        <v>4814</v>
      </c>
      <c r="D1129" s="49"/>
      <c r="E1129" s="49"/>
      <c r="F1129" s="49"/>
      <c r="G1129" s="4" t="s">
        <v>4815</v>
      </c>
      <c r="H1129" s="8"/>
      <c r="I1129" s="9" t="s">
        <v>4804</v>
      </c>
      <c r="J1129" s="10"/>
      <c r="K1129" s="11">
        <v>30</v>
      </c>
      <c r="L1129" s="10"/>
      <c r="M1129" s="10" t="s">
        <v>47</v>
      </c>
      <c r="N1129" s="10"/>
      <c r="O1129" s="2">
        <v>3</v>
      </c>
      <c r="P1129" s="17">
        <f>197*(1-S3/100)</f>
        <v>197</v>
      </c>
      <c r="Q1129" s="18"/>
      <c r="R1129" s="10">
        <f>P1129*Q1129</f>
        <v>0</v>
      </c>
      <c r="S1129" s="19">
        <f>0.065*Q1129</f>
        <v>0</v>
      </c>
      <c r="T1129" s="20">
        <f>0.00022*Q1129</f>
        <v>0</v>
      </c>
      <c r="U1129" s="21"/>
      <c r="V1129" s="22" t="s">
        <v>4816</v>
      </c>
      <c r="W1129" s="22" t="s">
        <v>49</v>
      </c>
      <c r="X1129" s="3"/>
      <c r="Y1129" s="3" t="s">
        <v>4817</v>
      </c>
      <c r="Z1129" s="3" t="s">
        <v>52</v>
      </c>
      <c r="AA1129" s="3"/>
      <c r="AB1129" s="3"/>
      <c r="AC1129" s="3" t="str">
        <f>HYPERLINK("https://knigipp.ru/api/getInfo/image/b5665fdc-6e16-11f0-a284-00155d82e908")</f>
        <v>https://knigipp.ru/api/getInfo/image/b5665fdc-6e16-11f0-a284-00155d82e908</v>
      </c>
      <c r="AD1129" s="32">
        <v>16</v>
      </c>
      <c r="AE1129" s="3"/>
      <c r="AF1129" s="3" t="s">
        <v>136</v>
      </c>
      <c r="AG1129" s="3"/>
      <c r="AH1129" s="3" t="s">
        <v>56</v>
      </c>
      <c r="AI1129" s="3"/>
      <c r="AJ1129" s="3"/>
      <c r="AK1129" s="3" t="str">
        <f>HYPERLINK("https://knigipp.ru/api/getInfo/item/b5665fdc-6e16-11f0-a284-00155d82e908")</f>
        <v>https://knigipp.ru/api/getInfo/item/b5665fdc-6e16-11f0-a284-00155d82e908</v>
      </c>
      <c r="AL1129" s="3" t="s">
        <v>4807</v>
      </c>
    </row>
    <row r="1130" spans="1:38" ht="21" customHeight="1" outlineLevel="4" x14ac:dyDescent="0.2">
      <c r="A1130" s="2">
        <v>848</v>
      </c>
      <c r="B1130" s="3" t="s">
        <v>4818</v>
      </c>
      <c r="C1130" s="49" t="s">
        <v>4819</v>
      </c>
      <c r="D1130" s="49"/>
      <c r="E1130" s="49"/>
      <c r="F1130" s="49"/>
      <c r="G1130" s="4" t="s">
        <v>4820</v>
      </c>
      <c r="H1130" s="8"/>
      <c r="I1130" s="9" t="s">
        <v>4804</v>
      </c>
      <c r="J1130" s="10"/>
      <c r="K1130" s="11">
        <v>30</v>
      </c>
      <c r="L1130" s="10"/>
      <c r="M1130" s="10" t="s">
        <v>47</v>
      </c>
      <c r="N1130" s="10"/>
      <c r="O1130" s="2">
        <v>3</v>
      </c>
      <c r="P1130" s="17">
        <f>197*(1-S3/100)</f>
        <v>197</v>
      </c>
      <c r="Q1130" s="18"/>
      <c r="R1130" s="10">
        <f>P1130*Q1130</f>
        <v>0</v>
      </c>
      <c r="S1130" s="19">
        <f>0.091*Q1130</f>
        <v>0</v>
      </c>
      <c r="T1130" s="20">
        <f>0.00028*Q1130</f>
        <v>0</v>
      </c>
      <c r="U1130" s="21"/>
      <c r="V1130" s="22" t="s">
        <v>4821</v>
      </c>
      <c r="W1130" s="22" t="s">
        <v>49</v>
      </c>
      <c r="X1130" s="3"/>
      <c r="Y1130" s="3" t="s">
        <v>4822</v>
      </c>
      <c r="Z1130" s="3" t="s">
        <v>52</v>
      </c>
      <c r="AA1130" s="3"/>
      <c r="AB1130" s="3"/>
      <c r="AC1130" s="3" t="str">
        <f>HYPERLINK("https://knigipp.ru/api/getInfo/image/1d79c367-6e17-11f0-a284-00155d82e908")</f>
        <v>https://knigipp.ru/api/getInfo/image/1d79c367-6e17-11f0-a284-00155d82e908</v>
      </c>
      <c r="AD1130" s="32">
        <v>16</v>
      </c>
      <c r="AE1130" s="3"/>
      <c r="AF1130" s="3" t="s">
        <v>136</v>
      </c>
      <c r="AG1130" s="3"/>
      <c r="AH1130" s="3" t="s">
        <v>56</v>
      </c>
      <c r="AI1130" s="3"/>
      <c r="AJ1130" s="3"/>
      <c r="AK1130" s="3" t="str">
        <f>HYPERLINK("https://knigipp.ru/api/getInfo/item/1d79c367-6e17-11f0-a284-00155d82e908")</f>
        <v>https://knigipp.ru/api/getInfo/item/1d79c367-6e17-11f0-a284-00155d82e908</v>
      </c>
      <c r="AL1130" s="3" t="s">
        <v>4807</v>
      </c>
    </row>
    <row r="1131" spans="1:38" ht="23.1" customHeight="1" outlineLevel="2" x14ac:dyDescent="0.2">
      <c r="A1131" s="47" t="s">
        <v>4823</v>
      </c>
      <c r="B1131" s="47"/>
      <c r="C1131" s="47"/>
      <c r="D1131" s="47"/>
      <c r="E1131" s="47"/>
      <c r="F1131" s="47"/>
    </row>
    <row r="1132" spans="1:38" ht="23.1" customHeight="1" outlineLevel="3" x14ac:dyDescent="0.2">
      <c r="A1132" s="48" t="s">
        <v>4824</v>
      </c>
      <c r="B1132" s="48"/>
      <c r="C1132" s="48"/>
      <c r="D1132" s="48"/>
      <c r="E1132" s="48"/>
      <c r="F1132" s="48"/>
    </row>
    <row r="1133" spans="1:38" ht="21" customHeight="1" outlineLevel="4" x14ac:dyDescent="0.2">
      <c r="A1133" s="2">
        <v>849</v>
      </c>
      <c r="B1133" s="3" t="s">
        <v>4825</v>
      </c>
      <c r="C1133" s="49" t="s">
        <v>4826</v>
      </c>
      <c r="D1133" s="49"/>
      <c r="E1133" s="49"/>
      <c r="F1133" s="49"/>
      <c r="G1133" s="4" t="s">
        <v>4827</v>
      </c>
      <c r="H1133" s="8"/>
      <c r="I1133" s="9" t="s">
        <v>4828</v>
      </c>
      <c r="J1133" s="10"/>
      <c r="K1133" s="11">
        <v>30</v>
      </c>
      <c r="L1133" s="10"/>
      <c r="M1133" s="10" t="s">
        <v>47</v>
      </c>
      <c r="N1133" s="10"/>
      <c r="O1133" s="2">
        <v>6</v>
      </c>
      <c r="P1133" s="17">
        <f>97*(1-S3/100)</f>
        <v>97</v>
      </c>
      <c r="Q1133" s="18"/>
      <c r="R1133" s="10">
        <f>P1133*Q1133</f>
        <v>0</v>
      </c>
      <c r="S1133" s="19">
        <f>0.053*Q1133</f>
        <v>0</v>
      </c>
      <c r="T1133" s="20">
        <f>0.00039*Q1133</f>
        <v>0</v>
      </c>
      <c r="U1133" s="21"/>
      <c r="V1133" s="22" t="s">
        <v>4829</v>
      </c>
      <c r="W1133" s="22" t="s">
        <v>49</v>
      </c>
      <c r="X1133" s="3"/>
      <c r="Y1133" s="3" t="s">
        <v>4830</v>
      </c>
      <c r="Z1133" s="3" t="s">
        <v>52</v>
      </c>
      <c r="AA1133" s="3"/>
      <c r="AB1133" s="3"/>
      <c r="AC1133" s="3" t="str">
        <f>HYPERLINK("https://knigipp.ru/api/getInfo/image/483cb40f-3d5c-11f0-a27c-00155d82e908")</f>
        <v>https://knigipp.ru/api/getInfo/image/483cb40f-3d5c-11f0-a27c-00155d82e908</v>
      </c>
      <c r="AD1133" s="32">
        <v>8</v>
      </c>
      <c r="AE1133" s="3"/>
      <c r="AF1133" s="3" t="s">
        <v>136</v>
      </c>
      <c r="AG1133" s="3"/>
      <c r="AH1133" s="3" t="s">
        <v>56</v>
      </c>
      <c r="AI1133" s="3"/>
      <c r="AJ1133" s="3"/>
      <c r="AK1133" s="3" t="str">
        <f>HYPERLINK("https://knigipp.ru/api/getInfo/item/483cb40f-3d5c-11f0-a27c-00155d82e908")</f>
        <v>https://knigipp.ru/api/getInfo/item/483cb40f-3d5c-11f0-a27c-00155d82e908</v>
      </c>
      <c r="AL1133" s="3" t="s">
        <v>4831</v>
      </c>
    </row>
    <row r="1134" spans="1:38" ht="21" customHeight="1" outlineLevel="4" x14ac:dyDescent="0.2">
      <c r="A1134" s="2">
        <v>850</v>
      </c>
      <c r="B1134" s="3" t="s">
        <v>4832</v>
      </c>
      <c r="C1134" s="49" t="s">
        <v>4833</v>
      </c>
      <c r="D1134" s="49"/>
      <c r="E1134" s="49"/>
      <c r="F1134" s="49"/>
      <c r="G1134" s="4" t="s">
        <v>4834</v>
      </c>
      <c r="H1134" s="8"/>
      <c r="I1134" s="9" t="s">
        <v>4828</v>
      </c>
      <c r="J1134" s="10"/>
      <c r="K1134" s="11">
        <v>30</v>
      </c>
      <c r="L1134" s="10"/>
      <c r="M1134" s="10" t="s">
        <v>47</v>
      </c>
      <c r="N1134" s="10"/>
      <c r="O1134" s="2">
        <v>6</v>
      </c>
      <c r="P1134" s="17">
        <f>97*(1-S3/100)</f>
        <v>97</v>
      </c>
      <c r="Q1134" s="18"/>
      <c r="R1134" s="10">
        <f>P1134*Q1134</f>
        <v>0</v>
      </c>
      <c r="S1134" s="19">
        <f>0.051*Q1134</f>
        <v>0</v>
      </c>
      <c r="T1134" s="20">
        <f>0.00017*Q1134</f>
        <v>0</v>
      </c>
      <c r="U1134" s="21"/>
      <c r="V1134" s="22" t="s">
        <v>4835</v>
      </c>
      <c r="W1134" s="22" t="s">
        <v>49</v>
      </c>
      <c r="X1134" s="3"/>
      <c r="Y1134" s="3" t="s">
        <v>4836</v>
      </c>
      <c r="Z1134" s="3" t="s">
        <v>52</v>
      </c>
      <c r="AA1134" s="3"/>
      <c r="AB1134" s="3"/>
      <c r="AC1134" s="3" t="str">
        <f>HYPERLINK("https://knigipp.ru/api/getInfo/image/701c49e5-3d5c-11f0-a27c-00155d82e908")</f>
        <v>https://knigipp.ru/api/getInfo/image/701c49e5-3d5c-11f0-a27c-00155d82e908</v>
      </c>
      <c r="AD1134" s="32">
        <v>8</v>
      </c>
      <c r="AE1134" s="3"/>
      <c r="AF1134" s="3" t="s">
        <v>136</v>
      </c>
      <c r="AG1134" s="3"/>
      <c r="AH1134" s="3" t="s">
        <v>56</v>
      </c>
      <c r="AI1134" s="3"/>
      <c r="AJ1134" s="3"/>
      <c r="AK1134" s="3" t="str">
        <f>HYPERLINK("https://knigipp.ru/api/getInfo/item/701c49e5-3d5c-11f0-a27c-00155d82e908")</f>
        <v>https://knigipp.ru/api/getInfo/item/701c49e5-3d5c-11f0-a27c-00155d82e908</v>
      </c>
      <c r="AL1134" s="3" t="s">
        <v>4831</v>
      </c>
    </row>
    <row r="1135" spans="1:38" ht="21" customHeight="1" outlineLevel="4" x14ac:dyDescent="0.2">
      <c r="A1135" s="2">
        <v>851</v>
      </c>
      <c r="B1135" s="3" t="s">
        <v>4837</v>
      </c>
      <c r="C1135" s="49" t="s">
        <v>4838</v>
      </c>
      <c r="D1135" s="49"/>
      <c r="E1135" s="49"/>
      <c r="F1135" s="49"/>
      <c r="G1135" s="4" t="s">
        <v>4839</v>
      </c>
      <c r="H1135" s="8"/>
      <c r="I1135" s="9" t="s">
        <v>4828</v>
      </c>
      <c r="J1135" s="10"/>
      <c r="K1135" s="11">
        <v>30</v>
      </c>
      <c r="L1135" s="10"/>
      <c r="M1135" s="10" t="s">
        <v>47</v>
      </c>
      <c r="N1135" s="10"/>
      <c r="O1135" s="2">
        <v>6</v>
      </c>
      <c r="P1135" s="17">
        <f>97*(1-S3/100)</f>
        <v>97</v>
      </c>
      <c r="Q1135" s="18"/>
      <c r="R1135" s="10">
        <f>P1135*Q1135</f>
        <v>0</v>
      </c>
      <c r="S1135" s="19">
        <f>0.053*Q1135</f>
        <v>0</v>
      </c>
      <c r="T1135" s="20">
        <f>0.00022*Q1135</f>
        <v>0</v>
      </c>
      <c r="U1135" s="21"/>
      <c r="V1135" s="22" t="s">
        <v>4840</v>
      </c>
      <c r="W1135" s="22" t="s">
        <v>49</v>
      </c>
      <c r="X1135" s="3"/>
      <c r="Y1135" s="3" t="s">
        <v>4841</v>
      </c>
      <c r="Z1135" s="3" t="s">
        <v>52</v>
      </c>
      <c r="AA1135" s="3"/>
      <c r="AB1135" s="3"/>
      <c r="AC1135" s="3" t="str">
        <f>HYPERLINK("https://knigipp.ru/api/getInfo/image/23615ea1-3d5c-11f0-a27c-00155d82e908")</f>
        <v>https://knigipp.ru/api/getInfo/image/23615ea1-3d5c-11f0-a27c-00155d82e908</v>
      </c>
      <c r="AD1135" s="32">
        <v>8</v>
      </c>
      <c r="AE1135" s="3"/>
      <c r="AF1135" s="3" t="s">
        <v>136</v>
      </c>
      <c r="AG1135" s="3"/>
      <c r="AH1135" s="3" t="s">
        <v>56</v>
      </c>
      <c r="AI1135" s="3"/>
      <c r="AJ1135" s="3"/>
      <c r="AK1135" s="3" t="str">
        <f>HYPERLINK("https://knigipp.ru/api/getInfo/item/23615ea1-3d5c-11f0-a27c-00155d82e908")</f>
        <v>https://knigipp.ru/api/getInfo/item/23615ea1-3d5c-11f0-a27c-00155d82e908</v>
      </c>
      <c r="AL1135" s="3" t="s">
        <v>4831</v>
      </c>
    </row>
    <row r="1136" spans="1:38" ht="21" customHeight="1" outlineLevel="4" x14ac:dyDescent="0.2">
      <c r="A1136" s="2">
        <v>852</v>
      </c>
      <c r="B1136" s="3" t="s">
        <v>4842</v>
      </c>
      <c r="C1136" s="49" t="s">
        <v>4843</v>
      </c>
      <c r="D1136" s="49"/>
      <c r="E1136" s="49"/>
      <c r="F1136" s="49"/>
      <c r="G1136" s="4" t="s">
        <v>4844</v>
      </c>
      <c r="H1136" s="8"/>
      <c r="I1136" s="9" t="s">
        <v>4828</v>
      </c>
      <c r="J1136" s="10"/>
      <c r="K1136" s="11">
        <v>30</v>
      </c>
      <c r="L1136" s="10"/>
      <c r="M1136" s="10" t="s">
        <v>47</v>
      </c>
      <c r="N1136" s="10"/>
      <c r="O1136" s="2">
        <v>6</v>
      </c>
      <c r="P1136" s="17">
        <f>97*(1-S3/100)</f>
        <v>97</v>
      </c>
      <c r="Q1136" s="18"/>
      <c r="R1136" s="10">
        <f>P1136*Q1136</f>
        <v>0</v>
      </c>
      <c r="S1136" s="19">
        <f>0.051*Q1136</f>
        <v>0</v>
      </c>
      <c r="T1136" s="20">
        <f>0.00017*Q1136</f>
        <v>0</v>
      </c>
      <c r="U1136" s="21"/>
      <c r="V1136" s="22" t="s">
        <v>4845</v>
      </c>
      <c r="W1136" s="22" t="s">
        <v>49</v>
      </c>
      <c r="X1136" s="3"/>
      <c r="Y1136" s="3" t="s">
        <v>4846</v>
      </c>
      <c r="Z1136" s="3" t="s">
        <v>52</v>
      </c>
      <c r="AA1136" s="3"/>
      <c r="AB1136" s="3"/>
      <c r="AC1136" s="3" t="str">
        <f>HYPERLINK("https://knigipp.ru/api/getInfo/image/ea254fbb-3d5b-11f0-a27c-00155d82e908")</f>
        <v>https://knigipp.ru/api/getInfo/image/ea254fbb-3d5b-11f0-a27c-00155d82e908</v>
      </c>
      <c r="AD1136" s="32">
        <v>8</v>
      </c>
      <c r="AE1136" s="3"/>
      <c r="AF1136" s="3" t="s">
        <v>136</v>
      </c>
      <c r="AG1136" s="3"/>
      <c r="AH1136" s="3" t="s">
        <v>56</v>
      </c>
      <c r="AI1136" s="3"/>
      <c r="AJ1136" s="3"/>
      <c r="AK1136" s="3" t="str">
        <f>HYPERLINK("https://knigipp.ru/api/getInfo/item/ea254fbb-3d5b-11f0-a27c-00155d82e908")</f>
        <v>https://knigipp.ru/api/getInfo/item/ea254fbb-3d5b-11f0-a27c-00155d82e908</v>
      </c>
      <c r="AL1136" s="3" t="s">
        <v>4831</v>
      </c>
    </row>
    <row r="1137" spans="1:38" ht="23.1" customHeight="1" outlineLevel="3" x14ac:dyDescent="0.2">
      <c r="A1137" s="48" t="s">
        <v>4847</v>
      </c>
      <c r="B1137" s="48"/>
      <c r="C1137" s="48"/>
      <c r="D1137" s="48"/>
      <c r="E1137" s="48"/>
      <c r="F1137" s="48"/>
    </row>
    <row r="1138" spans="1:38" ht="21" customHeight="1" outlineLevel="4" x14ac:dyDescent="0.2">
      <c r="A1138" s="2">
        <v>853</v>
      </c>
      <c r="B1138" s="3" t="s">
        <v>4848</v>
      </c>
      <c r="C1138" s="49" t="s">
        <v>4849</v>
      </c>
      <c r="D1138" s="49"/>
      <c r="E1138" s="49"/>
      <c r="F1138" s="49"/>
      <c r="G1138" s="4" t="s">
        <v>4850</v>
      </c>
      <c r="H1138" s="8"/>
      <c r="I1138" s="9" t="s">
        <v>4851</v>
      </c>
      <c r="J1138" s="10"/>
      <c r="K1138" s="11">
        <v>50</v>
      </c>
      <c r="L1138" s="10"/>
      <c r="M1138" s="10" t="s">
        <v>304</v>
      </c>
      <c r="N1138" s="10"/>
      <c r="O1138" s="2">
        <v>7</v>
      </c>
      <c r="P1138" s="17">
        <f>93.21*(1-S3/100)</f>
        <v>93.21</v>
      </c>
      <c r="Q1138" s="18"/>
      <c r="R1138" s="10">
        <f>P1138*Q1138</f>
        <v>0</v>
      </c>
      <c r="S1138" s="28">
        <f>0.08*Q1138</f>
        <v>0</v>
      </c>
      <c r="T1138" s="20">
        <f>0.00011*Q1138</f>
        <v>0</v>
      </c>
      <c r="U1138" s="21"/>
      <c r="V1138" s="22" t="s">
        <v>4852</v>
      </c>
      <c r="W1138" s="22" t="s">
        <v>49</v>
      </c>
      <c r="X1138" s="3"/>
      <c r="Y1138" s="3"/>
      <c r="Z1138" s="3" t="s">
        <v>52</v>
      </c>
      <c r="AA1138" s="3" t="s">
        <v>4853</v>
      </c>
      <c r="AB1138" s="3"/>
      <c r="AC1138" s="3" t="str">
        <f>HYPERLINK("https://knigipp.ru/api/getInfo/image/3233dd73-1f80-11e7-b743-5cf3fc4a2490")</f>
        <v>https://knigipp.ru/api/getInfo/image/3233dd73-1f80-11e7-b743-5cf3fc4a2490</v>
      </c>
      <c r="AD1138" s="32">
        <v>16</v>
      </c>
      <c r="AE1138" s="3"/>
      <c r="AF1138" s="3" t="s">
        <v>136</v>
      </c>
      <c r="AG1138" s="3"/>
      <c r="AH1138" s="3" t="s">
        <v>56</v>
      </c>
      <c r="AI1138" s="3"/>
      <c r="AJ1138" s="3" t="s">
        <v>4854</v>
      </c>
      <c r="AK1138" s="3" t="str">
        <f>HYPERLINK("https://knigipp.ru/api/getInfo/item/3233dd73-1f80-11e7-b743-5cf3fc4a2490")</f>
        <v>https://knigipp.ru/api/getInfo/item/3233dd73-1f80-11e7-b743-5cf3fc4a2490</v>
      </c>
      <c r="AL1138" s="3" t="s">
        <v>935</v>
      </c>
    </row>
    <row r="1139" spans="1:38" ht="23.1" customHeight="1" outlineLevel="3" x14ac:dyDescent="0.2">
      <c r="A1139" s="48" t="s">
        <v>4855</v>
      </c>
      <c r="B1139" s="48"/>
      <c r="C1139" s="48"/>
      <c r="D1139" s="48"/>
      <c r="E1139" s="48"/>
      <c r="F1139" s="48"/>
    </row>
    <row r="1140" spans="1:38" ht="21" customHeight="1" outlineLevel="4" x14ac:dyDescent="0.2">
      <c r="A1140" s="2">
        <v>854</v>
      </c>
      <c r="B1140" s="3" t="s">
        <v>4856</v>
      </c>
      <c r="C1140" s="49" t="s">
        <v>4857</v>
      </c>
      <c r="D1140" s="49"/>
      <c r="E1140" s="49"/>
      <c r="F1140" s="49"/>
      <c r="G1140" s="4" t="s">
        <v>4858</v>
      </c>
      <c r="H1140" s="8"/>
      <c r="I1140" s="9" t="s">
        <v>4859</v>
      </c>
      <c r="J1140" s="10"/>
      <c r="K1140" s="11">
        <v>50</v>
      </c>
      <c r="L1140" s="10"/>
      <c r="M1140" s="10" t="s">
        <v>78</v>
      </c>
      <c r="N1140" s="10"/>
      <c r="O1140" s="2">
        <v>8</v>
      </c>
      <c r="P1140" s="17">
        <f>83.9*(1-S3/100)</f>
        <v>83.9</v>
      </c>
      <c r="Q1140" s="18"/>
      <c r="R1140" s="10">
        <f>P1140*Q1140</f>
        <v>0</v>
      </c>
      <c r="S1140" s="19">
        <f>0.042*Q1140</f>
        <v>0</v>
      </c>
      <c r="T1140" s="20">
        <f>0.00012*Q1140</f>
        <v>0</v>
      </c>
      <c r="U1140" s="21"/>
      <c r="V1140" s="22" t="s">
        <v>4860</v>
      </c>
      <c r="W1140" s="22" t="s">
        <v>49</v>
      </c>
      <c r="X1140" s="3"/>
      <c r="Y1140" s="3" t="s">
        <v>4861</v>
      </c>
      <c r="Z1140" s="3" t="s">
        <v>52</v>
      </c>
      <c r="AA1140" s="3"/>
      <c r="AB1140" s="3"/>
      <c r="AC1140" s="3" t="str">
        <f>HYPERLINK("https://knigipp.ru/api/getInfo/image/ecc8d3af-8338-11ec-a211-ac1f6b442185")</f>
        <v>https://knigipp.ru/api/getInfo/image/ecc8d3af-8338-11ec-a211-ac1f6b442185</v>
      </c>
      <c r="AD1140" s="32">
        <v>10</v>
      </c>
      <c r="AE1140" s="3"/>
      <c r="AF1140" s="3" t="s">
        <v>136</v>
      </c>
      <c r="AG1140" s="3"/>
      <c r="AH1140" s="3" t="s">
        <v>56</v>
      </c>
      <c r="AI1140" s="3"/>
      <c r="AJ1140" s="3"/>
      <c r="AK1140" s="3" t="str">
        <f>HYPERLINK("https://knigipp.ru/api/getInfo/item/ecc8d3af-8338-11ec-a211-ac1f6b442185")</f>
        <v>https://knigipp.ru/api/getInfo/item/ecc8d3af-8338-11ec-a211-ac1f6b442185</v>
      </c>
      <c r="AL1140" s="3" t="s">
        <v>4799</v>
      </c>
    </row>
    <row r="1141" spans="1:38" ht="23.1" customHeight="1" outlineLevel="3" x14ac:dyDescent="0.2">
      <c r="A1141" s="48" t="s">
        <v>4862</v>
      </c>
      <c r="B1141" s="48"/>
      <c r="C1141" s="48"/>
      <c r="D1141" s="48"/>
      <c r="E1141" s="48"/>
      <c r="F1141" s="48"/>
    </row>
    <row r="1142" spans="1:38" ht="21" customHeight="1" outlineLevel="4" x14ac:dyDescent="0.2">
      <c r="A1142" s="2">
        <v>855</v>
      </c>
      <c r="B1142" s="3" t="s">
        <v>4863</v>
      </c>
      <c r="C1142" s="49" t="s">
        <v>4864</v>
      </c>
      <c r="D1142" s="49"/>
      <c r="E1142" s="49"/>
      <c r="F1142" s="49"/>
      <c r="G1142" s="4" t="s">
        <v>4865</v>
      </c>
      <c r="H1142" s="8"/>
      <c r="I1142" s="9" t="s">
        <v>4866</v>
      </c>
      <c r="J1142" s="10"/>
      <c r="K1142" s="11">
        <v>50</v>
      </c>
      <c r="L1142" s="10"/>
      <c r="M1142" s="10" t="s">
        <v>47</v>
      </c>
      <c r="N1142" s="10"/>
      <c r="O1142" s="2">
        <v>6</v>
      </c>
      <c r="P1142" s="17">
        <f>117*(1-S3/100)</f>
        <v>117</v>
      </c>
      <c r="Q1142" s="18"/>
      <c r="R1142" s="10">
        <f>P1142*Q1142</f>
        <v>0</v>
      </c>
      <c r="S1142" s="19">
        <f>0.057*Q1142</f>
        <v>0</v>
      </c>
      <c r="T1142" s="20">
        <f>0.00027*Q1142</f>
        <v>0</v>
      </c>
      <c r="U1142" s="21"/>
      <c r="V1142" s="22" t="s">
        <v>4867</v>
      </c>
      <c r="W1142" s="22" t="s">
        <v>49</v>
      </c>
      <c r="X1142" s="3"/>
      <c r="Y1142" s="3" t="s">
        <v>4868</v>
      </c>
      <c r="Z1142" s="3" t="s">
        <v>52</v>
      </c>
      <c r="AA1142" s="3"/>
      <c r="AB1142" s="3"/>
      <c r="AC1142" s="3" t="str">
        <f>HYPERLINK("https://knigipp.ru/api/getInfo/image/d64adc26-2bb9-11ee-a23d-00155d82e902")</f>
        <v>https://knigipp.ru/api/getInfo/image/d64adc26-2bb9-11ee-a23d-00155d82e902</v>
      </c>
      <c r="AD1142" s="32">
        <v>12</v>
      </c>
      <c r="AE1142" s="3" t="s">
        <v>54</v>
      </c>
      <c r="AF1142" s="3" t="s">
        <v>136</v>
      </c>
      <c r="AG1142" s="3"/>
      <c r="AH1142" s="3" t="s">
        <v>56</v>
      </c>
      <c r="AI1142" s="3"/>
      <c r="AJ1142" s="3"/>
      <c r="AK1142" s="3" t="str">
        <f>HYPERLINK("https://knigipp.ru/api/getInfo/item/d64adc26-2bb9-11ee-a23d-00155d82e902")</f>
        <v>https://knigipp.ru/api/getInfo/item/d64adc26-2bb9-11ee-a23d-00155d82e902</v>
      </c>
      <c r="AL1142" s="3" t="s">
        <v>4869</v>
      </c>
    </row>
    <row r="1143" spans="1:38" ht="23.1" customHeight="1" outlineLevel="3" x14ac:dyDescent="0.2">
      <c r="A1143" s="48" t="s">
        <v>4870</v>
      </c>
      <c r="B1143" s="48"/>
      <c r="C1143" s="48"/>
      <c r="D1143" s="48"/>
      <c r="E1143" s="48"/>
      <c r="F1143" s="48"/>
    </row>
    <row r="1144" spans="1:38" ht="21" customHeight="1" outlineLevel="4" x14ac:dyDescent="0.2">
      <c r="A1144" s="2">
        <v>856</v>
      </c>
      <c r="B1144" s="3" t="s">
        <v>4871</v>
      </c>
      <c r="C1144" s="49" t="s">
        <v>4872</v>
      </c>
      <c r="D1144" s="49"/>
      <c r="E1144" s="49"/>
      <c r="F1144" s="49"/>
      <c r="G1144" s="4" t="s">
        <v>4873</v>
      </c>
      <c r="H1144" s="8"/>
      <c r="I1144" s="9" t="s">
        <v>4874</v>
      </c>
      <c r="J1144" s="10"/>
      <c r="K1144" s="11">
        <v>70</v>
      </c>
      <c r="L1144" s="10"/>
      <c r="M1144" s="10" t="s">
        <v>304</v>
      </c>
      <c r="N1144" s="10"/>
      <c r="O1144" s="2">
        <v>5</v>
      </c>
      <c r="P1144" s="17">
        <f>179*(1-S3/100)</f>
        <v>179</v>
      </c>
      <c r="Q1144" s="18"/>
      <c r="R1144" s="10">
        <f>P1144*Q1144</f>
        <v>0</v>
      </c>
      <c r="S1144" s="19">
        <f>0.071*Q1144</f>
        <v>0</v>
      </c>
      <c r="T1144" s="20">
        <f>0.00023*Q1144</f>
        <v>0</v>
      </c>
      <c r="U1144" s="21"/>
      <c r="V1144" s="22" t="s">
        <v>4875</v>
      </c>
      <c r="W1144" s="22" t="s">
        <v>191</v>
      </c>
      <c r="X1144" s="3"/>
      <c r="Y1144" s="3"/>
      <c r="Z1144" s="3" t="s">
        <v>52</v>
      </c>
      <c r="AA1144" s="3"/>
      <c r="AB1144" s="3"/>
      <c r="AC1144" s="3" t="str">
        <f>HYPERLINK("https://knigipp.ru/api/getInfo/image/5e4b3cd5-e1b1-11ec-a213-ac1f6b442185")</f>
        <v>https://knigipp.ru/api/getInfo/image/5e4b3cd5-e1b1-11ec-a213-ac1f6b442185</v>
      </c>
      <c r="AD1144" s="3"/>
      <c r="AE1144" s="3"/>
      <c r="AF1144" s="3" t="s">
        <v>452</v>
      </c>
      <c r="AG1144" s="3"/>
      <c r="AH1144" s="3" t="s">
        <v>56</v>
      </c>
      <c r="AI1144" s="3"/>
      <c r="AJ1144" s="3"/>
      <c r="AK1144" s="3" t="str">
        <f>HYPERLINK("https://knigipp.ru/api/getInfo/item/5e4b3cd5-e1b1-11ec-a213-ac1f6b442185")</f>
        <v>https://knigipp.ru/api/getInfo/item/5e4b3cd5-e1b1-11ec-a213-ac1f6b442185</v>
      </c>
      <c r="AL1144" s="3" t="s">
        <v>4876</v>
      </c>
    </row>
    <row r="1145" spans="1:38" ht="21" customHeight="1" outlineLevel="4" x14ac:dyDescent="0.2">
      <c r="A1145" s="2">
        <v>857</v>
      </c>
      <c r="B1145" s="3" t="s">
        <v>4877</v>
      </c>
      <c r="C1145" s="49" t="s">
        <v>4878</v>
      </c>
      <c r="D1145" s="49"/>
      <c r="E1145" s="49"/>
      <c r="F1145" s="49"/>
      <c r="G1145" s="4" t="s">
        <v>4879</v>
      </c>
      <c r="H1145" s="8"/>
      <c r="I1145" s="9" t="s">
        <v>4874</v>
      </c>
      <c r="J1145" s="10"/>
      <c r="K1145" s="11">
        <v>70</v>
      </c>
      <c r="L1145" s="10"/>
      <c r="M1145" s="10" t="s">
        <v>304</v>
      </c>
      <c r="N1145" s="10"/>
      <c r="O1145" s="2">
        <v>5</v>
      </c>
      <c r="P1145" s="17">
        <f>179*(1-S3/100)</f>
        <v>179</v>
      </c>
      <c r="Q1145" s="18"/>
      <c r="R1145" s="10">
        <f>P1145*Q1145</f>
        <v>0</v>
      </c>
      <c r="S1145" s="19">
        <f>0.082*Q1145</f>
        <v>0</v>
      </c>
      <c r="T1145" s="20">
        <f>0.00008*Q1145</f>
        <v>0</v>
      </c>
      <c r="U1145" s="21"/>
      <c r="V1145" s="22" t="s">
        <v>4880</v>
      </c>
      <c r="W1145" s="22" t="s">
        <v>191</v>
      </c>
      <c r="X1145" s="3"/>
      <c r="Y1145" s="3"/>
      <c r="Z1145" s="3" t="s">
        <v>52</v>
      </c>
      <c r="AA1145" s="3"/>
      <c r="AB1145" s="3"/>
      <c r="AC1145" s="3" t="str">
        <f>HYPERLINK("https://knigipp.ru/api/getInfo/image/dc87938c-e1b0-11ec-a213-ac1f6b442185")</f>
        <v>https://knigipp.ru/api/getInfo/image/dc87938c-e1b0-11ec-a213-ac1f6b442185</v>
      </c>
      <c r="AD1145" s="3"/>
      <c r="AE1145" s="3"/>
      <c r="AF1145" s="3" t="s">
        <v>452</v>
      </c>
      <c r="AG1145" s="3"/>
      <c r="AH1145" s="3" t="s">
        <v>56</v>
      </c>
      <c r="AI1145" s="3"/>
      <c r="AJ1145" s="3"/>
      <c r="AK1145" s="3" t="str">
        <f>HYPERLINK("https://knigipp.ru/api/getInfo/item/dc87938c-e1b0-11ec-a213-ac1f6b442185")</f>
        <v>https://knigipp.ru/api/getInfo/item/dc87938c-e1b0-11ec-a213-ac1f6b442185</v>
      </c>
      <c r="AL1145" s="3" t="s">
        <v>4876</v>
      </c>
    </row>
    <row r="1146" spans="1:38" ht="21" customHeight="1" outlineLevel="4" x14ac:dyDescent="0.2">
      <c r="A1146" s="2">
        <v>858</v>
      </c>
      <c r="B1146" s="3" t="s">
        <v>4881</v>
      </c>
      <c r="C1146" s="49" t="s">
        <v>4882</v>
      </c>
      <c r="D1146" s="49"/>
      <c r="E1146" s="49"/>
      <c r="F1146" s="49"/>
      <c r="G1146" s="4" t="s">
        <v>4883</v>
      </c>
      <c r="H1146" s="8"/>
      <c r="I1146" s="9" t="s">
        <v>4874</v>
      </c>
      <c r="J1146" s="10"/>
      <c r="K1146" s="11">
        <v>70</v>
      </c>
      <c r="L1146" s="10"/>
      <c r="M1146" s="10" t="s">
        <v>304</v>
      </c>
      <c r="N1146" s="10"/>
      <c r="O1146" s="2">
        <v>5</v>
      </c>
      <c r="P1146" s="17">
        <f>179*(1-S3/100)</f>
        <v>179</v>
      </c>
      <c r="Q1146" s="18"/>
      <c r="R1146" s="10">
        <f>P1146*Q1146</f>
        <v>0</v>
      </c>
      <c r="S1146" s="10">
        <v>0</v>
      </c>
      <c r="T1146" s="10">
        <v>0</v>
      </c>
      <c r="U1146" s="21"/>
      <c r="V1146" s="22" t="s">
        <v>4884</v>
      </c>
      <c r="W1146" s="22" t="s">
        <v>191</v>
      </c>
      <c r="X1146" s="3"/>
      <c r="Y1146" s="3"/>
      <c r="Z1146" s="3" t="s">
        <v>52</v>
      </c>
      <c r="AA1146" s="3"/>
      <c r="AB1146" s="3"/>
      <c r="AC1146" s="3" t="str">
        <f>HYPERLINK("https://knigipp.ru/api/getInfo/image/117638ba-e1b1-11ec-a213-ac1f6b442185")</f>
        <v>https://knigipp.ru/api/getInfo/image/117638ba-e1b1-11ec-a213-ac1f6b442185</v>
      </c>
      <c r="AD1146" s="3"/>
      <c r="AE1146" s="3"/>
      <c r="AF1146" s="3" t="s">
        <v>452</v>
      </c>
      <c r="AG1146" s="3"/>
      <c r="AH1146" s="3" t="s">
        <v>56</v>
      </c>
      <c r="AI1146" s="3"/>
      <c r="AJ1146" s="3"/>
      <c r="AK1146" s="3" t="str">
        <f>HYPERLINK("https://knigipp.ru/api/getInfo/item/117638ba-e1b1-11ec-a213-ac1f6b442185")</f>
        <v>https://knigipp.ru/api/getInfo/item/117638ba-e1b1-11ec-a213-ac1f6b442185</v>
      </c>
      <c r="AL1146" s="3" t="s">
        <v>4876</v>
      </c>
    </row>
    <row r="1147" spans="1:38" ht="23.1" customHeight="1" outlineLevel="3" x14ac:dyDescent="0.2">
      <c r="A1147" s="48" t="s">
        <v>4885</v>
      </c>
      <c r="B1147" s="48"/>
      <c r="C1147" s="48"/>
      <c r="D1147" s="48"/>
      <c r="E1147" s="48"/>
      <c r="F1147" s="48"/>
    </row>
    <row r="1148" spans="1:38" ht="21" customHeight="1" outlineLevel="4" x14ac:dyDescent="0.2">
      <c r="A1148" s="2">
        <v>859</v>
      </c>
      <c r="B1148" s="3" t="s">
        <v>4886</v>
      </c>
      <c r="C1148" s="49" t="s">
        <v>4887</v>
      </c>
      <c r="D1148" s="49"/>
      <c r="E1148" s="49"/>
      <c r="F1148" s="49"/>
      <c r="G1148" s="4" t="s">
        <v>4888</v>
      </c>
      <c r="H1148" s="8"/>
      <c r="I1148" s="9" t="s">
        <v>4889</v>
      </c>
      <c r="J1148" s="10"/>
      <c r="K1148" s="11">
        <v>50</v>
      </c>
      <c r="L1148" s="10"/>
      <c r="M1148" s="10" t="s">
        <v>47</v>
      </c>
      <c r="N1148" s="10"/>
      <c r="O1148" s="2">
        <v>7</v>
      </c>
      <c r="P1148" s="17">
        <f>117*(1-S3/100)</f>
        <v>117</v>
      </c>
      <c r="Q1148" s="18"/>
      <c r="R1148" s="10">
        <f>P1148*Q1148</f>
        <v>0</v>
      </c>
      <c r="S1148" s="19">
        <f>0.078*Q1148</f>
        <v>0</v>
      </c>
      <c r="T1148" s="20">
        <f>0.00004*Q1148</f>
        <v>0</v>
      </c>
      <c r="U1148" s="21"/>
      <c r="V1148" s="22" t="s">
        <v>4890</v>
      </c>
      <c r="W1148" s="22" t="s">
        <v>191</v>
      </c>
      <c r="X1148" s="3"/>
      <c r="Y1148" s="3" t="s">
        <v>4891</v>
      </c>
      <c r="Z1148" s="3" t="s">
        <v>52</v>
      </c>
      <c r="AA1148" s="3"/>
      <c r="AB1148" s="3"/>
      <c r="AC1148" s="3" t="str">
        <f>HYPERLINK("https://knigipp.ru/api/getInfo/image/67182336-922d-11eb-a233-0cc47a2bbb49")</f>
        <v>https://knigipp.ru/api/getInfo/image/67182336-922d-11eb-a233-0cc47a2bbb49</v>
      </c>
      <c r="AD1148" s="32">
        <v>8</v>
      </c>
      <c r="AE1148" s="3"/>
      <c r="AF1148" s="3" t="s">
        <v>136</v>
      </c>
      <c r="AG1148" s="3"/>
      <c r="AH1148" s="3" t="s">
        <v>56</v>
      </c>
      <c r="AI1148" s="3"/>
      <c r="AJ1148" s="3"/>
      <c r="AK1148" s="3" t="str">
        <f>HYPERLINK("https://knigipp.ru/api/getInfo/item/67182336-922d-11eb-a233-0cc47a2bbb49")</f>
        <v>https://knigipp.ru/api/getInfo/item/67182336-922d-11eb-a233-0cc47a2bbb49</v>
      </c>
      <c r="AL1148" s="3" t="s">
        <v>1155</v>
      </c>
    </row>
    <row r="1149" spans="1:38" ht="21" customHeight="1" outlineLevel="4" x14ac:dyDescent="0.2">
      <c r="A1149" s="2">
        <v>860</v>
      </c>
      <c r="B1149" s="3" t="s">
        <v>4892</v>
      </c>
      <c r="C1149" s="49" t="s">
        <v>4893</v>
      </c>
      <c r="D1149" s="49"/>
      <c r="E1149" s="49"/>
      <c r="F1149" s="49"/>
      <c r="G1149" s="4" t="s">
        <v>4894</v>
      </c>
      <c r="H1149" s="8"/>
      <c r="I1149" s="9" t="s">
        <v>4889</v>
      </c>
      <c r="J1149" s="10"/>
      <c r="K1149" s="11">
        <v>50</v>
      </c>
      <c r="L1149" s="10"/>
      <c r="M1149" s="10" t="s">
        <v>47</v>
      </c>
      <c r="N1149" s="10"/>
      <c r="O1149" s="2">
        <v>7</v>
      </c>
      <c r="P1149" s="17">
        <f>117*(1-S3/100)</f>
        <v>117</v>
      </c>
      <c r="Q1149" s="18"/>
      <c r="R1149" s="10">
        <f>P1149*Q1149</f>
        <v>0</v>
      </c>
      <c r="S1149" s="19">
        <f>0.078*Q1149</f>
        <v>0</v>
      </c>
      <c r="T1149" s="20">
        <f>0.00004*Q1149</f>
        <v>0</v>
      </c>
      <c r="U1149" s="21"/>
      <c r="V1149" s="22" t="s">
        <v>4895</v>
      </c>
      <c r="W1149" s="22" t="s">
        <v>191</v>
      </c>
      <c r="X1149" s="3"/>
      <c r="Y1149" s="3" t="s">
        <v>4891</v>
      </c>
      <c r="Z1149" s="3" t="s">
        <v>52</v>
      </c>
      <c r="AA1149" s="3"/>
      <c r="AB1149" s="3"/>
      <c r="AC1149" s="3" t="str">
        <f>HYPERLINK("https://knigipp.ru/api/getInfo/image/38a3b8b8-922d-11eb-a233-0cc47a2bbb49")</f>
        <v>https://knigipp.ru/api/getInfo/image/38a3b8b8-922d-11eb-a233-0cc47a2bbb49</v>
      </c>
      <c r="AD1149" s="32">
        <v>8</v>
      </c>
      <c r="AE1149" s="3"/>
      <c r="AF1149" s="3" t="s">
        <v>136</v>
      </c>
      <c r="AG1149" s="3"/>
      <c r="AH1149" s="3" t="s">
        <v>56</v>
      </c>
      <c r="AI1149" s="3"/>
      <c r="AJ1149" s="3"/>
      <c r="AK1149" s="3" t="str">
        <f>HYPERLINK("https://knigipp.ru/api/getInfo/item/38a3b8b8-922d-11eb-a233-0cc47a2bbb49")</f>
        <v>https://knigipp.ru/api/getInfo/item/38a3b8b8-922d-11eb-a233-0cc47a2bbb49</v>
      </c>
      <c r="AL1149" s="3" t="s">
        <v>1155</v>
      </c>
    </row>
    <row r="1150" spans="1:38" ht="21" customHeight="1" outlineLevel="4" x14ac:dyDescent="0.2">
      <c r="A1150" s="2">
        <v>861</v>
      </c>
      <c r="B1150" s="3" t="s">
        <v>4896</v>
      </c>
      <c r="C1150" s="49" t="s">
        <v>4897</v>
      </c>
      <c r="D1150" s="49"/>
      <c r="E1150" s="49"/>
      <c r="F1150" s="49"/>
      <c r="G1150" s="4" t="s">
        <v>4898</v>
      </c>
      <c r="H1150" s="8"/>
      <c r="I1150" s="9" t="s">
        <v>4889</v>
      </c>
      <c r="J1150" s="10"/>
      <c r="K1150" s="11">
        <v>50</v>
      </c>
      <c r="L1150" s="10"/>
      <c r="M1150" s="10" t="s">
        <v>47</v>
      </c>
      <c r="N1150" s="10"/>
      <c r="O1150" s="2">
        <v>7</v>
      </c>
      <c r="P1150" s="17">
        <f>117*(1-S3/100)</f>
        <v>117</v>
      </c>
      <c r="Q1150" s="18"/>
      <c r="R1150" s="10">
        <f>P1150*Q1150</f>
        <v>0</v>
      </c>
      <c r="S1150" s="19">
        <f>0.078*Q1150</f>
        <v>0</v>
      </c>
      <c r="T1150" s="20">
        <f>0.00004*Q1150</f>
        <v>0</v>
      </c>
      <c r="U1150" s="21"/>
      <c r="V1150" s="22" t="s">
        <v>4899</v>
      </c>
      <c r="W1150" s="22" t="s">
        <v>191</v>
      </c>
      <c r="X1150" s="3"/>
      <c r="Y1150" s="3" t="s">
        <v>4891</v>
      </c>
      <c r="Z1150" s="3" t="s">
        <v>52</v>
      </c>
      <c r="AA1150" s="3"/>
      <c r="AB1150" s="3"/>
      <c r="AC1150" s="3" t="str">
        <f>HYPERLINK("https://knigipp.ru/api/getInfo/image/a24de081-922c-11eb-a233-0cc47a2bbb49")</f>
        <v>https://knigipp.ru/api/getInfo/image/a24de081-922c-11eb-a233-0cc47a2bbb49</v>
      </c>
      <c r="AD1150" s="32">
        <v>8</v>
      </c>
      <c r="AE1150" s="3"/>
      <c r="AF1150" s="3" t="s">
        <v>136</v>
      </c>
      <c r="AG1150" s="3"/>
      <c r="AH1150" s="3" t="s">
        <v>56</v>
      </c>
      <c r="AI1150" s="3"/>
      <c r="AJ1150" s="3"/>
      <c r="AK1150" s="3" t="str">
        <f>HYPERLINK("https://knigipp.ru/api/getInfo/item/a24de081-922c-11eb-a233-0cc47a2bbb49")</f>
        <v>https://knigipp.ru/api/getInfo/item/a24de081-922c-11eb-a233-0cc47a2bbb49</v>
      </c>
      <c r="AL1150" s="3" t="s">
        <v>1155</v>
      </c>
    </row>
    <row r="1151" spans="1:38" ht="21" customHeight="1" outlineLevel="4" x14ac:dyDescent="0.2">
      <c r="A1151" s="2">
        <v>862</v>
      </c>
      <c r="B1151" s="3" t="s">
        <v>4900</v>
      </c>
      <c r="C1151" s="49" t="s">
        <v>4901</v>
      </c>
      <c r="D1151" s="49"/>
      <c r="E1151" s="49"/>
      <c r="F1151" s="49"/>
      <c r="G1151" s="4" t="s">
        <v>4902</v>
      </c>
      <c r="H1151" s="8"/>
      <c r="I1151" s="9" t="s">
        <v>4889</v>
      </c>
      <c r="J1151" s="10"/>
      <c r="K1151" s="11">
        <v>50</v>
      </c>
      <c r="L1151" s="10"/>
      <c r="M1151" s="10" t="s">
        <v>47</v>
      </c>
      <c r="N1151" s="10"/>
      <c r="O1151" s="2">
        <v>7</v>
      </c>
      <c r="P1151" s="17">
        <f>117*(1-S3/100)</f>
        <v>117</v>
      </c>
      <c r="Q1151" s="18"/>
      <c r="R1151" s="10">
        <f>P1151*Q1151</f>
        <v>0</v>
      </c>
      <c r="S1151" s="19">
        <f>0.078*Q1151</f>
        <v>0</v>
      </c>
      <c r="T1151" s="20">
        <f>0.00004*Q1151</f>
        <v>0</v>
      </c>
      <c r="U1151" s="21"/>
      <c r="V1151" s="22" t="s">
        <v>4903</v>
      </c>
      <c r="W1151" s="22" t="s">
        <v>191</v>
      </c>
      <c r="X1151" s="3"/>
      <c r="Y1151" s="3" t="s">
        <v>4891</v>
      </c>
      <c r="Z1151" s="3" t="s">
        <v>52</v>
      </c>
      <c r="AA1151" s="3"/>
      <c r="AB1151" s="3"/>
      <c r="AC1151" s="3" t="str">
        <f>HYPERLINK("https://knigipp.ru/api/getInfo/image/00b69159-922d-11eb-a233-0cc47a2bbb49")</f>
        <v>https://knigipp.ru/api/getInfo/image/00b69159-922d-11eb-a233-0cc47a2bbb49</v>
      </c>
      <c r="AD1151" s="32">
        <v>8</v>
      </c>
      <c r="AE1151" s="3"/>
      <c r="AF1151" s="3" t="s">
        <v>136</v>
      </c>
      <c r="AG1151" s="3"/>
      <c r="AH1151" s="3" t="s">
        <v>56</v>
      </c>
      <c r="AI1151" s="3"/>
      <c r="AJ1151" s="3"/>
      <c r="AK1151" s="3" t="str">
        <f>HYPERLINK("https://knigipp.ru/api/getInfo/item/00b69159-922d-11eb-a233-0cc47a2bbb49")</f>
        <v>https://knigipp.ru/api/getInfo/item/00b69159-922d-11eb-a233-0cc47a2bbb49</v>
      </c>
      <c r="AL1151" s="3" t="s">
        <v>1155</v>
      </c>
    </row>
    <row r="1152" spans="1:38" ht="23.1" customHeight="1" outlineLevel="3" x14ac:dyDescent="0.2">
      <c r="A1152" s="48" t="s">
        <v>4904</v>
      </c>
      <c r="B1152" s="48"/>
      <c r="C1152" s="48"/>
      <c r="D1152" s="48"/>
      <c r="E1152" s="48"/>
      <c r="F1152" s="48"/>
    </row>
    <row r="1153" spans="1:38" ht="21" customHeight="1" outlineLevel="4" x14ac:dyDescent="0.2">
      <c r="A1153" s="2">
        <v>863</v>
      </c>
      <c r="B1153" s="3" t="s">
        <v>4905</v>
      </c>
      <c r="C1153" s="49" t="s">
        <v>4906</v>
      </c>
      <c r="D1153" s="49"/>
      <c r="E1153" s="49"/>
      <c r="F1153" s="49"/>
      <c r="G1153" s="4" t="s">
        <v>4907</v>
      </c>
      <c r="H1153" s="8"/>
      <c r="I1153" s="9" t="s">
        <v>4908</v>
      </c>
      <c r="J1153" s="10"/>
      <c r="K1153" s="11">
        <v>50</v>
      </c>
      <c r="L1153" s="10"/>
      <c r="M1153" s="10" t="s">
        <v>304</v>
      </c>
      <c r="N1153" s="10"/>
      <c r="O1153" s="2">
        <v>8</v>
      </c>
      <c r="P1153" s="17">
        <f>77*(1-S3/100)</f>
        <v>77</v>
      </c>
      <c r="Q1153" s="18"/>
      <c r="R1153" s="10">
        <f t="shared" ref="R1153:R1160" si="42">P1153*Q1153</f>
        <v>0</v>
      </c>
      <c r="S1153" s="19">
        <f>0.042*Q1153</f>
        <v>0</v>
      </c>
      <c r="T1153" s="20">
        <f>0.00008*Q1153</f>
        <v>0</v>
      </c>
      <c r="U1153" s="21"/>
      <c r="V1153" s="22" t="s">
        <v>4909</v>
      </c>
      <c r="W1153" s="22" t="s">
        <v>191</v>
      </c>
      <c r="X1153" s="3"/>
      <c r="Y1153" s="3" t="s">
        <v>4910</v>
      </c>
      <c r="Z1153" s="3" t="s">
        <v>52</v>
      </c>
      <c r="AA1153" s="3"/>
      <c r="AB1153" s="3"/>
      <c r="AC1153" s="3" t="str">
        <f>HYPERLINK("https://knigipp.ru/api/getInfo/image/a20f3c67-af50-11ec-a211-ac1f6b442185")</f>
        <v>https://knigipp.ru/api/getInfo/image/a20f3c67-af50-11ec-a211-ac1f6b442185</v>
      </c>
      <c r="AD1153" s="32">
        <v>8</v>
      </c>
      <c r="AE1153" s="3"/>
      <c r="AF1153" s="3" t="s">
        <v>136</v>
      </c>
      <c r="AG1153" s="3"/>
      <c r="AH1153" s="3" t="s">
        <v>56</v>
      </c>
      <c r="AI1153" s="3"/>
      <c r="AJ1153" s="3"/>
      <c r="AK1153" s="3" t="str">
        <f>HYPERLINK("https://knigipp.ru/api/getInfo/item/a20f3c67-af50-11ec-a211-ac1f6b442185")</f>
        <v>https://knigipp.ru/api/getInfo/item/a20f3c67-af50-11ec-a211-ac1f6b442185</v>
      </c>
      <c r="AL1153" s="3" t="s">
        <v>4911</v>
      </c>
    </row>
    <row r="1154" spans="1:38" ht="21" customHeight="1" outlineLevel="4" x14ac:dyDescent="0.2">
      <c r="A1154" s="2">
        <v>864</v>
      </c>
      <c r="B1154" s="3" t="s">
        <v>4912</v>
      </c>
      <c r="C1154" s="49" t="s">
        <v>4913</v>
      </c>
      <c r="D1154" s="49"/>
      <c r="E1154" s="49"/>
      <c r="F1154" s="49"/>
      <c r="G1154" s="4" t="s">
        <v>4914</v>
      </c>
      <c r="H1154" s="8"/>
      <c r="I1154" s="9" t="s">
        <v>4908</v>
      </c>
      <c r="J1154" s="10"/>
      <c r="K1154" s="11">
        <v>50</v>
      </c>
      <c r="L1154" s="10"/>
      <c r="M1154" s="10" t="s">
        <v>304</v>
      </c>
      <c r="N1154" s="10"/>
      <c r="O1154" s="2">
        <v>8</v>
      </c>
      <c r="P1154" s="17">
        <f>77*(1-S3/100)</f>
        <v>77</v>
      </c>
      <c r="Q1154" s="18"/>
      <c r="R1154" s="10">
        <f t="shared" si="42"/>
        <v>0</v>
      </c>
      <c r="S1154" s="19">
        <f>0.042*Q1154</f>
        <v>0</v>
      </c>
      <c r="T1154" s="20">
        <f>0.00003*Q1154</f>
        <v>0</v>
      </c>
      <c r="U1154" s="21"/>
      <c r="V1154" s="22" t="s">
        <v>4915</v>
      </c>
      <c r="W1154" s="22" t="s">
        <v>191</v>
      </c>
      <c r="X1154" s="3"/>
      <c r="Y1154" s="3" t="s">
        <v>4910</v>
      </c>
      <c r="Z1154" s="3" t="s">
        <v>52</v>
      </c>
      <c r="AA1154" s="3"/>
      <c r="AB1154" s="3"/>
      <c r="AC1154" s="3" t="str">
        <f>HYPERLINK("https://knigipp.ru/api/getInfo/image/5c57e207-0260-11eb-a255-ac1f6b442184")</f>
        <v>https://knigipp.ru/api/getInfo/image/5c57e207-0260-11eb-a255-ac1f6b442184</v>
      </c>
      <c r="AD1154" s="32">
        <v>8</v>
      </c>
      <c r="AE1154" s="3"/>
      <c r="AF1154" s="3" t="s">
        <v>136</v>
      </c>
      <c r="AG1154" s="3"/>
      <c r="AH1154" s="3" t="s">
        <v>56</v>
      </c>
      <c r="AI1154" s="3"/>
      <c r="AJ1154" s="3"/>
      <c r="AK1154" s="3" t="str">
        <f>HYPERLINK("https://knigipp.ru/api/getInfo/item/5c57e207-0260-11eb-a255-ac1f6b442184")</f>
        <v>https://knigipp.ru/api/getInfo/item/5c57e207-0260-11eb-a255-ac1f6b442184</v>
      </c>
      <c r="AL1154" s="3" t="s">
        <v>4911</v>
      </c>
    </row>
    <row r="1155" spans="1:38" ht="21" customHeight="1" outlineLevel="4" x14ac:dyDescent="0.2">
      <c r="A1155" s="2">
        <v>865</v>
      </c>
      <c r="B1155" s="3" t="s">
        <v>4916</v>
      </c>
      <c r="C1155" s="49" t="s">
        <v>4917</v>
      </c>
      <c r="D1155" s="49"/>
      <c r="E1155" s="49"/>
      <c r="F1155" s="49"/>
      <c r="G1155" s="4" t="s">
        <v>4918</v>
      </c>
      <c r="H1155" s="8"/>
      <c r="I1155" s="9" t="s">
        <v>4908</v>
      </c>
      <c r="J1155" s="10"/>
      <c r="K1155" s="11">
        <v>50</v>
      </c>
      <c r="L1155" s="10"/>
      <c r="M1155" s="10" t="s">
        <v>78</v>
      </c>
      <c r="N1155" s="10"/>
      <c r="O1155" s="2">
        <v>8</v>
      </c>
      <c r="P1155" s="17">
        <f>77*(1-S3/100)</f>
        <v>77</v>
      </c>
      <c r="Q1155" s="18"/>
      <c r="R1155" s="10">
        <f t="shared" si="42"/>
        <v>0</v>
      </c>
      <c r="S1155" s="19">
        <f>0.042*Q1155</f>
        <v>0</v>
      </c>
      <c r="T1155" s="20">
        <f>0.00003*Q1155</f>
        <v>0</v>
      </c>
      <c r="U1155" s="21"/>
      <c r="V1155" s="22" t="s">
        <v>4919</v>
      </c>
      <c r="W1155" s="22" t="s">
        <v>191</v>
      </c>
      <c r="X1155" s="3"/>
      <c r="Y1155" s="3" t="s">
        <v>4910</v>
      </c>
      <c r="Z1155" s="3" t="s">
        <v>52</v>
      </c>
      <c r="AA1155" s="3"/>
      <c r="AB1155" s="3"/>
      <c r="AC1155" s="3" t="str">
        <f>HYPERLINK("https://knigipp.ru/api/getInfo/image/7b0ef630-0260-11eb-a255-ac1f6b442184")</f>
        <v>https://knigipp.ru/api/getInfo/image/7b0ef630-0260-11eb-a255-ac1f6b442184</v>
      </c>
      <c r="AD1155" s="32">
        <v>8</v>
      </c>
      <c r="AE1155" s="3"/>
      <c r="AF1155" s="3" t="s">
        <v>136</v>
      </c>
      <c r="AG1155" s="3"/>
      <c r="AH1155" s="3" t="s">
        <v>56</v>
      </c>
      <c r="AI1155" s="3"/>
      <c r="AJ1155" s="3"/>
      <c r="AK1155" s="3" t="str">
        <f>HYPERLINK("https://knigipp.ru/api/getInfo/item/7b0ef630-0260-11eb-a255-ac1f6b442184")</f>
        <v>https://knigipp.ru/api/getInfo/item/7b0ef630-0260-11eb-a255-ac1f6b442184</v>
      </c>
      <c r="AL1155" s="3" t="s">
        <v>4911</v>
      </c>
    </row>
    <row r="1156" spans="1:38" ht="21" customHeight="1" outlineLevel="4" x14ac:dyDescent="0.2">
      <c r="A1156" s="2">
        <v>866</v>
      </c>
      <c r="B1156" s="3" t="s">
        <v>4920</v>
      </c>
      <c r="C1156" s="49" t="s">
        <v>4921</v>
      </c>
      <c r="D1156" s="49"/>
      <c r="E1156" s="49"/>
      <c r="F1156" s="49"/>
      <c r="G1156" s="4" t="s">
        <v>4922</v>
      </c>
      <c r="H1156" s="8"/>
      <c r="I1156" s="9" t="s">
        <v>4908</v>
      </c>
      <c r="J1156" s="10"/>
      <c r="K1156" s="11">
        <v>50</v>
      </c>
      <c r="L1156" s="10"/>
      <c r="M1156" s="10" t="s">
        <v>78</v>
      </c>
      <c r="N1156" s="10"/>
      <c r="O1156" s="2">
        <v>8</v>
      </c>
      <c r="P1156" s="17">
        <f>77*(1-S3/100)</f>
        <v>77</v>
      </c>
      <c r="Q1156" s="18"/>
      <c r="R1156" s="10">
        <f t="shared" si="42"/>
        <v>0</v>
      </c>
      <c r="S1156" s="19">
        <f>0.039*Q1156</f>
        <v>0</v>
      </c>
      <c r="T1156" s="20">
        <f>0.00019*Q1156</f>
        <v>0</v>
      </c>
      <c r="U1156" s="21"/>
      <c r="V1156" s="22" t="s">
        <v>4923</v>
      </c>
      <c r="W1156" s="22" t="s">
        <v>191</v>
      </c>
      <c r="X1156" s="3"/>
      <c r="Y1156" s="3" t="s">
        <v>4910</v>
      </c>
      <c r="Z1156" s="3" t="s">
        <v>52</v>
      </c>
      <c r="AA1156" s="3"/>
      <c r="AB1156" s="3"/>
      <c r="AC1156" s="3" t="str">
        <f>HYPERLINK("https://knigipp.ru/api/getInfo/image/93017824-0260-11eb-a255-ac1f6b442184")</f>
        <v>https://knigipp.ru/api/getInfo/image/93017824-0260-11eb-a255-ac1f6b442184</v>
      </c>
      <c r="AD1156" s="32">
        <v>8</v>
      </c>
      <c r="AE1156" s="3"/>
      <c r="AF1156" s="3" t="s">
        <v>136</v>
      </c>
      <c r="AG1156" s="3"/>
      <c r="AH1156" s="3" t="s">
        <v>56</v>
      </c>
      <c r="AI1156" s="3"/>
      <c r="AJ1156" s="3"/>
      <c r="AK1156" s="3" t="str">
        <f>HYPERLINK("https://knigipp.ru/api/getInfo/item/93017824-0260-11eb-a255-ac1f6b442184")</f>
        <v>https://knigipp.ru/api/getInfo/item/93017824-0260-11eb-a255-ac1f6b442184</v>
      </c>
      <c r="AL1156" s="3" t="s">
        <v>4911</v>
      </c>
    </row>
    <row r="1157" spans="1:38" ht="21" customHeight="1" outlineLevel="4" x14ac:dyDescent="0.2">
      <c r="A1157" s="2">
        <v>867</v>
      </c>
      <c r="B1157" s="3" t="s">
        <v>4924</v>
      </c>
      <c r="C1157" s="49" t="s">
        <v>4925</v>
      </c>
      <c r="D1157" s="49"/>
      <c r="E1157" s="49"/>
      <c r="F1157" s="49"/>
      <c r="G1157" s="4" t="s">
        <v>4926</v>
      </c>
      <c r="H1157" s="8"/>
      <c r="I1157" s="9" t="s">
        <v>4908</v>
      </c>
      <c r="J1157" s="10"/>
      <c r="K1157" s="11">
        <v>50</v>
      </c>
      <c r="L1157" s="10"/>
      <c r="M1157" s="10" t="s">
        <v>47</v>
      </c>
      <c r="N1157" s="10"/>
      <c r="O1157" s="2">
        <v>8</v>
      </c>
      <c r="P1157" s="17">
        <f>77*(1-S3/100)</f>
        <v>77</v>
      </c>
      <c r="Q1157" s="18"/>
      <c r="R1157" s="10">
        <f t="shared" si="42"/>
        <v>0</v>
      </c>
      <c r="S1157" s="19">
        <f>0.038*Q1157</f>
        <v>0</v>
      </c>
      <c r="T1157" s="20">
        <f>0.00028*Q1157</f>
        <v>0</v>
      </c>
      <c r="U1157" s="21"/>
      <c r="V1157" s="22" t="s">
        <v>4927</v>
      </c>
      <c r="W1157" s="22" t="s">
        <v>191</v>
      </c>
      <c r="X1157" s="3"/>
      <c r="Y1157" s="3" t="s">
        <v>4910</v>
      </c>
      <c r="Z1157" s="3" t="s">
        <v>52</v>
      </c>
      <c r="AA1157" s="3"/>
      <c r="AB1157" s="3"/>
      <c r="AC1157" s="3" t="str">
        <f>HYPERLINK("https://knigipp.ru/api/getInfo/image/f623cb5a-4421-11ea-a240-ac1f6b442184")</f>
        <v>https://knigipp.ru/api/getInfo/image/f623cb5a-4421-11ea-a240-ac1f6b442184</v>
      </c>
      <c r="AD1157" s="32">
        <v>8</v>
      </c>
      <c r="AE1157" s="3"/>
      <c r="AF1157" s="3" t="s">
        <v>136</v>
      </c>
      <c r="AG1157" s="3"/>
      <c r="AH1157" s="3" t="s">
        <v>56</v>
      </c>
      <c r="AI1157" s="3"/>
      <c r="AJ1157" s="3"/>
      <c r="AK1157" s="3" t="str">
        <f>HYPERLINK("https://knigipp.ru/api/getInfo/item/f623cb5a-4421-11ea-a240-ac1f6b442184")</f>
        <v>https://knigipp.ru/api/getInfo/item/f623cb5a-4421-11ea-a240-ac1f6b442184</v>
      </c>
      <c r="AL1157" s="3" t="s">
        <v>4911</v>
      </c>
    </row>
    <row r="1158" spans="1:38" ht="21" customHeight="1" outlineLevel="4" x14ac:dyDescent="0.2">
      <c r="A1158" s="2">
        <v>868</v>
      </c>
      <c r="B1158" s="3" t="s">
        <v>4928</v>
      </c>
      <c r="C1158" s="49" t="s">
        <v>4929</v>
      </c>
      <c r="D1158" s="49"/>
      <c r="E1158" s="49"/>
      <c r="F1158" s="49"/>
      <c r="G1158" s="4" t="s">
        <v>4930</v>
      </c>
      <c r="H1158" s="8"/>
      <c r="I1158" s="9" t="s">
        <v>4908</v>
      </c>
      <c r="J1158" s="10"/>
      <c r="K1158" s="11">
        <v>50</v>
      </c>
      <c r="L1158" s="10"/>
      <c r="M1158" s="10" t="s">
        <v>47</v>
      </c>
      <c r="N1158" s="10"/>
      <c r="O1158" s="2">
        <v>8</v>
      </c>
      <c r="P1158" s="17">
        <f>77*(1-S3/100)</f>
        <v>77</v>
      </c>
      <c r="Q1158" s="18"/>
      <c r="R1158" s="10">
        <f t="shared" si="42"/>
        <v>0</v>
      </c>
      <c r="S1158" s="19">
        <f>0.042*Q1158</f>
        <v>0</v>
      </c>
      <c r="T1158" s="20">
        <f>0.00004*Q1158</f>
        <v>0</v>
      </c>
      <c r="U1158" s="21"/>
      <c r="V1158" s="22" t="s">
        <v>4931</v>
      </c>
      <c r="W1158" s="22" t="s">
        <v>191</v>
      </c>
      <c r="X1158" s="3"/>
      <c r="Y1158" s="3" t="s">
        <v>4910</v>
      </c>
      <c r="Z1158" s="3" t="s">
        <v>52</v>
      </c>
      <c r="AA1158" s="3"/>
      <c r="AB1158" s="3"/>
      <c r="AC1158" s="3" t="str">
        <f>HYPERLINK("https://knigipp.ru/api/getInfo/image/129ed7ec-4422-11ea-a240-ac1f6b442184")</f>
        <v>https://knigipp.ru/api/getInfo/image/129ed7ec-4422-11ea-a240-ac1f6b442184</v>
      </c>
      <c r="AD1158" s="32">
        <v>8</v>
      </c>
      <c r="AE1158" s="3"/>
      <c r="AF1158" s="3" t="s">
        <v>136</v>
      </c>
      <c r="AG1158" s="3"/>
      <c r="AH1158" s="3" t="s">
        <v>56</v>
      </c>
      <c r="AI1158" s="3"/>
      <c r="AJ1158" s="3"/>
      <c r="AK1158" s="3" t="str">
        <f>HYPERLINK("https://knigipp.ru/api/getInfo/item/129ed7ec-4422-11ea-a240-ac1f6b442184")</f>
        <v>https://knigipp.ru/api/getInfo/item/129ed7ec-4422-11ea-a240-ac1f6b442184</v>
      </c>
      <c r="AL1158" s="3" t="s">
        <v>4911</v>
      </c>
    </row>
    <row r="1159" spans="1:38" ht="21" customHeight="1" outlineLevel="4" x14ac:dyDescent="0.2">
      <c r="A1159" s="2">
        <v>869</v>
      </c>
      <c r="B1159" s="3" t="s">
        <v>4932</v>
      </c>
      <c r="C1159" s="49" t="s">
        <v>4933</v>
      </c>
      <c r="D1159" s="49"/>
      <c r="E1159" s="49"/>
      <c r="F1159" s="49"/>
      <c r="G1159" s="4" t="s">
        <v>4934</v>
      </c>
      <c r="H1159" s="8"/>
      <c r="I1159" s="9" t="s">
        <v>4908</v>
      </c>
      <c r="J1159" s="10"/>
      <c r="K1159" s="11">
        <v>50</v>
      </c>
      <c r="L1159" s="10"/>
      <c r="M1159" s="10" t="s">
        <v>47</v>
      </c>
      <c r="N1159" s="10"/>
      <c r="O1159" s="2">
        <v>8</v>
      </c>
      <c r="P1159" s="17">
        <f>77*(1-S3/100)</f>
        <v>77</v>
      </c>
      <c r="Q1159" s="18"/>
      <c r="R1159" s="10">
        <f t="shared" si="42"/>
        <v>0</v>
      </c>
      <c r="S1159" s="19">
        <f>0.042*Q1159</f>
        <v>0</v>
      </c>
      <c r="T1159" s="20">
        <f>0.00003*Q1159</f>
        <v>0</v>
      </c>
      <c r="U1159" s="21"/>
      <c r="V1159" s="22" t="s">
        <v>4935</v>
      </c>
      <c r="W1159" s="22" t="s">
        <v>191</v>
      </c>
      <c r="X1159" s="3"/>
      <c r="Y1159" s="3" t="s">
        <v>4910</v>
      </c>
      <c r="Z1159" s="3" t="s">
        <v>52</v>
      </c>
      <c r="AA1159" s="3"/>
      <c r="AB1159" s="3"/>
      <c r="AC1159" s="3" t="str">
        <f>HYPERLINK("https://knigipp.ru/api/getInfo/image/508a9f83-7ad8-11e9-a226-ac1f6b442184")</f>
        <v>https://knigipp.ru/api/getInfo/image/508a9f83-7ad8-11e9-a226-ac1f6b442184</v>
      </c>
      <c r="AD1159" s="32">
        <v>8</v>
      </c>
      <c r="AE1159" s="3"/>
      <c r="AF1159" s="3" t="s">
        <v>136</v>
      </c>
      <c r="AG1159" s="3"/>
      <c r="AH1159" s="3" t="s">
        <v>56</v>
      </c>
      <c r="AI1159" s="3"/>
      <c r="AJ1159" s="3"/>
      <c r="AK1159" s="3" t="str">
        <f>HYPERLINK("https://knigipp.ru/api/getInfo/item/508a9f83-7ad8-11e9-a226-ac1f6b442184")</f>
        <v>https://knigipp.ru/api/getInfo/item/508a9f83-7ad8-11e9-a226-ac1f6b442184</v>
      </c>
      <c r="AL1159" s="3" t="s">
        <v>4911</v>
      </c>
    </row>
    <row r="1160" spans="1:38" ht="21" customHeight="1" outlineLevel="4" x14ac:dyDescent="0.2">
      <c r="A1160" s="2">
        <v>870</v>
      </c>
      <c r="B1160" s="3" t="s">
        <v>4936</v>
      </c>
      <c r="C1160" s="49" t="s">
        <v>4937</v>
      </c>
      <c r="D1160" s="49"/>
      <c r="E1160" s="49"/>
      <c r="F1160" s="49"/>
      <c r="G1160" s="4" t="s">
        <v>4938</v>
      </c>
      <c r="H1160" s="8"/>
      <c r="I1160" s="9" t="s">
        <v>4908</v>
      </c>
      <c r="J1160" s="10"/>
      <c r="K1160" s="11">
        <v>50</v>
      </c>
      <c r="L1160" s="10"/>
      <c r="M1160" s="10" t="s">
        <v>78</v>
      </c>
      <c r="N1160" s="10"/>
      <c r="O1160" s="2">
        <v>8</v>
      </c>
      <c r="P1160" s="17">
        <f>77*(1-S3/100)</f>
        <v>77</v>
      </c>
      <c r="Q1160" s="18"/>
      <c r="R1160" s="10">
        <f t="shared" si="42"/>
        <v>0</v>
      </c>
      <c r="S1160" s="19">
        <f>0.042*Q1160</f>
        <v>0</v>
      </c>
      <c r="T1160" s="20">
        <f>0.00003*Q1160</f>
        <v>0</v>
      </c>
      <c r="U1160" s="21"/>
      <c r="V1160" s="22" t="s">
        <v>4939</v>
      </c>
      <c r="W1160" s="22" t="s">
        <v>191</v>
      </c>
      <c r="X1160" s="3"/>
      <c r="Y1160" s="3" t="s">
        <v>4910</v>
      </c>
      <c r="Z1160" s="3" t="s">
        <v>52</v>
      </c>
      <c r="AA1160" s="3"/>
      <c r="AB1160" s="3"/>
      <c r="AC1160" s="3" t="str">
        <f>HYPERLINK("https://knigipp.ru/api/getInfo/image/71117467-7ad8-11e9-a226-ac1f6b442184")</f>
        <v>https://knigipp.ru/api/getInfo/image/71117467-7ad8-11e9-a226-ac1f6b442184</v>
      </c>
      <c r="AD1160" s="32">
        <v>8</v>
      </c>
      <c r="AE1160" s="3"/>
      <c r="AF1160" s="3" t="s">
        <v>136</v>
      </c>
      <c r="AG1160" s="3"/>
      <c r="AH1160" s="3" t="s">
        <v>56</v>
      </c>
      <c r="AI1160" s="3"/>
      <c r="AJ1160" s="3"/>
      <c r="AK1160" s="3" t="str">
        <f>HYPERLINK("https://knigipp.ru/api/getInfo/item/71117467-7ad8-11e9-a226-ac1f6b442184")</f>
        <v>https://knigipp.ru/api/getInfo/item/71117467-7ad8-11e9-a226-ac1f6b442184</v>
      </c>
      <c r="AL1160" s="3" t="s">
        <v>4911</v>
      </c>
    </row>
    <row r="1161" spans="1:38" ht="23.1" customHeight="1" outlineLevel="3" x14ac:dyDescent="0.2">
      <c r="A1161" s="48" t="s">
        <v>4940</v>
      </c>
      <c r="B1161" s="48"/>
      <c r="C1161" s="48"/>
      <c r="D1161" s="48"/>
      <c r="E1161" s="48"/>
      <c r="F1161" s="48"/>
    </row>
    <row r="1162" spans="1:38" ht="21" customHeight="1" outlineLevel="4" x14ac:dyDescent="0.2">
      <c r="A1162" s="2">
        <v>871</v>
      </c>
      <c r="B1162" s="3" t="s">
        <v>4941</v>
      </c>
      <c r="C1162" s="49" t="s">
        <v>4942</v>
      </c>
      <c r="D1162" s="49"/>
      <c r="E1162" s="49"/>
      <c r="F1162" s="49"/>
      <c r="G1162" s="4" t="s">
        <v>4943</v>
      </c>
      <c r="H1162" s="8"/>
      <c r="I1162" s="9" t="s">
        <v>4944</v>
      </c>
      <c r="J1162" s="10"/>
      <c r="K1162" s="11">
        <v>30</v>
      </c>
      <c r="L1162" s="10"/>
      <c r="M1162" s="10" t="s">
        <v>47</v>
      </c>
      <c r="N1162" s="10"/>
      <c r="O1162" s="2">
        <v>10</v>
      </c>
      <c r="P1162" s="17">
        <f>82*(1-S3/100)</f>
        <v>82</v>
      </c>
      <c r="Q1162" s="18"/>
      <c r="R1162" s="10">
        <f>P1162*Q1162</f>
        <v>0</v>
      </c>
      <c r="S1162" s="19">
        <f>0.068*Q1162</f>
        <v>0</v>
      </c>
      <c r="T1162" s="30">
        <f>0.0001*Q1162</f>
        <v>0</v>
      </c>
      <c r="U1162" s="21"/>
      <c r="V1162" s="22" t="s">
        <v>4945</v>
      </c>
      <c r="W1162" s="22" t="s">
        <v>49</v>
      </c>
      <c r="X1162" s="3"/>
      <c r="Y1162" s="3" t="s">
        <v>4946</v>
      </c>
      <c r="Z1162" s="3" t="s">
        <v>52</v>
      </c>
      <c r="AA1162" s="3"/>
      <c r="AB1162" s="3"/>
      <c r="AC1162" s="3" t="str">
        <f>HYPERLINK("https://knigipp.ru/api/getInfo/image/7e261336-116d-11ed-a215-ac1f6b442185")</f>
        <v>https://knigipp.ru/api/getInfo/image/7e261336-116d-11ed-a215-ac1f6b442185</v>
      </c>
      <c r="AD1162" s="32">
        <v>12</v>
      </c>
      <c r="AE1162" s="3"/>
      <c r="AF1162" s="3" t="s">
        <v>136</v>
      </c>
      <c r="AG1162" s="3"/>
      <c r="AH1162" s="3" t="s">
        <v>56</v>
      </c>
      <c r="AI1162" s="3"/>
      <c r="AJ1162" s="3"/>
      <c r="AK1162" s="3" t="str">
        <f>HYPERLINK("https://knigipp.ru/api/getInfo/item/7e261336-116d-11ed-a215-ac1f6b442185")</f>
        <v>https://knigipp.ru/api/getInfo/item/7e261336-116d-11ed-a215-ac1f6b442185</v>
      </c>
      <c r="AL1162" s="3" t="s">
        <v>4947</v>
      </c>
    </row>
    <row r="1163" spans="1:38" ht="21" customHeight="1" outlineLevel="4" x14ac:dyDescent="0.2">
      <c r="A1163" s="2">
        <v>872</v>
      </c>
      <c r="B1163" s="3" t="s">
        <v>4948</v>
      </c>
      <c r="C1163" s="49" t="s">
        <v>4949</v>
      </c>
      <c r="D1163" s="49"/>
      <c r="E1163" s="49"/>
      <c r="F1163" s="49"/>
      <c r="G1163" s="4" t="s">
        <v>4950</v>
      </c>
      <c r="H1163" s="8"/>
      <c r="I1163" s="9" t="s">
        <v>4944</v>
      </c>
      <c r="J1163" s="10"/>
      <c r="K1163" s="11">
        <v>30</v>
      </c>
      <c r="L1163" s="10"/>
      <c r="M1163" s="10" t="s">
        <v>47</v>
      </c>
      <c r="N1163" s="10"/>
      <c r="O1163" s="2">
        <v>10</v>
      </c>
      <c r="P1163" s="17">
        <f>82*(1-S3/100)</f>
        <v>82</v>
      </c>
      <c r="Q1163" s="18"/>
      <c r="R1163" s="10">
        <f>P1163*Q1163</f>
        <v>0</v>
      </c>
      <c r="S1163" s="19">
        <f>0.068*Q1163</f>
        <v>0</v>
      </c>
      <c r="T1163" s="30">
        <f>0.0001*Q1163</f>
        <v>0</v>
      </c>
      <c r="U1163" s="21"/>
      <c r="V1163" s="22" t="s">
        <v>4951</v>
      </c>
      <c r="W1163" s="22" t="s">
        <v>49</v>
      </c>
      <c r="X1163" s="3"/>
      <c r="Y1163" s="3" t="s">
        <v>4946</v>
      </c>
      <c r="Z1163" s="3" t="s">
        <v>52</v>
      </c>
      <c r="AA1163" s="3"/>
      <c r="AB1163" s="3"/>
      <c r="AC1163" s="3" t="str">
        <f>HYPERLINK("https://knigipp.ru/api/getInfo/image/0db31213-116d-11ed-a215-ac1f6b442185")</f>
        <v>https://knigipp.ru/api/getInfo/image/0db31213-116d-11ed-a215-ac1f6b442185</v>
      </c>
      <c r="AD1163" s="32">
        <v>12</v>
      </c>
      <c r="AE1163" s="3"/>
      <c r="AF1163" s="3" t="s">
        <v>136</v>
      </c>
      <c r="AG1163" s="3"/>
      <c r="AH1163" s="3" t="s">
        <v>56</v>
      </c>
      <c r="AI1163" s="3"/>
      <c r="AJ1163" s="3"/>
      <c r="AK1163" s="3" t="str">
        <f>HYPERLINK("https://knigipp.ru/api/getInfo/item/0db31213-116d-11ed-a215-ac1f6b442185")</f>
        <v>https://knigipp.ru/api/getInfo/item/0db31213-116d-11ed-a215-ac1f6b442185</v>
      </c>
      <c r="AL1163" s="3" t="s">
        <v>4947</v>
      </c>
    </row>
    <row r="1164" spans="1:38" ht="23.1" customHeight="1" outlineLevel="3" x14ac:dyDescent="0.2">
      <c r="A1164" s="48" t="s">
        <v>4952</v>
      </c>
      <c r="B1164" s="48"/>
      <c r="C1164" s="48"/>
      <c r="D1164" s="48"/>
      <c r="E1164" s="48"/>
      <c r="F1164" s="48"/>
    </row>
    <row r="1165" spans="1:38" ht="21" customHeight="1" outlineLevel="4" x14ac:dyDescent="0.2">
      <c r="A1165" s="2">
        <v>873</v>
      </c>
      <c r="B1165" s="3" t="s">
        <v>4953</v>
      </c>
      <c r="C1165" s="49" t="s">
        <v>4954</v>
      </c>
      <c r="D1165" s="49"/>
      <c r="E1165" s="49"/>
      <c r="F1165" s="49"/>
      <c r="G1165" s="4" t="s">
        <v>4955</v>
      </c>
      <c r="H1165" s="8"/>
      <c r="I1165" s="9" t="s">
        <v>4956</v>
      </c>
      <c r="J1165" s="10"/>
      <c r="K1165" s="11">
        <v>30</v>
      </c>
      <c r="L1165" s="10"/>
      <c r="M1165" s="10" t="s">
        <v>47</v>
      </c>
      <c r="N1165" s="10"/>
      <c r="O1165" s="2">
        <v>5</v>
      </c>
      <c r="P1165" s="17">
        <f>119*(1-S3/100)</f>
        <v>119</v>
      </c>
      <c r="Q1165" s="18"/>
      <c r="R1165" s="10">
        <f>P1165*Q1165</f>
        <v>0</v>
      </c>
      <c r="S1165" s="28">
        <f>0.05*Q1165</f>
        <v>0</v>
      </c>
      <c r="T1165" s="20">
        <f>0.00019*Q1165</f>
        <v>0</v>
      </c>
      <c r="U1165" s="21"/>
      <c r="V1165" s="22" t="s">
        <v>4957</v>
      </c>
      <c r="W1165" s="22" t="s">
        <v>49</v>
      </c>
      <c r="X1165" s="3"/>
      <c r="Y1165" s="3" t="s">
        <v>4958</v>
      </c>
      <c r="Z1165" s="3" t="s">
        <v>52</v>
      </c>
      <c r="AA1165" s="3"/>
      <c r="AB1165" s="3"/>
      <c r="AC1165" s="3" t="str">
        <f>HYPERLINK("https://knigipp.ru/api/getInfo/image/382196c4-f5d6-11ef-a274-00155d82e908")</f>
        <v>https://knigipp.ru/api/getInfo/image/382196c4-f5d6-11ef-a274-00155d82e908</v>
      </c>
      <c r="AD1165" s="32">
        <v>16</v>
      </c>
      <c r="AE1165" s="3"/>
      <c r="AF1165" s="3" t="s">
        <v>136</v>
      </c>
      <c r="AG1165" s="3"/>
      <c r="AH1165" s="3" t="s">
        <v>56</v>
      </c>
      <c r="AI1165" s="3"/>
      <c r="AJ1165" s="3"/>
      <c r="AK1165" s="3" t="str">
        <f>HYPERLINK("https://knigipp.ru/api/getInfo/item/382196c4-f5d6-11ef-a274-00155d82e908")</f>
        <v>https://knigipp.ru/api/getInfo/item/382196c4-f5d6-11ef-a274-00155d82e908</v>
      </c>
      <c r="AL1165" s="3" t="s">
        <v>4046</v>
      </c>
    </row>
    <row r="1166" spans="1:38" ht="21" customHeight="1" outlineLevel="4" x14ac:dyDescent="0.2">
      <c r="A1166" s="2">
        <v>874</v>
      </c>
      <c r="B1166" s="3" t="s">
        <v>4959</v>
      </c>
      <c r="C1166" s="49" t="s">
        <v>4960</v>
      </c>
      <c r="D1166" s="49"/>
      <c r="E1166" s="49"/>
      <c r="F1166" s="49"/>
      <c r="G1166" s="4" t="s">
        <v>4961</v>
      </c>
      <c r="H1166" s="8"/>
      <c r="I1166" s="9" t="s">
        <v>4956</v>
      </c>
      <c r="J1166" s="10"/>
      <c r="K1166" s="11">
        <v>30</v>
      </c>
      <c r="L1166" s="10"/>
      <c r="M1166" s="10" t="s">
        <v>47</v>
      </c>
      <c r="N1166" s="10"/>
      <c r="O1166" s="2">
        <v>5</v>
      </c>
      <c r="P1166" s="17">
        <f>119*(1-S3/100)</f>
        <v>119</v>
      </c>
      <c r="Q1166" s="18"/>
      <c r="R1166" s="10">
        <f>P1166*Q1166</f>
        <v>0</v>
      </c>
      <c r="S1166" s="19">
        <f>0.051*Q1166</f>
        <v>0</v>
      </c>
      <c r="T1166" s="20">
        <f>0.00026*Q1166</f>
        <v>0</v>
      </c>
      <c r="U1166" s="21"/>
      <c r="V1166" s="22" t="s">
        <v>4962</v>
      </c>
      <c r="W1166" s="22" t="s">
        <v>49</v>
      </c>
      <c r="X1166" s="3"/>
      <c r="Y1166" s="3" t="s">
        <v>4958</v>
      </c>
      <c r="Z1166" s="3" t="s">
        <v>52</v>
      </c>
      <c r="AA1166" s="3"/>
      <c r="AB1166" s="3"/>
      <c r="AC1166" s="3" t="str">
        <f>HYPERLINK("https://knigipp.ru/api/getInfo/image/60cc9f32-f5d6-11ef-a274-00155d82e908")</f>
        <v>https://knigipp.ru/api/getInfo/image/60cc9f32-f5d6-11ef-a274-00155d82e908</v>
      </c>
      <c r="AD1166" s="32">
        <v>16</v>
      </c>
      <c r="AE1166" s="3"/>
      <c r="AF1166" s="3" t="s">
        <v>136</v>
      </c>
      <c r="AG1166" s="3"/>
      <c r="AH1166" s="3" t="s">
        <v>56</v>
      </c>
      <c r="AI1166" s="3"/>
      <c r="AJ1166" s="3"/>
      <c r="AK1166" s="3" t="str">
        <f>HYPERLINK("https://knigipp.ru/api/getInfo/item/60cc9f32-f5d6-11ef-a274-00155d82e908")</f>
        <v>https://knigipp.ru/api/getInfo/item/60cc9f32-f5d6-11ef-a274-00155d82e908</v>
      </c>
      <c r="AL1166" s="3" t="s">
        <v>4046</v>
      </c>
    </row>
    <row r="1167" spans="1:38" ht="21" customHeight="1" outlineLevel="4" x14ac:dyDescent="0.2">
      <c r="A1167" s="2">
        <v>875</v>
      </c>
      <c r="B1167" s="3" t="s">
        <v>4963</v>
      </c>
      <c r="C1167" s="49" t="s">
        <v>4964</v>
      </c>
      <c r="D1167" s="49"/>
      <c r="E1167" s="49"/>
      <c r="F1167" s="49"/>
      <c r="G1167" s="4" t="s">
        <v>4965</v>
      </c>
      <c r="H1167" s="8"/>
      <c r="I1167" s="9" t="s">
        <v>4956</v>
      </c>
      <c r="J1167" s="10"/>
      <c r="K1167" s="11">
        <v>30</v>
      </c>
      <c r="L1167" s="10"/>
      <c r="M1167" s="10" t="s">
        <v>47</v>
      </c>
      <c r="N1167" s="10"/>
      <c r="O1167" s="2">
        <v>5</v>
      </c>
      <c r="P1167" s="17">
        <f>119*(1-S3/100)</f>
        <v>119</v>
      </c>
      <c r="Q1167" s="18"/>
      <c r="R1167" s="10">
        <f>P1167*Q1167</f>
        <v>0</v>
      </c>
      <c r="S1167" s="19">
        <f>0.051*Q1167</f>
        <v>0</v>
      </c>
      <c r="T1167" s="20">
        <f>0.00014*Q1167</f>
        <v>0</v>
      </c>
      <c r="U1167" s="21"/>
      <c r="V1167" s="22" t="s">
        <v>4966</v>
      </c>
      <c r="W1167" s="22" t="s">
        <v>49</v>
      </c>
      <c r="X1167" s="3"/>
      <c r="Y1167" s="3" t="s">
        <v>4958</v>
      </c>
      <c r="Z1167" s="3" t="s">
        <v>52</v>
      </c>
      <c r="AA1167" s="3"/>
      <c r="AB1167" s="3"/>
      <c r="AC1167" s="3" t="str">
        <f>HYPERLINK("https://knigipp.ru/api/getInfo/image/872466e8-f5d6-11ef-a274-00155d82e908")</f>
        <v>https://knigipp.ru/api/getInfo/image/872466e8-f5d6-11ef-a274-00155d82e908</v>
      </c>
      <c r="AD1167" s="32">
        <v>16</v>
      </c>
      <c r="AE1167" s="3"/>
      <c r="AF1167" s="3" t="s">
        <v>136</v>
      </c>
      <c r="AG1167" s="3"/>
      <c r="AH1167" s="3" t="s">
        <v>56</v>
      </c>
      <c r="AI1167" s="3"/>
      <c r="AJ1167" s="3"/>
      <c r="AK1167" s="3" t="str">
        <f>HYPERLINK("https://knigipp.ru/api/getInfo/item/872466e8-f5d6-11ef-a274-00155d82e908")</f>
        <v>https://knigipp.ru/api/getInfo/item/872466e8-f5d6-11ef-a274-00155d82e908</v>
      </c>
      <c r="AL1167" s="3" t="s">
        <v>4046</v>
      </c>
    </row>
    <row r="1168" spans="1:38" ht="21" customHeight="1" outlineLevel="4" x14ac:dyDescent="0.2">
      <c r="A1168" s="2">
        <v>876</v>
      </c>
      <c r="B1168" s="3" t="s">
        <v>4967</v>
      </c>
      <c r="C1168" s="49" t="s">
        <v>4968</v>
      </c>
      <c r="D1168" s="49"/>
      <c r="E1168" s="49"/>
      <c r="F1168" s="49"/>
      <c r="G1168" s="4" t="s">
        <v>4969</v>
      </c>
      <c r="H1168" s="8"/>
      <c r="I1168" s="9" t="s">
        <v>4956</v>
      </c>
      <c r="J1168" s="10"/>
      <c r="K1168" s="11">
        <v>30</v>
      </c>
      <c r="L1168" s="10"/>
      <c r="M1168" s="10" t="s">
        <v>47</v>
      </c>
      <c r="N1168" s="10"/>
      <c r="O1168" s="2">
        <v>5</v>
      </c>
      <c r="P1168" s="17">
        <f>119*(1-S3/100)</f>
        <v>119</v>
      </c>
      <c r="Q1168" s="18"/>
      <c r="R1168" s="10">
        <f>P1168*Q1168</f>
        <v>0</v>
      </c>
      <c r="S1168" s="19">
        <f>0.048*Q1168</f>
        <v>0</v>
      </c>
      <c r="T1168" s="20">
        <f>0.00094*Q1168</f>
        <v>0</v>
      </c>
      <c r="U1168" s="21"/>
      <c r="V1168" s="22" t="s">
        <v>4970</v>
      </c>
      <c r="W1168" s="22" t="s">
        <v>49</v>
      </c>
      <c r="X1168" s="3"/>
      <c r="Y1168" s="3" t="s">
        <v>4958</v>
      </c>
      <c r="Z1168" s="3" t="s">
        <v>52</v>
      </c>
      <c r="AA1168" s="3"/>
      <c r="AB1168" s="3"/>
      <c r="AC1168" s="3" t="str">
        <f>HYPERLINK("https://knigipp.ru/api/getInfo/image/0c11af65-f5d6-11ef-a274-00155d82e908")</f>
        <v>https://knigipp.ru/api/getInfo/image/0c11af65-f5d6-11ef-a274-00155d82e908</v>
      </c>
      <c r="AD1168" s="32">
        <v>16</v>
      </c>
      <c r="AE1168" s="3"/>
      <c r="AF1168" s="3" t="s">
        <v>136</v>
      </c>
      <c r="AG1168" s="3"/>
      <c r="AH1168" s="3" t="s">
        <v>56</v>
      </c>
      <c r="AI1168" s="3"/>
      <c r="AJ1168" s="3"/>
      <c r="AK1168" s="3" t="str">
        <f>HYPERLINK("https://knigipp.ru/api/getInfo/item/0c11af65-f5d6-11ef-a274-00155d82e908")</f>
        <v>https://knigipp.ru/api/getInfo/item/0c11af65-f5d6-11ef-a274-00155d82e908</v>
      </c>
      <c r="AL1168" s="3" t="s">
        <v>4046</v>
      </c>
    </row>
    <row r="1169" spans="1:38" ht="23.1" customHeight="1" outlineLevel="3" x14ac:dyDescent="0.2">
      <c r="A1169" s="48" t="s">
        <v>4971</v>
      </c>
      <c r="B1169" s="48"/>
      <c r="C1169" s="48"/>
      <c r="D1169" s="48"/>
      <c r="E1169" s="48"/>
      <c r="F1169" s="48"/>
    </row>
    <row r="1170" spans="1:38" ht="21" customHeight="1" outlineLevel="4" x14ac:dyDescent="0.2">
      <c r="A1170" s="2">
        <v>877</v>
      </c>
      <c r="B1170" s="3" t="s">
        <v>4972</v>
      </c>
      <c r="C1170" s="49" t="s">
        <v>4973</v>
      </c>
      <c r="D1170" s="49"/>
      <c r="E1170" s="49"/>
      <c r="F1170" s="49"/>
      <c r="G1170" s="4" t="s">
        <v>4974</v>
      </c>
      <c r="H1170" s="8"/>
      <c r="I1170" s="9" t="s">
        <v>4975</v>
      </c>
      <c r="J1170" s="10"/>
      <c r="K1170" s="11">
        <v>30</v>
      </c>
      <c r="L1170" s="10"/>
      <c r="M1170" s="10" t="s">
        <v>78</v>
      </c>
      <c r="N1170" s="10"/>
      <c r="O1170" s="2">
        <v>5</v>
      </c>
      <c r="P1170" s="17">
        <f>137*(1-S3/100)</f>
        <v>137</v>
      </c>
      <c r="Q1170" s="18"/>
      <c r="R1170" s="10">
        <f>P1170*Q1170</f>
        <v>0</v>
      </c>
      <c r="S1170" s="19">
        <f>0.041*Q1170</f>
        <v>0</v>
      </c>
      <c r="T1170" s="20">
        <f>0.00006*Q1170</f>
        <v>0</v>
      </c>
      <c r="U1170" s="21"/>
      <c r="V1170" s="22" t="s">
        <v>4976</v>
      </c>
      <c r="W1170" s="22" t="s">
        <v>191</v>
      </c>
      <c r="X1170" s="3"/>
      <c r="Y1170" s="3"/>
      <c r="Z1170" s="3" t="s">
        <v>52</v>
      </c>
      <c r="AA1170" s="3"/>
      <c r="AB1170" s="3"/>
      <c r="AC1170" s="3" t="str">
        <f>HYPERLINK("https://knigipp.ru/api/getInfo/image/1d3cc13e-7fcc-11ef-a265-00155d82e908")</f>
        <v>https://knigipp.ru/api/getInfo/image/1d3cc13e-7fcc-11ef-a265-00155d82e908</v>
      </c>
      <c r="AD1170" s="32">
        <v>14</v>
      </c>
      <c r="AE1170" s="3"/>
      <c r="AF1170" s="3" t="s">
        <v>136</v>
      </c>
      <c r="AG1170" s="3"/>
      <c r="AH1170" s="3" t="s">
        <v>56</v>
      </c>
      <c r="AI1170" s="3"/>
      <c r="AJ1170" s="3"/>
      <c r="AK1170" s="3" t="str">
        <f>HYPERLINK("https://knigipp.ru/api/getInfo/item/1d3cc13e-7fcc-11ef-a265-00155d82e908")</f>
        <v>https://knigipp.ru/api/getInfo/item/1d3cc13e-7fcc-11ef-a265-00155d82e908</v>
      </c>
      <c r="AL1170" s="3" t="s">
        <v>4977</v>
      </c>
    </row>
    <row r="1171" spans="1:38" ht="21" customHeight="1" outlineLevel="4" x14ac:dyDescent="0.2">
      <c r="A1171" s="2">
        <v>878</v>
      </c>
      <c r="B1171" s="3" t="s">
        <v>4978</v>
      </c>
      <c r="C1171" s="49" t="s">
        <v>4979</v>
      </c>
      <c r="D1171" s="49"/>
      <c r="E1171" s="49"/>
      <c r="F1171" s="49"/>
      <c r="G1171" s="4" t="s">
        <v>4980</v>
      </c>
      <c r="H1171" s="8"/>
      <c r="I1171" s="9" t="s">
        <v>4975</v>
      </c>
      <c r="J1171" s="10"/>
      <c r="K1171" s="11">
        <v>30</v>
      </c>
      <c r="L1171" s="10"/>
      <c r="M1171" s="10" t="s">
        <v>78</v>
      </c>
      <c r="N1171" s="10"/>
      <c r="O1171" s="2">
        <v>5</v>
      </c>
      <c r="P1171" s="17">
        <f>137*(1-S3/100)</f>
        <v>137</v>
      </c>
      <c r="Q1171" s="18"/>
      <c r="R1171" s="10">
        <f>P1171*Q1171</f>
        <v>0</v>
      </c>
      <c r="S1171" s="19">
        <f>0.041*Q1171</f>
        <v>0</v>
      </c>
      <c r="T1171" s="20">
        <f>0.00014*Q1171</f>
        <v>0</v>
      </c>
      <c r="U1171" s="21"/>
      <c r="V1171" s="22" t="s">
        <v>4981</v>
      </c>
      <c r="W1171" s="22" t="s">
        <v>191</v>
      </c>
      <c r="X1171" s="3"/>
      <c r="Y1171" s="3"/>
      <c r="Z1171" s="3" t="s">
        <v>52</v>
      </c>
      <c r="AA1171" s="3"/>
      <c r="AB1171" s="3"/>
      <c r="AC1171" s="3" t="str">
        <f>HYPERLINK("https://knigipp.ru/api/getInfo/image/8aee3b43-7fcc-11ef-a265-00155d82e908")</f>
        <v>https://knigipp.ru/api/getInfo/image/8aee3b43-7fcc-11ef-a265-00155d82e908</v>
      </c>
      <c r="AD1171" s="32">
        <v>14</v>
      </c>
      <c r="AE1171" s="3"/>
      <c r="AF1171" s="3" t="s">
        <v>136</v>
      </c>
      <c r="AG1171" s="3"/>
      <c r="AH1171" s="3" t="s">
        <v>56</v>
      </c>
      <c r="AI1171" s="3"/>
      <c r="AJ1171" s="3"/>
      <c r="AK1171" s="3" t="str">
        <f>HYPERLINK("https://knigipp.ru/api/getInfo/item/8aee3b43-7fcc-11ef-a265-00155d82e908")</f>
        <v>https://knigipp.ru/api/getInfo/item/8aee3b43-7fcc-11ef-a265-00155d82e908</v>
      </c>
      <c r="AL1171" s="3" t="s">
        <v>4977</v>
      </c>
    </row>
    <row r="1172" spans="1:38" ht="21" customHeight="1" outlineLevel="4" x14ac:dyDescent="0.2">
      <c r="A1172" s="2">
        <v>879</v>
      </c>
      <c r="B1172" s="3" t="s">
        <v>4982</v>
      </c>
      <c r="C1172" s="49" t="s">
        <v>4983</v>
      </c>
      <c r="D1172" s="49"/>
      <c r="E1172" s="49"/>
      <c r="F1172" s="49"/>
      <c r="G1172" s="4" t="s">
        <v>4984</v>
      </c>
      <c r="H1172" s="8"/>
      <c r="I1172" s="9" t="s">
        <v>4975</v>
      </c>
      <c r="J1172" s="10"/>
      <c r="K1172" s="11">
        <v>30</v>
      </c>
      <c r="L1172" s="10"/>
      <c r="M1172" s="10" t="s">
        <v>78</v>
      </c>
      <c r="N1172" s="10"/>
      <c r="O1172" s="2">
        <v>5</v>
      </c>
      <c r="P1172" s="17">
        <f>137*(1-S3/100)</f>
        <v>137</v>
      </c>
      <c r="Q1172" s="18"/>
      <c r="R1172" s="10">
        <f>P1172*Q1172</f>
        <v>0</v>
      </c>
      <c r="S1172" s="19">
        <f>0.043*Q1172</f>
        <v>0</v>
      </c>
      <c r="T1172" s="20">
        <f>0.00009*Q1172</f>
        <v>0</v>
      </c>
      <c r="U1172" s="21"/>
      <c r="V1172" s="22" t="s">
        <v>4985</v>
      </c>
      <c r="W1172" s="22" t="s">
        <v>191</v>
      </c>
      <c r="X1172" s="3"/>
      <c r="Y1172" s="3"/>
      <c r="Z1172" s="3" t="s">
        <v>52</v>
      </c>
      <c r="AA1172" s="3"/>
      <c r="AB1172" s="3"/>
      <c r="AC1172" s="3" t="str">
        <f>HYPERLINK("https://knigipp.ru/api/getInfo/image/62b9bda0-7fcc-11ef-a265-00155d82e908")</f>
        <v>https://knigipp.ru/api/getInfo/image/62b9bda0-7fcc-11ef-a265-00155d82e908</v>
      </c>
      <c r="AD1172" s="32">
        <v>14</v>
      </c>
      <c r="AE1172" s="3"/>
      <c r="AF1172" s="3" t="s">
        <v>136</v>
      </c>
      <c r="AG1172" s="3"/>
      <c r="AH1172" s="3" t="s">
        <v>56</v>
      </c>
      <c r="AI1172" s="3"/>
      <c r="AJ1172" s="3"/>
      <c r="AK1172" s="3" t="str">
        <f>HYPERLINK("https://knigipp.ru/api/getInfo/item/62b9bda0-7fcc-11ef-a265-00155d82e908")</f>
        <v>https://knigipp.ru/api/getInfo/item/62b9bda0-7fcc-11ef-a265-00155d82e908</v>
      </c>
      <c r="AL1172" s="3" t="s">
        <v>4977</v>
      </c>
    </row>
    <row r="1173" spans="1:38" ht="21" customHeight="1" outlineLevel="4" x14ac:dyDescent="0.2">
      <c r="A1173" s="2">
        <v>880</v>
      </c>
      <c r="B1173" s="3" t="s">
        <v>4986</v>
      </c>
      <c r="C1173" s="49" t="s">
        <v>4987</v>
      </c>
      <c r="D1173" s="49"/>
      <c r="E1173" s="49"/>
      <c r="F1173" s="49"/>
      <c r="G1173" s="4" t="s">
        <v>4988</v>
      </c>
      <c r="H1173" s="8"/>
      <c r="I1173" s="9" t="s">
        <v>4975</v>
      </c>
      <c r="J1173" s="10"/>
      <c r="K1173" s="11">
        <v>30</v>
      </c>
      <c r="L1173" s="10"/>
      <c r="M1173" s="10" t="s">
        <v>78</v>
      </c>
      <c r="N1173" s="10"/>
      <c r="O1173" s="2">
        <v>5</v>
      </c>
      <c r="P1173" s="17">
        <f>137*(1-S3/100)</f>
        <v>137</v>
      </c>
      <c r="Q1173" s="18"/>
      <c r="R1173" s="10">
        <f>P1173*Q1173</f>
        <v>0</v>
      </c>
      <c r="S1173" s="19">
        <f>0.041*Q1173</f>
        <v>0</v>
      </c>
      <c r="T1173" s="20">
        <f>0.00009*Q1173</f>
        <v>0</v>
      </c>
      <c r="U1173" s="21"/>
      <c r="V1173" s="22" t="s">
        <v>4989</v>
      </c>
      <c r="W1173" s="22" t="s">
        <v>191</v>
      </c>
      <c r="X1173" s="3"/>
      <c r="Y1173" s="3"/>
      <c r="Z1173" s="3" t="s">
        <v>52</v>
      </c>
      <c r="AA1173" s="3"/>
      <c r="AB1173" s="3"/>
      <c r="AC1173" s="3" t="str">
        <f>HYPERLINK("https://knigipp.ru/api/getInfo/image/94d867dc-7fc6-11ef-a265-00155d82e908")</f>
        <v>https://knigipp.ru/api/getInfo/image/94d867dc-7fc6-11ef-a265-00155d82e908</v>
      </c>
      <c r="AD1173" s="32">
        <v>14</v>
      </c>
      <c r="AE1173" s="3"/>
      <c r="AF1173" s="3" t="s">
        <v>136</v>
      </c>
      <c r="AG1173" s="3"/>
      <c r="AH1173" s="3" t="s">
        <v>56</v>
      </c>
      <c r="AI1173" s="3"/>
      <c r="AJ1173" s="3"/>
      <c r="AK1173" s="3" t="str">
        <f>HYPERLINK("https://knigipp.ru/api/getInfo/item/94d867dc-7fc6-11ef-a265-00155d82e908")</f>
        <v>https://knigipp.ru/api/getInfo/item/94d867dc-7fc6-11ef-a265-00155d82e908</v>
      </c>
      <c r="AL1173" s="3" t="s">
        <v>4977</v>
      </c>
    </row>
    <row r="1174" spans="1:38" ht="23.1" customHeight="1" outlineLevel="3" x14ac:dyDescent="0.2">
      <c r="A1174" s="48" t="s">
        <v>4990</v>
      </c>
      <c r="B1174" s="48"/>
      <c r="C1174" s="48"/>
      <c r="D1174" s="48"/>
      <c r="E1174" s="48"/>
      <c r="F1174" s="48"/>
    </row>
    <row r="1175" spans="1:38" ht="21" customHeight="1" outlineLevel="4" x14ac:dyDescent="0.2">
      <c r="A1175" s="2">
        <v>881</v>
      </c>
      <c r="B1175" s="3" t="s">
        <v>4991</v>
      </c>
      <c r="C1175" s="49" t="s">
        <v>4992</v>
      </c>
      <c r="D1175" s="49"/>
      <c r="E1175" s="49"/>
      <c r="F1175" s="49"/>
      <c r="G1175" s="4" t="s">
        <v>4993</v>
      </c>
      <c r="H1175" s="8"/>
      <c r="I1175" s="9" t="s">
        <v>4994</v>
      </c>
      <c r="J1175" s="10"/>
      <c r="K1175" s="11">
        <v>50</v>
      </c>
      <c r="L1175" s="10"/>
      <c r="M1175" s="10" t="s">
        <v>47</v>
      </c>
      <c r="N1175" s="10"/>
      <c r="O1175" s="2">
        <v>3</v>
      </c>
      <c r="P1175" s="17">
        <f>197*(1-S3/100)</f>
        <v>197</v>
      </c>
      <c r="Q1175" s="18"/>
      <c r="R1175" s="10">
        <f>P1175*Q1175</f>
        <v>0</v>
      </c>
      <c r="S1175" s="19">
        <f>0.069*Q1175</f>
        <v>0</v>
      </c>
      <c r="T1175" s="20">
        <f>0.00017*Q1175</f>
        <v>0</v>
      </c>
      <c r="U1175" s="21"/>
      <c r="V1175" s="22" t="s">
        <v>4995</v>
      </c>
      <c r="W1175" s="22" t="s">
        <v>49</v>
      </c>
      <c r="X1175" s="3"/>
      <c r="Y1175" s="3" t="s">
        <v>4996</v>
      </c>
      <c r="Z1175" s="3" t="s">
        <v>52</v>
      </c>
      <c r="AA1175" s="3"/>
      <c r="AB1175" s="3"/>
      <c r="AC1175" s="3" t="str">
        <f>HYPERLINK("https://knigipp.ru/api/getInfo/image/ce6ea4c3-c4ec-11ef-a268-00155d82e908")</f>
        <v>https://knigipp.ru/api/getInfo/image/ce6ea4c3-c4ec-11ef-a268-00155d82e908</v>
      </c>
      <c r="AD1175" s="32">
        <v>12</v>
      </c>
      <c r="AE1175" s="3" t="s">
        <v>54</v>
      </c>
      <c r="AF1175" s="3" t="s">
        <v>136</v>
      </c>
      <c r="AG1175" s="3"/>
      <c r="AH1175" s="3" t="s">
        <v>56</v>
      </c>
      <c r="AI1175" s="3"/>
      <c r="AJ1175" s="3"/>
      <c r="AK1175" s="3" t="str">
        <f>HYPERLINK("https://knigipp.ru/api/getInfo/item/ce6ea4c3-c4ec-11ef-a268-00155d82e908")</f>
        <v>https://knigipp.ru/api/getInfo/item/ce6ea4c3-c4ec-11ef-a268-00155d82e908</v>
      </c>
      <c r="AL1175" s="3" t="s">
        <v>1155</v>
      </c>
    </row>
    <row r="1176" spans="1:38" ht="21" customHeight="1" outlineLevel="4" x14ac:dyDescent="0.2">
      <c r="A1176" s="2">
        <v>882</v>
      </c>
      <c r="B1176" s="3" t="s">
        <v>4997</v>
      </c>
      <c r="C1176" s="49" t="s">
        <v>4998</v>
      </c>
      <c r="D1176" s="49"/>
      <c r="E1176" s="49"/>
      <c r="F1176" s="49"/>
      <c r="G1176" s="4" t="s">
        <v>4999</v>
      </c>
      <c r="H1176" s="8"/>
      <c r="I1176" s="9" t="s">
        <v>4994</v>
      </c>
      <c r="J1176" s="10"/>
      <c r="K1176" s="11">
        <v>50</v>
      </c>
      <c r="L1176" s="10"/>
      <c r="M1176" s="10" t="s">
        <v>47</v>
      </c>
      <c r="N1176" s="10"/>
      <c r="O1176" s="2">
        <v>3</v>
      </c>
      <c r="P1176" s="17">
        <f>197*(1-S3/100)</f>
        <v>197</v>
      </c>
      <c r="Q1176" s="18"/>
      <c r="R1176" s="10">
        <f>P1176*Q1176</f>
        <v>0</v>
      </c>
      <c r="S1176" s="19">
        <f>0.069*Q1176</f>
        <v>0</v>
      </c>
      <c r="T1176" s="20">
        <f>0.00023*Q1176</f>
        <v>0</v>
      </c>
      <c r="U1176" s="21"/>
      <c r="V1176" s="22" t="s">
        <v>5000</v>
      </c>
      <c r="W1176" s="22" t="s">
        <v>49</v>
      </c>
      <c r="X1176" s="3"/>
      <c r="Y1176" s="3" t="s">
        <v>5001</v>
      </c>
      <c r="Z1176" s="3" t="s">
        <v>52</v>
      </c>
      <c r="AA1176" s="3"/>
      <c r="AB1176" s="3"/>
      <c r="AC1176" s="3" t="str">
        <f>HYPERLINK("https://knigipp.ru/api/getInfo/image/2cf8e9fa-c4ed-11ef-a268-00155d82e908")</f>
        <v>https://knigipp.ru/api/getInfo/image/2cf8e9fa-c4ed-11ef-a268-00155d82e908</v>
      </c>
      <c r="AD1176" s="32">
        <v>12</v>
      </c>
      <c r="AE1176" s="3" t="s">
        <v>54</v>
      </c>
      <c r="AF1176" s="3" t="s">
        <v>136</v>
      </c>
      <c r="AG1176" s="3"/>
      <c r="AH1176" s="3" t="s">
        <v>56</v>
      </c>
      <c r="AI1176" s="3"/>
      <c r="AJ1176" s="3"/>
      <c r="AK1176" s="3" t="str">
        <f>HYPERLINK("https://knigipp.ru/api/getInfo/item/2cf8e9fa-c4ed-11ef-a268-00155d82e908")</f>
        <v>https://knigipp.ru/api/getInfo/item/2cf8e9fa-c4ed-11ef-a268-00155d82e908</v>
      </c>
      <c r="AL1176" s="3" t="s">
        <v>1155</v>
      </c>
    </row>
    <row r="1177" spans="1:38" ht="21" customHeight="1" outlineLevel="4" x14ac:dyDescent="0.2">
      <c r="A1177" s="2">
        <v>883</v>
      </c>
      <c r="B1177" s="3" t="s">
        <v>5002</v>
      </c>
      <c r="C1177" s="49" t="s">
        <v>5003</v>
      </c>
      <c r="D1177" s="49"/>
      <c r="E1177" s="49"/>
      <c r="F1177" s="49"/>
      <c r="G1177" s="4" t="s">
        <v>5004</v>
      </c>
      <c r="H1177" s="8"/>
      <c r="I1177" s="9" t="s">
        <v>4994</v>
      </c>
      <c r="J1177" s="10"/>
      <c r="K1177" s="11">
        <v>50</v>
      </c>
      <c r="L1177" s="10"/>
      <c r="M1177" s="10" t="s">
        <v>47</v>
      </c>
      <c r="N1177" s="10"/>
      <c r="O1177" s="2">
        <v>3</v>
      </c>
      <c r="P1177" s="17">
        <f>197*(1-S3/100)</f>
        <v>197</v>
      </c>
      <c r="Q1177" s="18"/>
      <c r="R1177" s="10">
        <f>P1177*Q1177</f>
        <v>0</v>
      </c>
      <c r="S1177" s="19">
        <f>0.066*Q1177</f>
        <v>0</v>
      </c>
      <c r="T1177" s="20">
        <f>0.00028*Q1177</f>
        <v>0</v>
      </c>
      <c r="U1177" s="21"/>
      <c r="V1177" s="22" t="s">
        <v>5005</v>
      </c>
      <c r="W1177" s="22" t="s">
        <v>49</v>
      </c>
      <c r="X1177" s="3"/>
      <c r="Y1177" s="3" t="s">
        <v>5006</v>
      </c>
      <c r="Z1177" s="3" t="s">
        <v>52</v>
      </c>
      <c r="AA1177" s="3"/>
      <c r="AB1177" s="3"/>
      <c r="AC1177" s="3" t="str">
        <f>HYPERLINK("https://knigipp.ru/api/getInfo/image/101d37fc-c4ed-11ef-a268-00155d82e908")</f>
        <v>https://knigipp.ru/api/getInfo/image/101d37fc-c4ed-11ef-a268-00155d82e908</v>
      </c>
      <c r="AD1177" s="32">
        <v>12</v>
      </c>
      <c r="AE1177" s="3" t="s">
        <v>54</v>
      </c>
      <c r="AF1177" s="3" t="s">
        <v>136</v>
      </c>
      <c r="AG1177" s="3"/>
      <c r="AH1177" s="3" t="s">
        <v>56</v>
      </c>
      <c r="AI1177" s="3"/>
      <c r="AJ1177" s="3"/>
      <c r="AK1177" s="3" t="str">
        <f>HYPERLINK("https://knigipp.ru/api/getInfo/item/101d37fc-c4ed-11ef-a268-00155d82e908")</f>
        <v>https://knigipp.ru/api/getInfo/item/101d37fc-c4ed-11ef-a268-00155d82e908</v>
      </c>
      <c r="AL1177" s="3" t="s">
        <v>1155</v>
      </c>
    </row>
    <row r="1178" spans="1:38" ht="21" customHeight="1" outlineLevel="4" x14ac:dyDescent="0.2">
      <c r="A1178" s="2">
        <v>884</v>
      </c>
      <c r="B1178" s="3" t="s">
        <v>5007</v>
      </c>
      <c r="C1178" s="49" t="s">
        <v>5008</v>
      </c>
      <c r="D1178" s="49"/>
      <c r="E1178" s="49"/>
      <c r="F1178" s="49"/>
      <c r="G1178" s="4" t="s">
        <v>5009</v>
      </c>
      <c r="H1178" s="8"/>
      <c r="I1178" s="9" t="s">
        <v>4994</v>
      </c>
      <c r="J1178" s="10"/>
      <c r="K1178" s="11">
        <v>50</v>
      </c>
      <c r="L1178" s="10"/>
      <c r="M1178" s="10" t="s">
        <v>47</v>
      </c>
      <c r="N1178" s="10"/>
      <c r="O1178" s="2">
        <v>3</v>
      </c>
      <c r="P1178" s="17">
        <f>197*(1-S3/100)</f>
        <v>197</v>
      </c>
      <c r="Q1178" s="18"/>
      <c r="R1178" s="10">
        <f>P1178*Q1178</f>
        <v>0</v>
      </c>
      <c r="S1178" s="19">
        <f>0.065*Q1178</f>
        <v>0</v>
      </c>
      <c r="T1178" s="20">
        <f>0.00067*Q1178</f>
        <v>0</v>
      </c>
      <c r="U1178" s="21"/>
      <c r="V1178" s="22" t="s">
        <v>5010</v>
      </c>
      <c r="W1178" s="22" t="s">
        <v>49</v>
      </c>
      <c r="X1178" s="3"/>
      <c r="Y1178" s="3" t="s">
        <v>5011</v>
      </c>
      <c r="Z1178" s="3" t="s">
        <v>52</v>
      </c>
      <c r="AA1178" s="3"/>
      <c r="AB1178" s="3"/>
      <c r="AC1178" s="3" t="str">
        <f>HYPERLINK("https://knigipp.ru/api/getInfo/image/f2532ee8-c4ec-11ef-a268-00155d82e908")</f>
        <v>https://knigipp.ru/api/getInfo/image/f2532ee8-c4ec-11ef-a268-00155d82e908</v>
      </c>
      <c r="AD1178" s="32">
        <v>12</v>
      </c>
      <c r="AE1178" s="3" t="s">
        <v>54</v>
      </c>
      <c r="AF1178" s="3" t="s">
        <v>136</v>
      </c>
      <c r="AG1178" s="3"/>
      <c r="AH1178" s="3" t="s">
        <v>56</v>
      </c>
      <c r="AI1178" s="3"/>
      <c r="AJ1178" s="3"/>
      <c r="AK1178" s="3" t="str">
        <f>HYPERLINK("https://knigipp.ru/api/getInfo/item/f2532ee8-c4ec-11ef-a268-00155d82e908")</f>
        <v>https://knigipp.ru/api/getInfo/item/f2532ee8-c4ec-11ef-a268-00155d82e908</v>
      </c>
      <c r="AL1178" s="3" t="s">
        <v>1155</v>
      </c>
    </row>
    <row r="1179" spans="1:38" ht="23.1" customHeight="1" outlineLevel="3" x14ac:dyDescent="0.2">
      <c r="A1179" s="48" t="s">
        <v>5012</v>
      </c>
      <c r="B1179" s="48"/>
      <c r="C1179" s="48"/>
      <c r="D1179" s="48"/>
      <c r="E1179" s="48"/>
      <c r="F1179" s="48"/>
    </row>
    <row r="1180" spans="1:38" ht="21" customHeight="1" outlineLevel="4" x14ac:dyDescent="0.2">
      <c r="A1180" s="2">
        <v>885</v>
      </c>
      <c r="B1180" s="3" t="s">
        <v>5013</v>
      </c>
      <c r="C1180" s="49" t="s">
        <v>5014</v>
      </c>
      <c r="D1180" s="49"/>
      <c r="E1180" s="49"/>
      <c r="F1180" s="49"/>
      <c r="G1180" s="4" t="s">
        <v>5015</v>
      </c>
      <c r="H1180" s="8"/>
      <c r="I1180" s="9" t="s">
        <v>5016</v>
      </c>
      <c r="J1180" s="10"/>
      <c r="K1180" s="11">
        <v>20</v>
      </c>
      <c r="L1180" s="10"/>
      <c r="M1180" s="10" t="s">
        <v>78</v>
      </c>
      <c r="N1180" s="10"/>
      <c r="O1180" s="2">
        <v>2</v>
      </c>
      <c r="P1180" s="17">
        <f>397*(1-S3/100)</f>
        <v>397</v>
      </c>
      <c r="Q1180" s="18"/>
      <c r="R1180" s="10">
        <f>P1180*Q1180</f>
        <v>0</v>
      </c>
      <c r="S1180" s="28">
        <f>0.24*Q1180</f>
        <v>0</v>
      </c>
      <c r="T1180" s="20">
        <f>0.00061*Q1180</f>
        <v>0</v>
      </c>
      <c r="U1180" s="21"/>
      <c r="V1180" s="22" t="s">
        <v>5017</v>
      </c>
      <c r="W1180" s="22" t="s">
        <v>49</v>
      </c>
      <c r="X1180" s="3"/>
      <c r="Y1180" s="3" t="s">
        <v>5018</v>
      </c>
      <c r="Z1180" s="3" t="s">
        <v>52</v>
      </c>
      <c r="AA1180" s="3"/>
      <c r="AB1180" s="3"/>
      <c r="AC1180" s="3" t="str">
        <f>HYPERLINK("https://knigipp.ru/api/getInfo/image/c3c21edc-7fd0-11ef-a265-00155d82e908")</f>
        <v>https://knigipp.ru/api/getInfo/image/c3c21edc-7fd0-11ef-a265-00155d82e908</v>
      </c>
      <c r="AD1180" s="32">
        <v>16</v>
      </c>
      <c r="AE1180" s="3" t="s">
        <v>54</v>
      </c>
      <c r="AF1180" s="3" t="s">
        <v>136</v>
      </c>
      <c r="AG1180" s="3"/>
      <c r="AH1180" s="3" t="s">
        <v>56</v>
      </c>
      <c r="AI1180" s="3"/>
      <c r="AJ1180" s="3"/>
      <c r="AK1180" s="3" t="str">
        <f>HYPERLINK("https://knigipp.ru/api/getInfo/item/c3c21edc-7fd0-11ef-a265-00155d82e908")</f>
        <v>https://knigipp.ru/api/getInfo/item/c3c21edc-7fd0-11ef-a265-00155d82e908</v>
      </c>
      <c r="AL1180" s="3" t="s">
        <v>5019</v>
      </c>
    </row>
    <row r="1181" spans="1:38" ht="21" customHeight="1" outlineLevel="4" x14ac:dyDescent="0.2">
      <c r="A1181" s="2">
        <v>886</v>
      </c>
      <c r="B1181" s="3" t="s">
        <v>5020</v>
      </c>
      <c r="C1181" s="49" t="s">
        <v>5021</v>
      </c>
      <c r="D1181" s="49"/>
      <c r="E1181" s="49"/>
      <c r="F1181" s="49"/>
      <c r="G1181" s="4" t="s">
        <v>5022</v>
      </c>
      <c r="H1181" s="8"/>
      <c r="I1181" s="9" t="s">
        <v>5016</v>
      </c>
      <c r="J1181" s="10"/>
      <c r="K1181" s="11">
        <v>20</v>
      </c>
      <c r="L1181" s="10"/>
      <c r="M1181" s="10" t="s">
        <v>304</v>
      </c>
      <c r="N1181" s="10"/>
      <c r="O1181" s="2">
        <v>2</v>
      </c>
      <c r="P1181" s="17">
        <f>397*(1-S3/100)</f>
        <v>397</v>
      </c>
      <c r="Q1181" s="18"/>
      <c r="R1181" s="10">
        <f>P1181*Q1181</f>
        <v>0</v>
      </c>
      <c r="S1181" s="19">
        <f>0.246*Q1181</f>
        <v>0</v>
      </c>
      <c r="T1181" s="20">
        <f>0.00107*Q1181</f>
        <v>0</v>
      </c>
      <c r="U1181" s="21"/>
      <c r="V1181" s="22" t="s">
        <v>5023</v>
      </c>
      <c r="W1181" s="22" t="s">
        <v>49</v>
      </c>
      <c r="X1181" s="3"/>
      <c r="Y1181" s="3" t="s">
        <v>5018</v>
      </c>
      <c r="Z1181" s="3" t="s">
        <v>52</v>
      </c>
      <c r="AA1181" s="3"/>
      <c r="AB1181" s="3"/>
      <c r="AC1181" s="3" t="str">
        <f>HYPERLINK("https://knigipp.ru/api/getInfo/image/970e1c5e-7fd0-11ef-a265-00155d82e908")</f>
        <v>https://knigipp.ru/api/getInfo/image/970e1c5e-7fd0-11ef-a265-00155d82e908</v>
      </c>
      <c r="AD1181" s="32">
        <v>16</v>
      </c>
      <c r="AE1181" s="3" t="s">
        <v>54</v>
      </c>
      <c r="AF1181" s="3" t="s">
        <v>136</v>
      </c>
      <c r="AG1181" s="3"/>
      <c r="AH1181" s="3" t="s">
        <v>56</v>
      </c>
      <c r="AI1181" s="3"/>
      <c r="AJ1181" s="3"/>
      <c r="AK1181" s="3" t="str">
        <f>HYPERLINK("https://knigipp.ru/api/getInfo/item/970e1c5e-7fd0-11ef-a265-00155d82e908")</f>
        <v>https://knigipp.ru/api/getInfo/item/970e1c5e-7fd0-11ef-a265-00155d82e908</v>
      </c>
      <c r="AL1181" s="3" t="s">
        <v>5019</v>
      </c>
    </row>
    <row r="1182" spans="1:38" ht="21" customHeight="1" outlineLevel="4" x14ac:dyDescent="0.2">
      <c r="A1182" s="2">
        <v>887</v>
      </c>
      <c r="B1182" s="3" t="s">
        <v>5024</v>
      </c>
      <c r="C1182" s="49" t="s">
        <v>5025</v>
      </c>
      <c r="D1182" s="49"/>
      <c r="E1182" s="49"/>
      <c r="F1182" s="49"/>
      <c r="G1182" s="4" t="s">
        <v>5026</v>
      </c>
      <c r="H1182" s="8"/>
      <c r="I1182" s="9" t="s">
        <v>5016</v>
      </c>
      <c r="J1182" s="10"/>
      <c r="K1182" s="11">
        <v>20</v>
      </c>
      <c r="L1182" s="10"/>
      <c r="M1182" s="10" t="s">
        <v>78</v>
      </c>
      <c r="N1182" s="10"/>
      <c r="O1182" s="2">
        <v>2</v>
      </c>
      <c r="P1182" s="17">
        <f>397*(1-S3/100)</f>
        <v>397</v>
      </c>
      <c r="Q1182" s="18"/>
      <c r="R1182" s="10">
        <f>P1182*Q1182</f>
        <v>0</v>
      </c>
      <c r="S1182" s="19">
        <f>0.243*Q1182</f>
        <v>0</v>
      </c>
      <c r="T1182" s="20">
        <f>0.00201*Q1182</f>
        <v>0</v>
      </c>
      <c r="U1182" s="21"/>
      <c r="V1182" s="22" t="s">
        <v>5027</v>
      </c>
      <c r="W1182" s="22" t="s">
        <v>49</v>
      </c>
      <c r="X1182" s="3"/>
      <c r="Y1182" s="3" t="s">
        <v>5018</v>
      </c>
      <c r="Z1182" s="3" t="s">
        <v>52</v>
      </c>
      <c r="AA1182" s="3"/>
      <c r="AB1182" s="3"/>
      <c r="AC1182" s="3" t="str">
        <f>HYPERLINK("https://knigipp.ru/api/getInfo/image/5637a4d1-7fd0-11ef-a265-00155d82e908")</f>
        <v>https://knigipp.ru/api/getInfo/image/5637a4d1-7fd0-11ef-a265-00155d82e908</v>
      </c>
      <c r="AD1182" s="32">
        <v>16</v>
      </c>
      <c r="AE1182" s="3" t="s">
        <v>54</v>
      </c>
      <c r="AF1182" s="3" t="s">
        <v>136</v>
      </c>
      <c r="AG1182" s="3"/>
      <c r="AH1182" s="3" t="s">
        <v>56</v>
      </c>
      <c r="AI1182" s="3"/>
      <c r="AJ1182" s="3"/>
      <c r="AK1182" s="3" t="str">
        <f>HYPERLINK("https://knigipp.ru/api/getInfo/item/5637a4d1-7fd0-11ef-a265-00155d82e908")</f>
        <v>https://knigipp.ru/api/getInfo/item/5637a4d1-7fd0-11ef-a265-00155d82e908</v>
      </c>
      <c r="AL1182" s="3" t="s">
        <v>5019</v>
      </c>
    </row>
    <row r="1183" spans="1:38" ht="23.1" customHeight="1" outlineLevel="3" x14ac:dyDescent="0.2">
      <c r="A1183" s="48" t="s">
        <v>5028</v>
      </c>
      <c r="B1183" s="48"/>
      <c r="C1183" s="48"/>
      <c r="D1183" s="48"/>
      <c r="E1183" s="48"/>
      <c r="F1183" s="48"/>
    </row>
    <row r="1184" spans="1:38" ht="21" customHeight="1" outlineLevel="4" x14ac:dyDescent="0.2">
      <c r="A1184" s="2">
        <v>888</v>
      </c>
      <c r="B1184" s="3" t="s">
        <v>5029</v>
      </c>
      <c r="C1184" s="49" t="s">
        <v>5030</v>
      </c>
      <c r="D1184" s="49"/>
      <c r="E1184" s="49"/>
      <c r="F1184" s="49"/>
      <c r="G1184" s="4" t="s">
        <v>5031</v>
      </c>
      <c r="H1184" s="8"/>
      <c r="I1184" s="9"/>
      <c r="J1184" s="10"/>
      <c r="K1184" s="11">
        <v>30</v>
      </c>
      <c r="L1184" s="10"/>
      <c r="M1184" s="10" t="s">
        <v>304</v>
      </c>
      <c r="N1184" s="10"/>
      <c r="O1184" s="2">
        <v>8</v>
      </c>
      <c r="P1184" s="17">
        <f>79.88*(1-S3/100)</f>
        <v>79.88</v>
      </c>
      <c r="Q1184" s="18"/>
      <c r="R1184" s="10">
        <f>P1184*Q1184</f>
        <v>0</v>
      </c>
      <c r="S1184" s="19">
        <f>0.098*Q1184</f>
        <v>0</v>
      </c>
      <c r="T1184" s="20">
        <f>0.00011*Q1184</f>
        <v>0</v>
      </c>
      <c r="U1184" s="21"/>
      <c r="V1184" s="22" t="s">
        <v>5032</v>
      </c>
      <c r="W1184" s="22" t="s">
        <v>49</v>
      </c>
      <c r="X1184" s="3"/>
      <c r="Y1184" s="3"/>
      <c r="Z1184" s="3" t="s">
        <v>52</v>
      </c>
      <c r="AA1184" s="3"/>
      <c r="AB1184" s="3"/>
      <c r="AC1184" s="3" t="str">
        <f>HYPERLINK("https://knigipp.ru/api/getInfo/image/0e99ed93-c798-11eb-a207-ac1f6b442185")</f>
        <v>https://knigipp.ru/api/getInfo/image/0e99ed93-c798-11eb-a207-ac1f6b442185</v>
      </c>
      <c r="AD1184" s="32">
        <v>24</v>
      </c>
      <c r="AE1184" s="3"/>
      <c r="AF1184" s="3" t="s">
        <v>136</v>
      </c>
      <c r="AG1184" s="3"/>
      <c r="AH1184" s="3" t="s">
        <v>56</v>
      </c>
      <c r="AI1184" s="3"/>
      <c r="AJ1184" s="3"/>
      <c r="AK1184" s="3" t="str">
        <f>HYPERLINK("https://knigipp.ru/api/getInfo/item/0e99ed93-c798-11eb-a207-ac1f6b442185")</f>
        <v>https://knigipp.ru/api/getInfo/item/0e99ed93-c798-11eb-a207-ac1f6b442185</v>
      </c>
      <c r="AL1184" s="3" t="s">
        <v>5033</v>
      </c>
    </row>
    <row r="1185" spans="1:38" ht="21" customHeight="1" outlineLevel="4" x14ac:dyDescent="0.2">
      <c r="A1185" s="2">
        <v>889</v>
      </c>
      <c r="B1185" s="3" t="s">
        <v>5034</v>
      </c>
      <c r="C1185" s="49" t="s">
        <v>5035</v>
      </c>
      <c r="D1185" s="49"/>
      <c r="E1185" s="49"/>
      <c r="F1185" s="49"/>
      <c r="G1185" s="4" t="s">
        <v>5036</v>
      </c>
      <c r="H1185" s="8"/>
      <c r="I1185" s="9"/>
      <c r="J1185" s="10"/>
      <c r="K1185" s="11">
        <v>30</v>
      </c>
      <c r="L1185" s="10"/>
      <c r="M1185" s="10" t="s">
        <v>304</v>
      </c>
      <c r="N1185" s="10"/>
      <c r="O1185" s="2">
        <v>8</v>
      </c>
      <c r="P1185" s="17">
        <f>79.88*(1-S3/100)</f>
        <v>79.88</v>
      </c>
      <c r="Q1185" s="18"/>
      <c r="R1185" s="10">
        <f>P1185*Q1185</f>
        <v>0</v>
      </c>
      <c r="S1185" s="10">
        <v>0</v>
      </c>
      <c r="T1185" s="10">
        <v>0</v>
      </c>
      <c r="U1185" s="21"/>
      <c r="V1185" s="22" t="s">
        <v>5037</v>
      </c>
      <c r="W1185" s="22" t="s">
        <v>49</v>
      </c>
      <c r="X1185" s="3"/>
      <c r="Y1185" s="3"/>
      <c r="Z1185" s="3" t="s">
        <v>52</v>
      </c>
      <c r="AA1185" s="3"/>
      <c r="AB1185" s="3"/>
      <c r="AC1185" s="3" t="str">
        <f>HYPERLINK("https://knigipp.ru/api/getInfo/image/74a32677-c798-11eb-a207-ac1f6b442185")</f>
        <v>https://knigipp.ru/api/getInfo/image/74a32677-c798-11eb-a207-ac1f6b442185</v>
      </c>
      <c r="AD1185" s="32">
        <v>24</v>
      </c>
      <c r="AE1185" s="3"/>
      <c r="AF1185" s="3" t="s">
        <v>136</v>
      </c>
      <c r="AG1185" s="3"/>
      <c r="AH1185" s="3" t="s">
        <v>56</v>
      </c>
      <c r="AI1185" s="3"/>
      <c r="AJ1185" s="3"/>
      <c r="AK1185" s="3" t="str">
        <f>HYPERLINK("https://knigipp.ru/api/getInfo/item/74a32677-c798-11eb-a207-ac1f6b442185")</f>
        <v>https://knigipp.ru/api/getInfo/item/74a32677-c798-11eb-a207-ac1f6b442185</v>
      </c>
      <c r="AL1185" s="3" t="s">
        <v>5033</v>
      </c>
    </row>
    <row r="1186" spans="1:38" ht="21" customHeight="1" outlineLevel="4" x14ac:dyDescent="0.2">
      <c r="A1186" s="2">
        <v>890</v>
      </c>
      <c r="B1186" s="3" t="s">
        <v>5038</v>
      </c>
      <c r="C1186" s="49" t="s">
        <v>5039</v>
      </c>
      <c r="D1186" s="49"/>
      <c r="E1186" s="49"/>
      <c r="F1186" s="49"/>
      <c r="G1186" s="4" t="s">
        <v>5040</v>
      </c>
      <c r="H1186" s="8"/>
      <c r="I1186" s="9"/>
      <c r="J1186" s="10"/>
      <c r="K1186" s="11">
        <v>30</v>
      </c>
      <c r="L1186" s="10"/>
      <c r="M1186" s="10" t="s">
        <v>304</v>
      </c>
      <c r="N1186" s="10"/>
      <c r="O1186" s="2">
        <v>8</v>
      </c>
      <c r="P1186" s="17">
        <f>79.88*(1-S3/100)</f>
        <v>79.88</v>
      </c>
      <c r="Q1186" s="18"/>
      <c r="R1186" s="10">
        <f>P1186*Q1186</f>
        <v>0</v>
      </c>
      <c r="S1186" s="19">
        <f>0.065*Q1186</f>
        <v>0</v>
      </c>
      <c r="T1186" s="20">
        <f>0.00022*Q1186</f>
        <v>0</v>
      </c>
      <c r="U1186" s="21"/>
      <c r="V1186" s="22" t="s">
        <v>5041</v>
      </c>
      <c r="W1186" s="22" t="s">
        <v>49</v>
      </c>
      <c r="X1186" s="3"/>
      <c r="Y1186" s="3"/>
      <c r="Z1186" s="3" t="s">
        <v>52</v>
      </c>
      <c r="AA1186" s="3"/>
      <c r="AB1186" s="3"/>
      <c r="AC1186" s="3" t="str">
        <f>HYPERLINK("https://knigipp.ru/api/getInfo/image/a1d4c6ce-c797-11eb-a207-ac1f6b442185")</f>
        <v>https://knigipp.ru/api/getInfo/image/a1d4c6ce-c797-11eb-a207-ac1f6b442185</v>
      </c>
      <c r="AD1186" s="32">
        <v>24</v>
      </c>
      <c r="AE1186" s="3"/>
      <c r="AF1186" s="3" t="s">
        <v>136</v>
      </c>
      <c r="AG1186" s="3"/>
      <c r="AH1186" s="3" t="s">
        <v>56</v>
      </c>
      <c r="AI1186" s="3"/>
      <c r="AJ1186" s="3"/>
      <c r="AK1186" s="3" t="str">
        <f>HYPERLINK("https://knigipp.ru/api/getInfo/item/a1d4c6ce-c797-11eb-a207-ac1f6b442185")</f>
        <v>https://knigipp.ru/api/getInfo/item/a1d4c6ce-c797-11eb-a207-ac1f6b442185</v>
      </c>
      <c r="AL1186" s="3" t="s">
        <v>5033</v>
      </c>
    </row>
    <row r="1187" spans="1:38" ht="21" customHeight="1" outlineLevel="4" x14ac:dyDescent="0.2">
      <c r="A1187" s="2">
        <v>891</v>
      </c>
      <c r="B1187" s="3" t="s">
        <v>5042</v>
      </c>
      <c r="C1187" s="49" t="s">
        <v>5043</v>
      </c>
      <c r="D1187" s="49"/>
      <c r="E1187" s="49"/>
      <c r="F1187" s="49"/>
      <c r="G1187" s="4" t="s">
        <v>5044</v>
      </c>
      <c r="H1187" s="8"/>
      <c r="I1187" s="9"/>
      <c r="J1187" s="10"/>
      <c r="K1187" s="11">
        <v>30</v>
      </c>
      <c r="L1187" s="10"/>
      <c r="M1187" s="10" t="s">
        <v>304</v>
      </c>
      <c r="N1187" s="10"/>
      <c r="O1187" s="2">
        <v>8</v>
      </c>
      <c r="P1187" s="17">
        <f>79.88*(1-S3/100)</f>
        <v>79.88</v>
      </c>
      <c r="Q1187" s="18"/>
      <c r="R1187" s="10">
        <f>P1187*Q1187</f>
        <v>0</v>
      </c>
      <c r="S1187" s="19">
        <f>0.108*Q1187</f>
        <v>0</v>
      </c>
      <c r="T1187" s="20">
        <f>0.00011*Q1187</f>
        <v>0</v>
      </c>
      <c r="U1187" s="21"/>
      <c r="V1187" s="22" t="s">
        <v>5045</v>
      </c>
      <c r="W1187" s="22" t="s">
        <v>49</v>
      </c>
      <c r="X1187" s="3"/>
      <c r="Y1187" s="3"/>
      <c r="Z1187" s="3" t="s">
        <v>52</v>
      </c>
      <c r="AA1187" s="3"/>
      <c r="AB1187" s="3"/>
      <c r="AC1187" s="3" t="str">
        <f>HYPERLINK("https://knigipp.ru/api/getInfo/image/678d84a8-c797-11eb-a207-ac1f6b442185")</f>
        <v>https://knigipp.ru/api/getInfo/image/678d84a8-c797-11eb-a207-ac1f6b442185</v>
      </c>
      <c r="AD1187" s="32">
        <v>24</v>
      </c>
      <c r="AE1187" s="3"/>
      <c r="AF1187" s="3" t="s">
        <v>136</v>
      </c>
      <c r="AG1187" s="3"/>
      <c r="AH1187" s="3" t="s">
        <v>56</v>
      </c>
      <c r="AI1187" s="3"/>
      <c r="AJ1187" s="3"/>
      <c r="AK1187" s="3" t="str">
        <f>HYPERLINK("https://knigipp.ru/api/getInfo/item/678d84a8-c797-11eb-a207-ac1f6b442185")</f>
        <v>https://knigipp.ru/api/getInfo/item/678d84a8-c797-11eb-a207-ac1f6b442185</v>
      </c>
      <c r="AL1187" s="3" t="s">
        <v>5033</v>
      </c>
    </row>
    <row r="1188" spans="1:38" ht="23.1" customHeight="1" outlineLevel="3" x14ac:dyDescent="0.2">
      <c r="A1188" s="48" t="s">
        <v>5046</v>
      </c>
      <c r="B1188" s="48"/>
      <c r="C1188" s="48"/>
      <c r="D1188" s="48"/>
      <c r="E1188" s="48"/>
      <c r="F1188" s="48"/>
    </row>
    <row r="1189" spans="1:38" ht="21" customHeight="1" outlineLevel="4" x14ac:dyDescent="0.2">
      <c r="A1189" s="2">
        <v>892</v>
      </c>
      <c r="B1189" s="3" t="s">
        <v>5047</v>
      </c>
      <c r="C1189" s="49" t="s">
        <v>5048</v>
      </c>
      <c r="D1189" s="49"/>
      <c r="E1189" s="49"/>
      <c r="F1189" s="49"/>
      <c r="G1189" s="4" t="s">
        <v>5049</v>
      </c>
      <c r="H1189" s="8"/>
      <c r="I1189" s="9" t="s">
        <v>5050</v>
      </c>
      <c r="J1189" s="10"/>
      <c r="K1189" s="11">
        <v>25</v>
      </c>
      <c r="L1189" s="10"/>
      <c r="M1189" s="10" t="s">
        <v>78</v>
      </c>
      <c r="N1189" s="10"/>
      <c r="O1189" s="2">
        <v>5</v>
      </c>
      <c r="P1189" s="17">
        <f>129*(1-S3/100)</f>
        <v>129</v>
      </c>
      <c r="Q1189" s="18"/>
      <c r="R1189" s="10">
        <f>P1189*Q1189</f>
        <v>0</v>
      </c>
      <c r="S1189" s="19">
        <f>0.092*Q1189</f>
        <v>0</v>
      </c>
      <c r="T1189" s="20">
        <f>0.00011*Q1189</f>
        <v>0</v>
      </c>
      <c r="U1189" s="21"/>
      <c r="V1189" s="22" t="s">
        <v>5051</v>
      </c>
      <c r="W1189" s="22" t="s">
        <v>49</v>
      </c>
      <c r="X1189" s="3"/>
      <c r="Y1189" s="3"/>
      <c r="Z1189" s="3" t="s">
        <v>52</v>
      </c>
      <c r="AA1189" s="3"/>
      <c r="AB1189" s="3"/>
      <c r="AC1189" s="3" t="str">
        <f>HYPERLINK("https://knigipp.ru/api/getInfo/image/9550571e-4436-11ea-a240-ac1f6b442184")</f>
        <v>https://knigipp.ru/api/getInfo/image/9550571e-4436-11ea-a240-ac1f6b442184</v>
      </c>
      <c r="AD1189" s="32">
        <v>16</v>
      </c>
      <c r="AE1189" s="3"/>
      <c r="AF1189" s="3" t="s">
        <v>136</v>
      </c>
      <c r="AG1189" s="3"/>
      <c r="AH1189" s="3" t="s">
        <v>56</v>
      </c>
      <c r="AI1189" s="3"/>
      <c r="AJ1189" s="3"/>
      <c r="AK1189" s="3" t="str">
        <f>HYPERLINK("https://knigipp.ru/api/getInfo/item/9550571e-4436-11ea-a240-ac1f6b442184")</f>
        <v>https://knigipp.ru/api/getInfo/item/9550571e-4436-11ea-a240-ac1f6b442184</v>
      </c>
      <c r="AL1189" s="3" t="s">
        <v>1155</v>
      </c>
    </row>
    <row r="1190" spans="1:38" ht="23.1" customHeight="1" outlineLevel="3" x14ac:dyDescent="0.2">
      <c r="A1190" s="48" t="s">
        <v>5052</v>
      </c>
      <c r="B1190" s="48"/>
      <c r="C1190" s="48"/>
      <c r="D1190" s="48"/>
      <c r="E1190" s="48"/>
      <c r="F1190" s="48"/>
    </row>
    <row r="1191" spans="1:38" ht="21" customHeight="1" outlineLevel="4" x14ac:dyDescent="0.2">
      <c r="A1191" s="2">
        <v>893</v>
      </c>
      <c r="B1191" s="3" t="s">
        <v>5053</v>
      </c>
      <c r="C1191" s="49" t="s">
        <v>5054</v>
      </c>
      <c r="D1191" s="49"/>
      <c r="E1191" s="49"/>
      <c r="F1191" s="49"/>
      <c r="G1191" s="4" t="s">
        <v>5055</v>
      </c>
      <c r="H1191" s="8"/>
      <c r="I1191" s="9" t="s">
        <v>5056</v>
      </c>
      <c r="J1191" s="10"/>
      <c r="K1191" s="11">
        <v>25</v>
      </c>
      <c r="L1191" s="10"/>
      <c r="M1191" s="10" t="s">
        <v>47</v>
      </c>
      <c r="N1191" s="10"/>
      <c r="O1191" s="2">
        <v>5</v>
      </c>
      <c r="P1191" s="17">
        <f>117*(1-S3/100)</f>
        <v>117</v>
      </c>
      <c r="Q1191" s="18"/>
      <c r="R1191" s="10">
        <f t="shared" ref="R1191:R1196" si="43">P1191*Q1191</f>
        <v>0</v>
      </c>
      <c r="S1191" s="19">
        <f>0.079*Q1191</f>
        <v>0</v>
      </c>
      <c r="T1191" s="20">
        <f>0.00028*Q1191</f>
        <v>0</v>
      </c>
      <c r="U1191" s="21"/>
      <c r="V1191" s="22" t="s">
        <v>5057</v>
      </c>
      <c r="W1191" s="22" t="s">
        <v>49</v>
      </c>
      <c r="X1191" s="3"/>
      <c r="Y1191" s="3" t="s">
        <v>5058</v>
      </c>
      <c r="Z1191" s="3" t="s">
        <v>52</v>
      </c>
      <c r="AA1191" s="3"/>
      <c r="AB1191" s="3"/>
      <c r="AC1191" s="3" t="str">
        <f>HYPERLINK("https://knigipp.ru/api/getInfo/image/d31e0cdb-edc3-11ee-a25b-00155d82e908")</f>
        <v>https://knigipp.ru/api/getInfo/image/d31e0cdb-edc3-11ee-a25b-00155d82e908</v>
      </c>
      <c r="AD1191" s="32">
        <v>16</v>
      </c>
      <c r="AE1191" s="3"/>
      <c r="AF1191" s="3" t="s">
        <v>136</v>
      </c>
      <c r="AG1191" s="3"/>
      <c r="AH1191" s="3" t="s">
        <v>56</v>
      </c>
      <c r="AI1191" s="3"/>
      <c r="AJ1191" s="3"/>
      <c r="AK1191" s="3" t="str">
        <f>HYPERLINK("https://knigipp.ru/api/getInfo/item/d31e0cdb-edc3-11ee-a25b-00155d82e908")</f>
        <v>https://knigipp.ru/api/getInfo/item/d31e0cdb-edc3-11ee-a25b-00155d82e908</v>
      </c>
      <c r="AL1191" s="3" t="s">
        <v>1155</v>
      </c>
    </row>
    <row r="1192" spans="1:38" ht="21" customHeight="1" outlineLevel="4" x14ac:dyDescent="0.2">
      <c r="A1192" s="2">
        <v>894</v>
      </c>
      <c r="B1192" s="3" t="s">
        <v>5059</v>
      </c>
      <c r="C1192" s="49" t="s">
        <v>5060</v>
      </c>
      <c r="D1192" s="49"/>
      <c r="E1192" s="49"/>
      <c r="F1192" s="49"/>
      <c r="G1192" s="4" t="s">
        <v>5061</v>
      </c>
      <c r="H1192" s="8"/>
      <c r="I1192" s="9" t="s">
        <v>5056</v>
      </c>
      <c r="J1192" s="10"/>
      <c r="K1192" s="11">
        <v>25</v>
      </c>
      <c r="L1192" s="10"/>
      <c r="M1192" s="10" t="s">
        <v>47</v>
      </c>
      <c r="N1192" s="10"/>
      <c r="O1192" s="2">
        <v>5</v>
      </c>
      <c r="P1192" s="17">
        <f>117*(1-S3/100)</f>
        <v>117</v>
      </c>
      <c r="Q1192" s="18"/>
      <c r="R1192" s="10">
        <f t="shared" si="43"/>
        <v>0</v>
      </c>
      <c r="S1192" s="19">
        <f>0.079*Q1192</f>
        <v>0</v>
      </c>
      <c r="T1192" s="20">
        <f>0.00028*Q1192</f>
        <v>0</v>
      </c>
      <c r="U1192" s="21"/>
      <c r="V1192" s="22" t="s">
        <v>5062</v>
      </c>
      <c r="W1192" s="22" t="s">
        <v>49</v>
      </c>
      <c r="X1192" s="3"/>
      <c r="Y1192" s="3" t="s">
        <v>5058</v>
      </c>
      <c r="Z1192" s="3" t="s">
        <v>52</v>
      </c>
      <c r="AA1192" s="3"/>
      <c r="AB1192" s="3"/>
      <c r="AC1192" s="3" t="str">
        <f>HYPERLINK("https://knigipp.ru/api/getInfo/image/13b95c15-edc4-11ee-a25b-00155d82e908")</f>
        <v>https://knigipp.ru/api/getInfo/image/13b95c15-edc4-11ee-a25b-00155d82e908</v>
      </c>
      <c r="AD1192" s="32">
        <v>16</v>
      </c>
      <c r="AE1192" s="3"/>
      <c r="AF1192" s="3" t="s">
        <v>136</v>
      </c>
      <c r="AG1192" s="3"/>
      <c r="AH1192" s="3" t="s">
        <v>56</v>
      </c>
      <c r="AI1192" s="3"/>
      <c r="AJ1192" s="3"/>
      <c r="AK1192" s="3" t="str">
        <f>HYPERLINK("https://knigipp.ru/api/getInfo/item/13b95c15-edc4-11ee-a25b-00155d82e908")</f>
        <v>https://knigipp.ru/api/getInfo/item/13b95c15-edc4-11ee-a25b-00155d82e908</v>
      </c>
      <c r="AL1192" s="3" t="s">
        <v>1155</v>
      </c>
    </row>
    <row r="1193" spans="1:38" ht="21" customHeight="1" outlineLevel="4" x14ac:dyDescent="0.2">
      <c r="A1193" s="2">
        <v>895</v>
      </c>
      <c r="B1193" s="3" t="s">
        <v>5063</v>
      </c>
      <c r="C1193" s="49" t="s">
        <v>5064</v>
      </c>
      <c r="D1193" s="49"/>
      <c r="E1193" s="49"/>
      <c r="F1193" s="49"/>
      <c r="G1193" s="4" t="s">
        <v>5065</v>
      </c>
      <c r="H1193" s="8"/>
      <c r="I1193" s="9" t="s">
        <v>5056</v>
      </c>
      <c r="J1193" s="10"/>
      <c r="K1193" s="11">
        <v>25</v>
      </c>
      <c r="L1193" s="10"/>
      <c r="M1193" s="10" t="s">
        <v>78</v>
      </c>
      <c r="N1193" s="10"/>
      <c r="O1193" s="2">
        <v>5</v>
      </c>
      <c r="P1193" s="17">
        <f>117*(1-S3/100)</f>
        <v>117</v>
      </c>
      <c r="Q1193" s="18"/>
      <c r="R1193" s="10">
        <f t="shared" si="43"/>
        <v>0</v>
      </c>
      <c r="S1193" s="19">
        <f>0.079*Q1193</f>
        <v>0</v>
      </c>
      <c r="T1193" s="20">
        <f>0.00028*Q1193</f>
        <v>0</v>
      </c>
      <c r="U1193" s="21"/>
      <c r="V1193" s="22" t="s">
        <v>5066</v>
      </c>
      <c r="W1193" s="22" t="s">
        <v>49</v>
      </c>
      <c r="X1193" s="3"/>
      <c r="Y1193" s="3" t="s">
        <v>5058</v>
      </c>
      <c r="Z1193" s="3" t="s">
        <v>52</v>
      </c>
      <c r="AA1193" s="3"/>
      <c r="AB1193" s="3"/>
      <c r="AC1193" s="3" t="str">
        <f>HYPERLINK("https://knigipp.ru/api/getInfo/image/4cc70199-edc4-11ee-a25b-00155d82e908")</f>
        <v>https://knigipp.ru/api/getInfo/image/4cc70199-edc4-11ee-a25b-00155d82e908</v>
      </c>
      <c r="AD1193" s="32">
        <v>16</v>
      </c>
      <c r="AE1193" s="3"/>
      <c r="AF1193" s="3" t="s">
        <v>136</v>
      </c>
      <c r="AG1193" s="3"/>
      <c r="AH1193" s="3" t="s">
        <v>56</v>
      </c>
      <c r="AI1193" s="3"/>
      <c r="AJ1193" s="3"/>
      <c r="AK1193" s="3" t="str">
        <f>HYPERLINK("https://knigipp.ru/api/getInfo/item/4cc70199-edc4-11ee-a25b-00155d82e908")</f>
        <v>https://knigipp.ru/api/getInfo/item/4cc70199-edc4-11ee-a25b-00155d82e908</v>
      </c>
      <c r="AL1193" s="3" t="s">
        <v>1155</v>
      </c>
    </row>
    <row r="1194" spans="1:38" ht="21" customHeight="1" outlineLevel="4" x14ac:dyDescent="0.2">
      <c r="A1194" s="2">
        <v>896</v>
      </c>
      <c r="B1194" s="3" t="s">
        <v>5067</v>
      </c>
      <c r="C1194" s="49" t="s">
        <v>5068</v>
      </c>
      <c r="D1194" s="49"/>
      <c r="E1194" s="49"/>
      <c r="F1194" s="49"/>
      <c r="G1194" s="4" t="s">
        <v>5069</v>
      </c>
      <c r="H1194" s="8"/>
      <c r="I1194" s="9" t="s">
        <v>5070</v>
      </c>
      <c r="J1194" s="10"/>
      <c r="K1194" s="11">
        <v>25</v>
      </c>
      <c r="L1194" s="10"/>
      <c r="M1194" s="10" t="s">
        <v>78</v>
      </c>
      <c r="N1194" s="10"/>
      <c r="O1194" s="2">
        <v>5</v>
      </c>
      <c r="P1194" s="17">
        <f>117*(1-S3/100)</f>
        <v>117</v>
      </c>
      <c r="Q1194" s="18"/>
      <c r="R1194" s="10">
        <f t="shared" si="43"/>
        <v>0</v>
      </c>
      <c r="S1194" s="19">
        <f>0.078*Q1194</f>
        <v>0</v>
      </c>
      <c r="T1194" s="20">
        <f>0.00028*Q1194</f>
        <v>0</v>
      </c>
      <c r="U1194" s="21"/>
      <c r="V1194" s="22" t="s">
        <v>5071</v>
      </c>
      <c r="W1194" s="22" t="s">
        <v>49</v>
      </c>
      <c r="X1194" s="3"/>
      <c r="Y1194" s="3"/>
      <c r="Z1194" s="3" t="s">
        <v>52</v>
      </c>
      <c r="AA1194" s="3"/>
      <c r="AB1194" s="3"/>
      <c r="AC1194" s="3" t="str">
        <f>HYPERLINK("https://knigipp.ru/api/getInfo/image/613b0d48-5a35-11ea-a242-ac1f6b442184")</f>
        <v>https://knigipp.ru/api/getInfo/image/613b0d48-5a35-11ea-a242-ac1f6b442184</v>
      </c>
      <c r="AD1194" s="32">
        <v>16</v>
      </c>
      <c r="AE1194" s="3"/>
      <c r="AF1194" s="3" t="s">
        <v>136</v>
      </c>
      <c r="AG1194" s="3"/>
      <c r="AH1194" s="3" t="s">
        <v>56</v>
      </c>
      <c r="AI1194" s="3"/>
      <c r="AJ1194" s="3"/>
      <c r="AK1194" s="3" t="str">
        <f>HYPERLINK("https://knigipp.ru/api/getInfo/item/613b0d48-5a35-11ea-a242-ac1f6b442184")</f>
        <v>https://knigipp.ru/api/getInfo/item/613b0d48-5a35-11ea-a242-ac1f6b442184</v>
      </c>
      <c r="AL1194" s="3" t="s">
        <v>1155</v>
      </c>
    </row>
    <row r="1195" spans="1:38" ht="21" customHeight="1" outlineLevel="4" x14ac:dyDescent="0.2">
      <c r="A1195" s="2">
        <v>897</v>
      </c>
      <c r="B1195" s="3" t="s">
        <v>5072</v>
      </c>
      <c r="C1195" s="49" t="s">
        <v>5073</v>
      </c>
      <c r="D1195" s="49"/>
      <c r="E1195" s="49"/>
      <c r="F1195" s="49"/>
      <c r="G1195" s="4" t="s">
        <v>5074</v>
      </c>
      <c r="H1195" s="8"/>
      <c r="I1195" s="9" t="s">
        <v>5056</v>
      </c>
      <c r="J1195" s="10"/>
      <c r="K1195" s="11">
        <v>25</v>
      </c>
      <c r="L1195" s="10"/>
      <c r="M1195" s="10" t="s">
        <v>47</v>
      </c>
      <c r="N1195" s="10"/>
      <c r="O1195" s="2">
        <v>5</v>
      </c>
      <c r="P1195" s="17">
        <f>117*(1-S3/100)</f>
        <v>117</v>
      </c>
      <c r="Q1195" s="18"/>
      <c r="R1195" s="10">
        <f t="shared" si="43"/>
        <v>0</v>
      </c>
      <c r="S1195" s="19">
        <f>0.079*Q1195</f>
        <v>0</v>
      </c>
      <c r="T1195" s="20">
        <f>0.00028*Q1195</f>
        <v>0</v>
      </c>
      <c r="U1195" s="21"/>
      <c r="V1195" s="22" t="s">
        <v>5075</v>
      </c>
      <c r="W1195" s="22" t="s">
        <v>49</v>
      </c>
      <c r="X1195" s="3"/>
      <c r="Y1195" s="3" t="s">
        <v>5058</v>
      </c>
      <c r="Z1195" s="3" t="s">
        <v>52</v>
      </c>
      <c r="AA1195" s="3"/>
      <c r="AB1195" s="3"/>
      <c r="AC1195" s="3" t="str">
        <f>HYPERLINK("https://knigipp.ru/api/getInfo/image/8a44b5ce-edc3-11ee-a25b-00155d82e908")</f>
        <v>https://knigipp.ru/api/getInfo/image/8a44b5ce-edc3-11ee-a25b-00155d82e908</v>
      </c>
      <c r="AD1195" s="32">
        <v>16</v>
      </c>
      <c r="AE1195" s="3"/>
      <c r="AF1195" s="3" t="s">
        <v>136</v>
      </c>
      <c r="AG1195" s="3"/>
      <c r="AH1195" s="3" t="s">
        <v>56</v>
      </c>
      <c r="AI1195" s="3"/>
      <c r="AJ1195" s="3"/>
      <c r="AK1195" s="3" t="str">
        <f>HYPERLINK("https://knigipp.ru/api/getInfo/item/8a44b5ce-edc3-11ee-a25b-00155d82e908")</f>
        <v>https://knigipp.ru/api/getInfo/item/8a44b5ce-edc3-11ee-a25b-00155d82e908</v>
      </c>
      <c r="AL1195" s="3" t="s">
        <v>1155</v>
      </c>
    </row>
    <row r="1196" spans="1:38" ht="21" customHeight="1" outlineLevel="4" x14ac:dyDescent="0.2">
      <c r="A1196" s="2">
        <v>898</v>
      </c>
      <c r="B1196" s="3" t="s">
        <v>5076</v>
      </c>
      <c r="C1196" s="49" t="s">
        <v>5077</v>
      </c>
      <c r="D1196" s="49"/>
      <c r="E1196" s="49"/>
      <c r="F1196" s="49"/>
      <c r="G1196" s="4" t="s">
        <v>5078</v>
      </c>
      <c r="H1196" s="8"/>
      <c r="I1196" s="9" t="s">
        <v>5070</v>
      </c>
      <c r="J1196" s="10"/>
      <c r="K1196" s="11">
        <v>25</v>
      </c>
      <c r="L1196" s="10"/>
      <c r="M1196" s="10" t="s">
        <v>47</v>
      </c>
      <c r="N1196" s="10"/>
      <c r="O1196" s="2">
        <v>5</v>
      </c>
      <c r="P1196" s="17">
        <f>117*(1-S3/100)</f>
        <v>117</v>
      </c>
      <c r="Q1196" s="18"/>
      <c r="R1196" s="10">
        <f t="shared" si="43"/>
        <v>0</v>
      </c>
      <c r="S1196" s="28">
        <f>0.08*Q1196</f>
        <v>0</v>
      </c>
      <c r="T1196" s="20">
        <f>0.00011*Q1196</f>
        <v>0</v>
      </c>
      <c r="U1196" s="21"/>
      <c r="V1196" s="22" t="s">
        <v>5079</v>
      </c>
      <c r="W1196" s="22" t="s">
        <v>49</v>
      </c>
      <c r="X1196" s="3"/>
      <c r="Y1196" s="3"/>
      <c r="Z1196" s="3" t="s">
        <v>52</v>
      </c>
      <c r="AA1196" s="3"/>
      <c r="AB1196" s="3"/>
      <c r="AC1196" s="3" t="str">
        <f>HYPERLINK("https://knigipp.ru/api/getInfo/image/9244ffe0-5a35-11ea-a242-ac1f6b442184")</f>
        <v>https://knigipp.ru/api/getInfo/image/9244ffe0-5a35-11ea-a242-ac1f6b442184</v>
      </c>
      <c r="AD1196" s="32">
        <v>16</v>
      </c>
      <c r="AE1196" s="3"/>
      <c r="AF1196" s="3" t="s">
        <v>136</v>
      </c>
      <c r="AG1196" s="3"/>
      <c r="AH1196" s="3" t="s">
        <v>56</v>
      </c>
      <c r="AI1196" s="3"/>
      <c r="AJ1196" s="3"/>
      <c r="AK1196" s="3" t="str">
        <f>HYPERLINK("https://knigipp.ru/api/getInfo/item/9244ffe0-5a35-11ea-a242-ac1f6b442184")</f>
        <v>https://knigipp.ru/api/getInfo/item/9244ffe0-5a35-11ea-a242-ac1f6b442184</v>
      </c>
      <c r="AL1196" s="3" t="s">
        <v>1155</v>
      </c>
    </row>
    <row r="1197" spans="1:38" ht="23.1" customHeight="1" outlineLevel="3" x14ac:dyDescent="0.2">
      <c r="A1197" s="48" t="s">
        <v>5080</v>
      </c>
      <c r="B1197" s="48"/>
      <c r="C1197" s="48"/>
      <c r="D1197" s="48"/>
      <c r="E1197" s="48"/>
      <c r="F1197" s="48"/>
    </row>
    <row r="1198" spans="1:38" ht="21" customHeight="1" outlineLevel="4" x14ac:dyDescent="0.2">
      <c r="A1198" s="2">
        <v>899</v>
      </c>
      <c r="B1198" s="3" t="s">
        <v>5081</v>
      </c>
      <c r="C1198" s="49" t="s">
        <v>5082</v>
      </c>
      <c r="D1198" s="49"/>
      <c r="E1198" s="49"/>
      <c r="F1198" s="49"/>
      <c r="G1198" s="4" t="s">
        <v>5083</v>
      </c>
      <c r="H1198" s="8"/>
      <c r="I1198" s="9" t="s">
        <v>5084</v>
      </c>
      <c r="J1198" s="10"/>
      <c r="K1198" s="11">
        <v>30</v>
      </c>
      <c r="L1198" s="10"/>
      <c r="M1198" s="10" t="s">
        <v>47</v>
      </c>
      <c r="N1198" s="10"/>
      <c r="O1198" s="2">
        <v>3</v>
      </c>
      <c r="P1198" s="17">
        <f>239*(1-S3/100)</f>
        <v>239</v>
      </c>
      <c r="Q1198" s="18"/>
      <c r="R1198" s="10">
        <f t="shared" ref="R1198:R1203" si="44">P1198*Q1198</f>
        <v>0</v>
      </c>
      <c r="S1198" s="19">
        <f>0.077*Q1198</f>
        <v>0</v>
      </c>
      <c r="T1198" s="20">
        <f>0.00022*Q1198</f>
        <v>0</v>
      </c>
      <c r="U1198" s="21"/>
      <c r="V1198" s="22" t="s">
        <v>5085</v>
      </c>
      <c r="W1198" s="22" t="s">
        <v>49</v>
      </c>
      <c r="X1198" s="3"/>
      <c r="Y1198" s="3"/>
      <c r="Z1198" s="3" t="s">
        <v>52</v>
      </c>
      <c r="AA1198" s="3"/>
      <c r="AB1198" s="3"/>
      <c r="AC1198" s="3" t="str">
        <f>HYPERLINK("https://knigipp.ru/api/getInfo/image/a357771d-ffb4-11ed-a23a-00155d82e902")</f>
        <v>https://knigipp.ru/api/getInfo/image/a357771d-ffb4-11ed-a23a-00155d82e902</v>
      </c>
      <c r="AD1198" s="32">
        <v>16</v>
      </c>
      <c r="AE1198" s="3" t="s">
        <v>54</v>
      </c>
      <c r="AF1198" s="3" t="s">
        <v>136</v>
      </c>
      <c r="AG1198" s="3"/>
      <c r="AH1198" s="3" t="s">
        <v>56</v>
      </c>
      <c r="AI1198" s="3"/>
      <c r="AJ1198" s="3"/>
      <c r="AK1198" s="3" t="str">
        <f>HYPERLINK("https://knigipp.ru/api/getInfo/item/a357771d-ffb4-11ed-a23a-00155d82e902")</f>
        <v>https://knigipp.ru/api/getInfo/item/a357771d-ffb4-11ed-a23a-00155d82e902</v>
      </c>
      <c r="AL1198" s="3" t="s">
        <v>1155</v>
      </c>
    </row>
    <row r="1199" spans="1:38" ht="21" customHeight="1" outlineLevel="4" x14ac:dyDescent="0.2">
      <c r="A1199" s="2">
        <v>900</v>
      </c>
      <c r="B1199" s="3" t="s">
        <v>5086</v>
      </c>
      <c r="C1199" s="49" t="s">
        <v>5087</v>
      </c>
      <c r="D1199" s="49"/>
      <c r="E1199" s="49"/>
      <c r="F1199" s="49"/>
      <c r="G1199" s="4" t="s">
        <v>5088</v>
      </c>
      <c r="H1199" s="8"/>
      <c r="I1199" s="9" t="s">
        <v>5089</v>
      </c>
      <c r="J1199" s="10"/>
      <c r="K1199" s="11">
        <v>30</v>
      </c>
      <c r="L1199" s="10"/>
      <c r="M1199" s="10" t="s">
        <v>78</v>
      </c>
      <c r="N1199" s="10"/>
      <c r="O1199" s="2">
        <v>3</v>
      </c>
      <c r="P1199" s="17">
        <f>239*(1-S3/100)</f>
        <v>239</v>
      </c>
      <c r="Q1199" s="18"/>
      <c r="R1199" s="10">
        <f t="shared" si="44"/>
        <v>0</v>
      </c>
      <c r="S1199" s="19">
        <f>0.084*Q1199</f>
        <v>0</v>
      </c>
      <c r="T1199" s="20">
        <f>0.00011*Q1199</f>
        <v>0</v>
      </c>
      <c r="U1199" s="21"/>
      <c r="V1199" s="22" t="s">
        <v>5090</v>
      </c>
      <c r="W1199" s="22" t="s">
        <v>49</v>
      </c>
      <c r="X1199" s="3"/>
      <c r="Y1199" s="3" t="s">
        <v>5091</v>
      </c>
      <c r="Z1199" s="3" t="s">
        <v>52</v>
      </c>
      <c r="AA1199" s="3"/>
      <c r="AB1199" s="3"/>
      <c r="AC1199" s="3" t="str">
        <f>HYPERLINK("https://knigipp.ru/api/getInfo/image/d8fbac4d-dfda-11ef-a273-00155d82e908")</f>
        <v>https://knigipp.ru/api/getInfo/image/d8fbac4d-dfda-11ef-a273-00155d82e908</v>
      </c>
      <c r="AD1199" s="32">
        <v>16</v>
      </c>
      <c r="AE1199" s="3" t="s">
        <v>54</v>
      </c>
      <c r="AF1199" s="3" t="s">
        <v>136</v>
      </c>
      <c r="AG1199" s="3"/>
      <c r="AH1199" s="3" t="s">
        <v>56</v>
      </c>
      <c r="AI1199" s="3"/>
      <c r="AJ1199" s="3"/>
      <c r="AK1199" s="3" t="str">
        <f>HYPERLINK("https://knigipp.ru/api/getInfo/item/d8fbac4d-dfda-11ef-a273-00155d82e908")</f>
        <v>https://knigipp.ru/api/getInfo/item/d8fbac4d-dfda-11ef-a273-00155d82e908</v>
      </c>
      <c r="AL1199" s="3" t="s">
        <v>1155</v>
      </c>
    </row>
    <row r="1200" spans="1:38" ht="21" customHeight="1" outlineLevel="4" x14ac:dyDescent="0.2">
      <c r="A1200" s="2">
        <v>901</v>
      </c>
      <c r="B1200" s="3" t="s">
        <v>5092</v>
      </c>
      <c r="C1200" s="49" t="s">
        <v>5093</v>
      </c>
      <c r="D1200" s="49"/>
      <c r="E1200" s="49"/>
      <c r="F1200" s="49"/>
      <c r="G1200" s="4" t="s">
        <v>5094</v>
      </c>
      <c r="H1200" s="8"/>
      <c r="I1200" s="9" t="s">
        <v>5084</v>
      </c>
      <c r="J1200" s="10"/>
      <c r="K1200" s="11">
        <v>30</v>
      </c>
      <c r="L1200" s="10"/>
      <c r="M1200" s="10" t="s">
        <v>47</v>
      </c>
      <c r="N1200" s="10"/>
      <c r="O1200" s="2">
        <v>3</v>
      </c>
      <c r="P1200" s="17">
        <f>239*(1-S3/100)</f>
        <v>239</v>
      </c>
      <c r="Q1200" s="18"/>
      <c r="R1200" s="10">
        <f t="shared" si="44"/>
        <v>0</v>
      </c>
      <c r="S1200" s="19">
        <f>0.079*Q1200</f>
        <v>0</v>
      </c>
      <c r="T1200" s="20">
        <f>0.00017*Q1200</f>
        <v>0</v>
      </c>
      <c r="U1200" s="21"/>
      <c r="V1200" s="22" t="s">
        <v>5095</v>
      </c>
      <c r="W1200" s="22" t="s">
        <v>49</v>
      </c>
      <c r="X1200" s="3"/>
      <c r="Y1200" s="3"/>
      <c r="Z1200" s="3" t="s">
        <v>52</v>
      </c>
      <c r="AA1200" s="3"/>
      <c r="AB1200" s="3"/>
      <c r="AC1200" s="3" t="str">
        <f>HYPERLINK("https://knigipp.ru/api/getInfo/image/c3f044c8-ffb4-11ed-a23a-00155d82e902")</f>
        <v>https://knigipp.ru/api/getInfo/image/c3f044c8-ffb4-11ed-a23a-00155d82e902</v>
      </c>
      <c r="AD1200" s="32">
        <v>16</v>
      </c>
      <c r="AE1200" s="3" t="s">
        <v>54</v>
      </c>
      <c r="AF1200" s="3" t="s">
        <v>136</v>
      </c>
      <c r="AG1200" s="3"/>
      <c r="AH1200" s="3" t="s">
        <v>56</v>
      </c>
      <c r="AI1200" s="3"/>
      <c r="AJ1200" s="3"/>
      <c r="AK1200" s="3" t="str">
        <f>HYPERLINK("https://knigipp.ru/api/getInfo/item/c3f044c8-ffb4-11ed-a23a-00155d82e902")</f>
        <v>https://knigipp.ru/api/getInfo/item/c3f044c8-ffb4-11ed-a23a-00155d82e902</v>
      </c>
      <c r="AL1200" s="3" t="s">
        <v>1155</v>
      </c>
    </row>
    <row r="1201" spans="1:38" ht="21" customHeight="1" outlineLevel="4" x14ac:dyDescent="0.2">
      <c r="A1201" s="2">
        <v>902</v>
      </c>
      <c r="B1201" s="3" t="s">
        <v>5096</v>
      </c>
      <c r="C1201" s="49" t="s">
        <v>5097</v>
      </c>
      <c r="D1201" s="49"/>
      <c r="E1201" s="49"/>
      <c r="F1201" s="49"/>
      <c r="G1201" s="4" t="s">
        <v>5098</v>
      </c>
      <c r="H1201" s="8"/>
      <c r="I1201" s="9" t="s">
        <v>5089</v>
      </c>
      <c r="J1201" s="10"/>
      <c r="K1201" s="11">
        <v>30</v>
      </c>
      <c r="L1201" s="10"/>
      <c r="M1201" s="10" t="s">
        <v>78</v>
      </c>
      <c r="N1201" s="10"/>
      <c r="O1201" s="2">
        <v>3</v>
      </c>
      <c r="P1201" s="17">
        <f>239*(1-S3/100)</f>
        <v>239</v>
      </c>
      <c r="Q1201" s="18"/>
      <c r="R1201" s="10">
        <f t="shared" si="44"/>
        <v>0</v>
      </c>
      <c r="S1201" s="19">
        <f>0.081*Q1201</f>
        <v>0</v>
      </c>
      <c r="T1201" s="20">
        <f>0.00022*Q1201</f>
        <v>0</v>
      </c>
      <c r="U1201" s="21"/>
      <c r="V1201" s="22" t="s">
        <v>5099</v>
      </c>
      <c r="W1201" s="22" t="s">
        <v>49</v>
      </c>
      <c r="X1201" s="3"/>
      <c r="Y1201" s="3" t="s">
        <v>5091</v>
      </c>
      <c r="Z1201" s="3" t="s">
        <v>52</v>
      </c>
      <c r="AA1201" s="3"/>
      <c r="AB1201" s="3"/>
      <c r="AC1201" s="3" t="str">
        <f>HYPERLINK("https://knigipp.ru/api/getInfo/image/b1546454-dfda-11ef-a273-00155d82e908")</f>
        <v>https://knigipp.ru/api/getInfo/image/b1546454-dfda-11ef-a273-00155d82e908</v>
      </c>
      <c r="AD1201" s="32">
        <v>16</v>
      </c>
      <c r="AE1201" s="3" t="s">
        <v>54</v>
      </c>
      <c r="AF1201" s="3" t="s">
        <v>136</v>
      </c>
      <c r="AG1201" s="3"/>
      <c r="AH1201" s="3" t="s">
        <v>56</v>
      </c>
      <c r="AI1201" s="3"/>
      <c r="AJ1201" s="3"/>
      <c r="AK1201" s="3" t="str">
        <f>HYPERLINK("https://knigipp.ru/api/getInfo/item/b1546454-dfda-11ef-a273-00155d82e908")</f>
        <v>https://knigipp.ru/api/getInfo/item/b1546454-dfda-11ef-a273-00155d82e908</v>
      </c>
      <c r="AL1201" s="3" t="s">
        <v>1155</v>
      </c>
    </row>
    <row r="1202" spans="1:38" ht="21" customHeight="1" outlineLevel="4" x14ac:dyDescent="0.2">
      <c r="A1202" s="2">
        <v>903</v>
      </c>
      <c r="B1202" s="3" t="s">
        <v>5100</v>
      </c>
      <c r="C1202" s="49" t="s">
        <v>5101</v>
      </c>
      <c r="D1202" s="49"/>
      <c r="E1202" s="49"/>
      <c r="F1202" s="49"/>
      <c r="G1202" s="4" t="s">
        <v>5102</v>
      </c>
      <c r="H1202" s="8"/>
      <c r="I1202" s="9" t="s">
        <v>5089</v>
      </c>
      <c r="J1202" s="10"/>
      <c r="K1202" s="11">
        <v>30</v>
      </c>
      <c r="L1202" s="10"/>
      <c r="M1202" s="10" t="s">
        <v>47</v>
      </c>
      <c r="N1202" s="10"/>
      <c r="O1202" s="2">
        <v>3</v>
      </c>
      <c r="P1202" s="17">
        <f>239*(1-S3/100)</f>
        <v>239</v>
      </c>
      <c r="Q1202" s="18"/>
      <c r="R1202" s="10">
        <f t="shared" si="44"/>
        <v>0</v>
      </c>
      <c r="S1202" s="19">
        <f>0.085*Q1202</f>
        <v>0</v>
      </c>
      <c r="T1202" s="20">
        <f>0.00006*Q1202</f>
        <v>0</v>
      </c>
      <c r="U1202" s="21"/>
      <c r="V1202" s="22" t="s">
        <v>5103</v>
      </c>
      <c r="W1202" s="22" t="s">
        <v>49</v>
      </c>
      <c r="X1202" s="3"/>
      <c r="Y1202" s="3" t="s">
        <v>5091</v>
      </c>
      <c r="Z1202" s="3" t="s">
        <v>52</v>
      </c>
      <c r="AA1202" s="3"/>
      <c r="AB1202" s="3"/>
      <c r="AC1202" s="3" t="str">
        <f>HYPERLINK("https://knigipp.ru/api/getInfo/image/8f0957ce-dfda-11ef-a273-00155d82e908")</f>
        <v>https://knigipp.ru/api/getInfo/image/8f0957ce-dfda-11ef-a273-00155d82e908</v>
      </c>
      <c r="AD1202" s="32">
        <v>16</v>
      </c>
      <c r="AE1202" s="3" t="s">
        <v>54</v>
      </c>
      <c r="AF1202" s="3" t="s">
        <v>136</v>
      </c>
      <c r="AG1202" s="3"/>
      <c r="AH1202" s="3" t="s">
        <v>56</v>
      </c>
      <c r="AI1202" s="3"/>
      <c r="AJ1202" s="3"/>
      <c r="AK1202" s="3" t="str">
        <f>HYPERLINK("https://knigipp.ru/api/getInfo/item/8f0957ce-dfda-11ef-a273-00155d82e908")</f>
        <v>https://knigipp.ru/api/getInfo/item/8f0957ce-dfda-11ef-a273-00155d82e908</v>
      </c>
      <c r="AL1202" s="3" t="s">
        <v>1155</v>
      </c>
    </row>
    <row r="1203" spans="1:38" ht="21" customHeight="1" outlineLevel="4" x14ac:dyDescent="0.2">
      <c r="A1203" s="2">
        <v>904</v>
      </c>
      <c r="B1203" s="3" t="s">
        <v>5104</v>
      </c>
      <c r="C1203" s="49" t="s">
        <v>5105</v>
      </c>
      <c r="D1203" s="49"/>
      <c r="E1203" s="49"/>
      <c r="F1203" s="49"/>
      <c r="G1203" s="4" t="s">
        <v>5106</v>
      </c>
      <c r="H1203" s="8"/>
      <c r="I1203" s="9" t="s">
        <v>5089</v>
      </c>
      <c r="J1203" s="10"/>
      <c r="K1203" s="11">
        <v>30</v>
      </c>
      <c r="L1203" s="10"/>
      <c r="M1203" s="10" t="s">
        <v>47</v>
      </c>
      <c r="N1203" s="10"/>
      <c r="O1203" s="2">
        <v>3</v>
      </c>
      <c r="P1203" s="17">
        <f>239*(1-S3/100)</f>
        <v>239</v>
      </c>
      <c r="Q1203" s="18"/>
      <c r="R1203" s="10">
        <f t="shared" si="44"/>
        <v>0</v>
      </c>
      <c r="S1203" s="19">
        <f>0.169*Q1203</f>
        <v>0</v>
      </c>
      <c r="T1203" s="20">
        <f>0.00034*Q1203</f>
        <v>0</v>
      </c>
      <c r="U1203" s="21"/>
      <c r="V1203" s="22" t="s">
        <v>5107</v>
      </c>
      <c r="W1203" s="22" t="s">
        <v>49</v>
      </c>
      <c r="X1203" s="3"/>
      <c r="Y1203" s="3" t="s">
        <v>5091</v>
      </c>
      <c r="Z1203" s="3" t="s">
        <v>52</v>
      </c>
      <c r="AA1203" s="3"/>
      <c r="AB1203" s="3"/>
      <c r="AC1203" s="3" t="str">
        <f>HYPERLINK("https://knigipp.ru/api/getInfo/image/feb7c461-dfda-11ef-a273-00155d82e908")</f>
        <v>https://knigipp.ru/api/getInfo/image/feb7c461-dfda-11ef-a273-00155d82e908</v>
      </c>
      <c r="AD1203" s="32">
        <v>16</v>
      </c>
      <c r="AE1203" s="3" t="s">
        <v>54</v>
      </c>
      <c r="AF1203" s="3" t="s">
        <v>136</v>
      </c>
      <c r="AG1203" s="3"/>
      <c r="AH1203" s="3" t="s">
        <v>56</v>
      </c>
      <c r="AI1203" s="3"/>
      <c r="AJ1203" s="3"/>
      <c r="AK1203" s="3" t="str">
        <f>HYPERLINK("https://knigipp.ru/api/getInfo/item/feb7c461-dfda-11ef-a273-00155d82e908")</f>
        <v>https://knigipp.ru/api/getInfo/item/feb7c461-dfda-11ef-a273-00155d82e908</v>
      </c>
      <c r="AL1203" s="3" t="s">
        <v>1155</v>
      </c>
    </row>
    <row r="1204" spans="1:38" ht="23.1" customHeight="1" outlineLevel="3" x14ac:dyDescent="0.2">
      <c r="A1204" s="48" t="s">
        <v>5108</v>
      </c>
      <c r="B1204" s="48"/>
      <c r="C1204" s="48"/>
      <c r="D1204" s="48"/>
      <c r="E1204" s="48"/>
      <c r="F1204" s="48"/>
    </row>
    <row r="1205" spans="1:38" ht="21" customHeight="1" outlineLevel="4" x14ac:dyDescent="0.2">
      <c r="A1205" s="2">
        <v>905</v>
      </c>
      <c r="B1205" s="3" t="s">
        <v>5109</v>
      </c>
      <c r="C1205" s="49" t="s">
        <v>5110</v>
      </c>
      <c r="D1205" s="49"/>
      <c r="E1205" s="49"/>
      <c r="F1205" s="49"/>
      <c r="G1205" s="4" t="s">
        <v>5111</v>
      </c>
      <c r="H1205" s="8"/>
      <c r="I1205" s="9" t="s">
        <v>5112</v>
      </c>
      <c r="J1205" s="10"/>
      <c r="K1205" s="11">
        <v>50</v>
      </c>
      <c r="L1205" s="10"/>
      <c r="M1205" s="10" t="s">
        <v>47</v>
      </c>
      <c r="N1205" s="10"/>
      <c r="O1205" s="2">
        <v>3</v>
      </c>
      <c r="P1205" s="17">
        <f>237*(1-S3/100)</f>
        <v>237</v>
      </c>
      <c r="Q1205" s="18"/>
      <c r="R1205" s="10">
        <f>P1205*Q1205</f>
        <v>0</v>
      </c>
      <c r="S1205" s="28">
        <f>0.07*Q1205</f>
        <v>0</v>
      </c>
      <c r="T1205" s="20">
        <f>0.00017*Q1205</f>
        <v>0</v>
      </c>
      <c r="U1205" s="21"/>
      <c r="V1205" s="22" t="s">
        <v>5113</v>
      </c>
      <c r="W1205" s="22" t="s">
        <v>191</v>
      </c>
      <c r="X1205" s="3"/>
      <c r="Y1205" s="3"/>
      <c r="Z1205" s="3" t="s">
        <v>52</v>
      </c>
      <c r="AA1205" s="3"/>
      <c r="AB1205" s="3"/>
      <c r="AC1205" s="3" t="str">
        <f>HYPERLINK("https://knigipp.ru/api/getInfo/image/f044f25f-d2fd-11ea-a250-ac1f6b442184")</f>
        <v>https://knigipp.ru/api/getInfo/image/f044f25f-d2fd-11ea-a250-ac1f6b442184</v>
      </c>
      <c r="AD1205" s="32">
        <v>4</v>
      </c>
      <c r="AE1205" s="3"/>
      <c r="AF1205" s="3" t="s">
        <v>136</v>
      </c>
      <c r="AG1205" s="3"/>
      <c r="AH1205" s="3" t="s">
        <v>56</v>
      </c>
      <c r="AI1205" s="3"/>
      <c r="AJ1205" s="3"/>
      <c r="AK1205" s="3" t="str">
        <f>HYPERLINK("https://knigipp.ru/api/getInfo/item/f044f25f-d2fd-11ea-a250-ac1f6b442184")</f>
        <v>https://knigipp.ru/api/getInfo/item/f044f25f-d2fd-11ea-a250-ac1f6b442184</v>
      </c>
      <c r="AL1205" s="3" t="s">
        <v>5114</v>
      </c>
    </row>
    <row r="1206" spans="1:38" ht="21" customHeight="1" outlineLevel="4" x14ac:dyDescent="0.2">
      <c r="A1206" s="2">
        <v>906</v>
      </c>
      <c r="B1206" s="3" t="s">
        <v>5115</v>
      </c>
      <c r="C1206" s="49" t="s">
        <v>5116</v>
      </c>
      <c r="D1206" s="49"/>
      <c r="E1206" s="49"/>
      <c r="F1206" s="49"/>
      <c r="G1206" s="4" t="s">
        <v>5117</v>
      </c>
      <c r="H1206" s="8"/>
      <c r="I1206" s="9" t="s">
        <v>5112</v>
      </c>
      <c r="J1206" s="10"/>
      <c r="K1206" s="11">
        <v>50</v>
      </c>
      <c r="L1206" s="10"/>
      <c r="M1206" s="10" t="s">
        <v>47</v>
      </c>
      <c r="N1206" s="10"/>
      <c r="O1206" s="2">
        <v>3</v>
      </c>
      <c r="P1206" s="17">
        <f>237*(1-S3/100)</f>
        <v>237</v>
      </c>
      <c r="Q1206" s="18"/>
      <c r="R1206" s="10">
        <f>P1206*Q1206</f>
        <v>0</v>
      </c>
      <c r="S1206" s="28">
        <f>0.07*Q1206</f>
        <v>0</v>
      </c>
      <c r="T1206" s="20">
        <f>0.00017*Q1206</f>
        <v>0</v>
      </c>
      <c r="U1206" s="21"/>
      <c r="V1206" s="22" t="s">
        <v>5118</v>
      </c>
      <c r="W1206" s="22" t="s">
        <v>191</v>
      </c>
      <c r="X1206" s="3"/>
      <c r="Y1206" s="3"/>
      <c r="Z1206" s="3" t="s">
        <v>52</v>
      </c>
      <c r="AA1206" s="3"/>
      <c r="AB1206" s="3"/>
      <c r="AC1206" s="3" t="str">
        <f>HYPERLINK("https://knigipp.ru/api/getInfo/image/d41a8c62-d2fd-11ea-a250-ac1f6b442184")</f>
        <v>https://knigipp.ru/api/getInfo/image/d41a8c62-d2fd-11ea-a250-ac1f6b442184</v>
      </c>
      <c r="AD1206" s="32">
        <v>4</v>
      </c>
      <c r="AE1206" s="3"/>
      <c r="AF1206" s="3" t="s">
        <v>136</v>
      </c>
      <c r="AG1206" s="3"/>
      <c r="AH1206" s="3" t="s">
        <v>56</v>
      </c>
      <c r="AI1206" s="3"/>
      <c r="AJ1206" s="3"/>
      <c r="AK1206" s="3" t="str">
        <f>HYPERLINK("https://knigipp.ru/api/getInfo/item/d41a8c62-d2fd-11ea-a250-ac1f6b442184")</f>
        <v>https://knigipp.ru/api/getInfo/item/d41a8c62-d2fd-11ea-a250-ac1f6b442184</v>
      </c>
      <c r="AL1206" s="3" t="s">
        <v>5114</v>
      </c>
    </row>
    <row r="1207" spans="1:38" ht="23.1" customHeight="1" outlineLevel="3" x14ac:dyDescent="0.2">
      <c r="A1207" s="48" t="s">
        <v>5119</v>
      </c>
      <c r="B1207" s="48"/>
      <c r="C1207" s="48"/>
      <c r="D1207" s="48"/>
      <c r="E1207" s="48"/>
      <c r="F1207" s="48"/>
    </row>
    <row r="1208" spans="1:38" ht="21" customHeight="1" outlineLevel="4" x14ac:dyDescent="0.2">
      <c r="A1208" s="2">
        <v>907</v>
      </c>
      <c r="B1208" s="3" t="s">
        <v>5120</v>
      </c>
      <c r="C1208" s="49" t="s">
        <v>5121</v>
      </c>
      <c r="D1208" s="49"/>
      <c r="E1208" s="49"/>
      <c r="F1208" s="49"/>
      <c r="G1208" s="4" t="s">
        <v>5122</v>
      </c>
      <c r="H1208" s="8"/>
      <c r="I1208" s="9" t="s">
        <v>5123</v>
      </c>
      <c r="J1208" s="10"/>
      <c r="K1208" s="11">
        <v>25</v>
      </c>
      <c r="L1208" s="10"/>
      <c r="M1208" s="10" t="s">
        <v>47</v>
      </c>
      <c r="N1208" s="10"/>
      <c r="O1208" s="2">
        <v>3</v>
      </c>
      <c r="P1208" s="17">
        <f>217*(1-S3/100)</f>
        <v>217</v>
      </c>
      <c r="Q1208" s="18"/>
      <c r="R1208" s="10">
        <f>P1208*Q1208</f>
        <v>0</v>
      </c>
      <c r="S1208" s="19">
        <f>0.087*Q1208</f>
        <v>0</v>
      </c>
      <c r="T1208" s="20">
        <f>0.00006*Q1208</f>
        <v>0</v>
      </c>
      <c r="U1208" s="21"/>
      <c r="V1208" s="22" t="s">
        <v>5124</v>
      </c>
      <c r="W1208" s="22" t="s">
        <v>49</v>
      </c>
      <c r="X1208" s="3"/>
      <c r="Y1208" s="3" t="s">
        <v>5125</v>
      </c>
      <c r="Z1208" s="3" t="s">
        <v>52</v>
      </c>
      <c r="AA1208" s="3"/>
      <c r="AB1208" s="3"/>
      <c r="AC1208" s="3" t="str">
        <f>HYPERLINK("https://knigipp.ru/api/getInfo/image/ef438aeb-8412-11f0-a284-00155d82e908")</f>
        <v>https://knigipp.ru/api/getInfo/image/ef438aeb-8412-11f0-a284-00155d82e908</v>
      </c>
      <c r="AD1208" s="32">
        <v>16</v>
      </c>
      <c r="AE1208" s="3"/>
      <c r="AF1208" s="3" t="s">
        <v>136</v>
      </c>
      <c r="AG1208" s="3"/>
      <c r="AH1208" s="3" t="s">
        <v>56</v>
      </c>
      <c r="AI1208" s="3"/>
      <c r="AJ1208" s="3"/>
      <c r="AK1208" s="3" t="str">
        <f>HYPERLINK("https://knigipp.ru/api/getInfo/item/ef438aeb-8412-11f0-a284-00155d82e908")</f>
        <v>https://knigipp.ru/api/getInfo/item/ef438aeb-8412-11f0-a284-00155d82e908</v>
      </c>
      <c r="AL1208" s="3" t="s">
        <v>1207</v>
      </c>
    </row>
    <row r="1209" spans="1:38" ht="21" customHeight="1" outlineLevel="4" x14ac:dyDescent="0.2">
      <c r="A1209" s="2">
        <v>908</v>
      </c>
      <c r="B1209" s="3" t="s">
        <v>5126</v>
      </c>
      <c r="C1209" s="49" t="s">
        <v>5127</v>
      </c>
      <c r="D1209" s="49"/>
      <c r="E1209" s="49"/>
      <c r="F1209" s="49"/>
      <c r="G1209" s="4" t="s">
        <v>5128</v>
      </c>
      <c r="H1209" s="8"/>
      <c r="I1209" s="9" t="s">
        <v>5123</v>
      </c>
      <c r="J1209" s="10"/>
      <c r="K1209" s="11">
        <v>25</v>
      </c>
      <c r="L1209" s="10"/>
      <c r="M1209" s="10" t="s">
        <v>47</v>
      </c>
      <c r="N1209" s="10"/>
      <c r="O1209" s="2">
        <v>3</v>
      </c>
      <c r="P1209" s="17">
        <f>217*(1-S3/100)</f>
        <v>217</v>
      </c>
      <c r="Q1209" s="18"/>
      <c r="R1209" s="10">
        <f>P1209*Q1209</f>
        <v>0</v>
      </c>
      <c r="S1209" s="19">
        <f>0.081*Q1209</f>
        <v>0</v>
      </c>
      <c r="T1209" s="20">
        <f>0.00011*Q1209</f>
        <v>0</v>
      </c>
      <c r="U1209" s="21"/>
      <c r="V1209" s="22" t="s">
        <v>5129</v>
      </c>
      <c r="W1209" s="22" t="s">
        <v>49</v>
      </c>
      <c r="X1209" s="3"/>
      <c r="Y1209" s="3" t="s">
        <v>5130</v>
      </c>
      <c r="Z1209" s="3" t="s">
        <v>52</v>
      </c>
      <c r="AA1209" s="3"/>
      <c r="AB1209" s="3"/>
      <c r="AC1209" s="3" t="str">
        <f>HYPERLINK("https://knigipp.ru/api/getInfo/image/0d710387-8413-11f0-a284-00155d82e908")</f>
        <v>https://knigipp.ru/api/getInfo/image/0d710387-8413-11f0-a284-00155d82e908</v>
      </c>
      <c r="AD1209" s="32">
        <v>16</v>
      </c>
      <c r="AE1209" s="3"/>
      <c r="AF1209" s="3" t="s">
        <v>136</v>
      </c>
      <c r="AG1209" s="3"/>
      <c r="AH1209" s="3" t="s">
        <v>56</v>
      </c>
      <c r="AI1209" s="3"/>
      <c r="AJ1209" s="3"/>
      <c r="AK1209" s="3" t="str">
        <f>HYPERLINK("https://knigipp.ru/api/getInfo/item/0d710387-8413-11f0-a284-00155d82e908")</f>
        <v>https://knigipp.ru/api/getInfo/item/0d710387-8413-11f0-a284-00155d82e908</v>
      </c>
      <c r="AL1209" s="3" t="s">
        <v>1207</v>
      </c>
    </row>
    <row r="1210" spans="1:38" ht="21" customHeight="1" outlineLevel="4" x14ac:dyDescent="0.2">
      <c r="A1210" s="2">
        <v>909</v>
      </c>
      <c r="B1210" s="3" t="s">
        <v>5131</v>
      </c>
      <c r="C1210" s="49" t="s">
        <v>5132</v>
      </c>
      <c r="D1210" s="49"/>
      <c r="E1210" s="49"/>
      <c r="F1210" s="49"/>
      <c r="G1210" s="4" t="s">
        <v>5133</v>
      </c>
      <c r="H1210" s="8"/>
      <c r="I1210" s="9" t="s">
        <v>5123</v>
      </c>
      <c r="J1210" s="10"/>
      <c r="K1210" s="11">
        <v>25</v>
      </c>
      <c r="L1210" s="10"/>
      <c r="M1210" s="10" t="s">
        <v>47</v>
      </c>
      <c r="N1210" s="10"/>
      <c r="O1210" s="2">
        <v>3</v>
      </c>
      <c r="P1210" s="17">
        <f>217*(1-S3/100)</f>
        <v>217</v>
      </c>
      <c r="Q1210" s="18"/>
      <c r="R1210" s="10">
        <f>P1210*Q1210</f>
        <v>0</v>
      </c>
      <c r="S1210" s="19">
        <f>0.083*Q1210</f>
        <v>0</v>
      </c>
      <c r="T1210" s="20">
        <f>0.00022*Q1210</f>
        <v>0</v>
      </c>
      <c r="U1210" s="21"/>
      <c r="V1210" s="22" t="s">
        <v>5134</v>
      </c>
      <c r="W1210" s="22" t="s">
        <v>49</v>
      </c>
      <c r="X1210" s="3"/>
      <c r="Y1210" s="3" t="s">
        <v>5135</v>
      </c>
      <c r="Z1210" s="3" t="s">
        <v>52</v>
      </c>
      <c r="AA1210" s="3"/>
      <c r="AB1210" s="3"/>
      <c r="AC1210" s="3" t="str">
        <f>HYPERLINK("https://knigipp.ru/api/getInfo/image/2a912a0b-8413-11f0-a284-00155d82e908")</f>
        <v>https://knigipp.ru/api/getInfo/image/2a912a0b-8413-11f0-a284-00155d82e908</v>
      </c>
      <c r="AD1210" s="32">
        <v>16</v>
      </c>
      <c r="AE1210" s="3"/>
      <c r="AF1210" s="3" t="s">
        <v>136</v>
      </c>
      <c r="AG1210" s="3"/>
      <c r="AH1210" s="3" t="s">
        <v>56</v>
      </c>
      <c r="AI1210" s="3"/>
      <c r="AJ1210" s="3"/>
      <c r="AK1210" s="3" t="str">
        <f>HYPERLINK("https://knigipp.ru/api/getInfo/item/2a912a0b-8413-11f0-a284-00155d82e908")</f>
        <v>https://knigipp.ru/api/getInfo/item/2a912a0b-8413-11f0-a284-00155d82e908</v>
      </c>
      <c r="AL1210" s="3" t="s">
        <v>1207</v>
      </c>
    </row>
    <row r="1211" spans="1:38" ht="21" customHeight="1" outlineLevel="4" x14ac:dyDescent="0.2">
      <c r="A1211" s="2">
        <v>910</v>
      </c>
      <c r="B1211" s="3" t="s">
        <v>5136</v>
      </c>
      <c r="C1211" s="49" t="s">
        <v>5137</v>
      </c>
      <c r="D1211" s="49"/>
      <c r="E1211" s="49"/>
      <c r="F1211" s="49"/>
      <c r="G1211" s="4" t="s">
        <v>5138</v>
      </c>
      <c r="H1211" s="8"/>
      <c r="I1211" s="9" t="s">
        <v>5123</v>
      </c>
      <c r="J1211" s="10"/>
      <c r="K1211" s="11">
        <v>25</v>
      </c>
      <c r="L1211" s="10"/>
      <c r="M1211" s="10" t="s">
        <v>47</v>
      </c>
      <c r="N1211" s="10"/>
      <c r="O1211" s="2">
        <v>3</v>
      </c>
      <c r="P1211" s="17">
        <f>217*(1-S3/100)</f>
        <v>217</v>
      </c>
      <c r="Q1211" s="18"/>
      <c r="R1211" s="10">
        <f>P1211*Q1211</f>
        <v>0</v>
      </c>
      <c r="S1211" s="19">
        <f>0.084*Q1211</f>
        <v>0</v>
      </c>
      <c r="T1211" s="20">
        <f>0.00017*Q1211</f>
        <v>0</v>
      </c>
      <c r="U1211" s="21"/>
      <c r="V1211" s="22" t="s">
        <v>5139</v>
      </c>
      <c r="W1211" s="22" t="s">
        <v>49</v>
      </c>
      <c r="X1211" s="3"/>
      <c r="Y1211" s="3" t="s">
        <v>5140</v>
      </c>
      <c r="Z1211" s="3" t="s">
        <v>52</v>
      </c>
      <c r="AA1211" s="3"/>
      <c r="AB1211" s="3"/>
      <c r="AC1211" s="3" t="str">
        <f>HYPERLINK("https://knigipp.ru/api/getInfo/image/cbee0481-8412-11f0-a284-00155d82e908")</f>
        <v>https://knigipp.ru/api/getInfo/image/cbee0481-8412-11f0-a284-00155d82e908</v>
      </c>
      <c r="AD1211" s="32">
        <v>16</v>
      </c>
      <c r="AE1211" s="3"/>
      <c r="AF1211" s="3" t="s">
        <v>136</v>
      </c>
      <c r="AG1211" s="3"/>
      <c r="AH1211" s="3" t="s">
        <v>56</v>
      </c>
      <c r="AI1211" s="3"/>
      <c r="AJ1211" s="3"/>
      <c r="AK1211" s="3" t="str">
        <f>HYPERLINK("https://knigipp.ru/api/getInfo/item/cbee0481-8412-11f0-a284-00155d82e908")</f>
        <v>https://knigipp.ru/api/getInfo/item/cbee0481-8412-11f0-a284-00155d82e908</v>
      </c>
      <c r="AL1211" s="3" t="s">
        <v>1207</v>
      </c>
    </row>
    <row r="1212" spans="1:38" ht="23.1" customHeight="1" outlineLevel="3" x14ac:dyDescent="0.2">
      <c r="A1212" s="48" t="s">
        <v>5141</v>
      </c>
      <c r="B1212" s="48"/>
      <c r="C1212" s="48"/>
      <c r="D1212" s="48"/>
      <c r="E1212" s="48"/>
      <c r="F1212" s="48"/>
    </row>
    <row r="1213" spans="1:38" ht="21" customHeight="1" outlineLevel="4" x14ac:dyDescent="0.2">
      <c r="A1213" s="2">
        <v>911</v>
      </c>
      <c r="B1213" s="3" t="s">
        <v>5142</v>
      </c>
      <c r="C1213" s="49" t="s">
        <v>5143</v>
      </c>
      <c r="D1213" s="49"/>
      <c r="E1213" s="49"/>
      <c r="F1213" s="49"/>
      <c r="G1213" s="4" t="s">
        <v>5144</v>
      </c>
      <c r="H1213" s="8"/>
      <c r="I1213" s="9" t="s">
        <v>5145</v>
      </c>
      <c r="J1213" s="10"/>
      <c r="K1213" s="11">
        <v>30</v>
      </c>
      <c r="L1213" s="10"/>
      <c r="M1213" s="10" t="s">
        <v>304</v>
      </c>
      <c r="N1213" s="10"/>
      <c r="O1213" s="2">
        <v>7</v>
      </c>
      <c r="P1213" s="17">
        <f>99*(1-S3/100)</f>
        <v>99</v>
      </c>
      <c r="Q1213" s="18"/>
      <c r="R1213" s="10">
        <f>P1213*Q1213</f>
        <v>0</v>
      </c>
      <c r="S1213" s="19">
        <f>0.046*Q1213</f>
        <v>0</v>
      </c>
      <c r="T1213" s="20">
        <f>0.00008*Q1213</f>
        <v>0</v>
      </c>
      <c r="U1213" s="21"/>
      <c r="V1213" s="22" t="s">
        <v>5146</v>
      </c>
      <c r="W1213" s="22" t="s">
        <v>49</v>
      </c>
      <c r="X1213" s="3"/>
      <c r="Y1213" s="3" t="s">
        <v>5147</v>
      </c>
      <c r="Z1213" s="3" t="s">
        <v>52</v>
      </c>
      <c r="AA1213" s="3"/>
      <c r="AB1213" s="3"/>
      <c r="AC1213" s="3" t="str">
        <f>HYPERLINK("https://knigipp.ru/api/getInfo/image/864abaf4-3d5c-11f0-a27c-00155d82e908")</f>
        <v>https://knigipp.ru/api/getInfo/image/864abaf4-3d5c-11f0-a27c-00155d82e908</v>
      </c>
      <c r="AD1213" s="32">
        <v>40</v>
      </c>
      <c r="AE1213" s="3"/>
      <c r="AF1213" s="3" t="s">
        <v>136</v>
      </c>
      <c r="AG1213" s="3"/>
      <c r="AH1213" s="3" t="s">
        <v>56</v>
      </c>
      <c r="AI1213" s="3"/>
      <c r="AJ1213" s="3"/>
      <c r="AK1213" s="3" t="str">
        <f>HYPERLINK("https://knigipp.ru/api/getInfo/item/864abaf4-3d5c-11f0-a27c-00155d82e908")</f>
        <v>https://knigipp.ru/api/getInfo/item/864abaf4-3d5c-11f0-a27c-00155d82e908</v>
      </c>
      <c r="AL1213" s="3" t="s">
        <v>5148</v>
      </c>
    </row>
    <row r="1214" spans="1:38" ht="23.1" customHeight="1" outlineLevel="2" x14ac:dyDescent="0.2">
      <c r="A1214" s="47" t="s">
        <v>5149</v>
      </c>
      <c r="B1214" s="47"/>
      <c r="C1214" s="47"/>
      <c r="D1214" s="47"/>
      <c r="E1214" s="47"/>
      <c r="F1214" s="47"/>
    </row>
    <row r="1215" spans="1:38" ht="23.1" customHeight="1" outlineLevel="3" x14ac:dyDescent="0.2">
      <c r="A1215" s="48" t="s">
        <v>5150</v>
      </c>
      <c r="B1215" s="48"/>
      <c r="C1215" s="48"/>
      <c r="D1215" s="48"/>
      <c r="E1215" s="48"/>
      <c r="F1215" s="48"/>
    </row>
    <row r="1216" spans="1:38" ht="21" customHeight="1" outlineLevel="4" x14ac:dyDescent="0.2">
      <c r="A1216" s="2">
        <v>912</v>
      </c>
      <c r="B1216" s="3" t="s">
        <v>5151</v>
      </c>
      <c r="C1216" s="49" t="s">
        <v>5152</v>
      </c>
      <c r="D1216" s="49"/>
      <c r="E1216" s="49"/>
      <c r="F1216" s="49"/>
      <c r="G1216" s="4" t="s">
        <v>5153</v>
      </c>
      <c r="H1216" s="8"/>
      <c r="I1216" s="9" t="s">
        <v>5154</v>
      </c>
      <c r="J1216" s="10"/>
      <c r="K1216" s="11">
        <v>50</v>
      </c>
      <c r="L1216" s="10"/>
      <c r="M1216" s="10" t="s">
        <v>47</v>
      </c>
      <c r="N1216" s="10"/>
      <c r="O1216" s="2">
        <v>10</v>
      </c>
      <c r="P1216" s="17">
        <f>62.66*(1-S3/100)</f>
        <v>62.66</v>
      </c>
      <c r="Q1216" s="18"/>
      <c r="R1216" s="10">
        <f>P1216*Q1216</f>
        <v>0</v>
      </c>
      <c r="S1216" s="19">
        <f>0.066*Q1216</f>
        <v>0</v>
      </c>
      <c r="T1216" s="20">
        <f>0.00011*Q1216</f>
        <v>0</v>
      </c>
      <c r="U1216" s="21"/>
      <c r="V1216" s="22" t="s">
        <v>5155</v>
      </c>
      <c r="W1216" s="22" t="s">
        <v>49</v>
      </c>
      <c r="X1216" s="3"/>
      <c r="Y1216" s="3"/>
      <c r="Z1216" s="3" t="s">
        <v>52</v>
      </c>
      <c r="AA1216" s="3" t="s">
        <v>5156</v>
      </c>
      <c r="AB1216" s="3"/>
      <c r="AC1216" s="3" t="str">
        <f>HYPERLINK("https://knigipp.ru/api/getInfo/image/1d575b0c-d04c-11e7-9263-5cf3fc4a2490")</f>
        <v>https://knigipp.ru/api/getInfo/image/1d575b0c-d04c-11e7-9263-5cf3fc4a2490</v>
      </c>
      <c r="AD1216" s="32">
        <v>16</v>
      </c>
      <c r="AE1216" s="3"/>
      <c r="AF1216" s="3" t="s">
        <v>136</v>
      </c>
      <c r="AG1216" s="3"/>
      <c r="AH1216" s="3" t="s">
        <v>56</v>
      </c>
      <c r="AI1216" s="3"/>
      <c r="AJ1216" s="3" t="s">
        <v>5157</v>
      </c>
      <c r="AK1216" s="3" t="str">
        <f>HYPERLINK("https://knigipp.ru/api/getInfo/item/1d575b0c-d04c-11e7-9263-5cf3fc4a2490")</f>
        <v>https://knigipp.ru/api/getInfo/item/1d575b0c-d04c-11e7-9263-5cf3fc4a2490</v>
      </c>
      <c r="AL1216" s="3" t="s">
        <v>1155</v>
      </c>
    </row>
    <row r="1217" spans="1:38" ht="21" customHeight="1" outlineLevel="4" x14ac:dyDescent="0.2">
      <c r="A1217" s="2">
        <v>913</v>
      </c>
      <c r="B1217" s="3" t="s">
        <v>5158</v>
      </c>
      <c r="C1217" s="49" t="s">
        <v>5159</v>
      </c>
      <c r="D1217" s="49"/>
      <c r="E1217" s="49"/>
      <c r="F1217" s="49"/>
      <c r="G1217" s="4" t="s">
        <v>5160</v>
      </c>
      <c r="H1217" s="8"/>
      <c r="I1217" s="9" t="s">
        <v>5154</v>
      </c>
      <c r="J1217" s="10"/>
      <c r="K1217" s="11">
        <v>50</v>
      </c>
      <c r="L1217" s="10"/>
      <c r="M1217" s="10" t="s">
        <v>47</v>
      </c>
      <c r="N1217" s="10"/>
      <c r="O1217" s="2">
        <v>10</v>
      </c>
      <c r="P1217" s="17">
        <f>62.66*(1-S3/100)</f>
        <v>62.66</v>
      </c>
      <c r="Q1217" s="18"/>
      <c r="R1217" s="10">
        <f>P1217*Q1217</f>
        <v>0</v>
      </c>
      <c r="S1217" s="19">
        <f>0.066*Q1217</f>
        <v>0</v>
      </c>
      <c r="T1217" s="20">
        <f>0.00011*Q1217</f>
        <v>0</v>
      </c>
      <c r="U1217" s="21"/>
      <c r="V1217" s="22" t="s">
        <v>5161</v>
      </c>
      <c r="W1217" s="22" t="s">
        <v>49</v>
      </c>
      <c r="X1217" s="3"/>
      <c r="Y1217" s="3"/>
      <c r="Z1217" s="3" t="s">
        <v>52</v>
      </c>
      <c r="AA1217" s="3" t="s">
        <v>5156</v>
      </c>
      <c r="AB1217" s="3"/>
      <c r="AC1217" s="3" t="str">
        <f>HYPERLINK("https://knigipp.ru/api/getInfo/image/23baa64f-d04c-11e7-9263-5cf3fc4a2490")</f>
        <v>https://knigipp.ru/api/getInfo/image/23baa64f-d04c-11e7-9263-5cf3fc4a2490</v>
      </c>
      <c r="AD1217" s="32">
        <v>16</v>
      </c>
      <c r="AE1217" s="3"/>
      <c r="AF1217" s="3" t="s">
        <v>136</v>
      </c>
      <c r="AG1217" s="3"/>
      <c r="AH1217" s="3" t="s">
        <v>56</v>
      </c>
      <c r="AI1217" s="3"/>
      <c r="AJ1217" s="3" t="s">
        <v>5157</v>
      </c>
      <c r="AK1217" s="3" t="str">
        <f>HYPERLINK("https://knigipp.ru/api/getInfo/item/23baa64f-d04c-11e7-9263-5cf3fc4a2490")</f>
        <v>https://knigipp.ru/api/getInfo/item/23baa64f-d04c-11e7-9263-5cf3fc4a2490</v>
      </c>
      <c r="AL1217" s="3" t="s">
        <v>1155</v>
      </c>
    </row>
    <row r="1218" spans="1:38" ht="23.1" customHeight="1" outlineLevel="3" x14ac:dyDescent="0.2">
      <c r="A1218" s="48" t="s">
        <v>5162</v>
      </c>
      <c r="B1218" s="48"/>
      <c r="C1218" s="48"/>
      <c r="D1218" s="48"/>
      <c r="E1218" s="48"/>
      <c r="F1218" s="48"/>
    </row>
    <row r="1219" spans="1:38" ht="21" customHeight="1" outlineLevel="4" x14ac:dyDescent="0.2">
      <c r="A1219" s="2">
        <v>914</v>
      </c>
      <c r="B1219" s="3" t="s">
        <v>5163</v>
      </c>
      <c r="C1219" s="49" t="s">
        <v>5164</v>
      </c>
      <c r="D1219" s="49"/>
      <c r="E1219" s="49"/>
      <c r="F1219" s="49"/>
      <c r="G1219" s="4" t="s">
        <v>5165</v>
      </c>
      <c r="H1219" s="8"/>
      <c r="I1219" s="9" t="s">
        <v>5166</v>
      </c>
      <c r="J1219" s="10"/>
      <c r="K1219" s="11">
        <v>50</v>
      </c>
      <c r="L1219" s="10"/>
      <c r="M1219" s="10" t="s">
        <v>47</v>
      </c>
      <c r="N1219" s="10"/>
      <c r="O1219" s="2">
        <v>20</v>
      </c>
      <c r="P1219" s="17">
        <f>38.4*(1-S3/100)</f>
        <v>38.4</v>
      </c>
      <c r="Q1219" s="18"/>
      <c r="R1219" s="10">
        <f>P1219*Q1219</f>
        <v>0</v>
      </c>
      <c r="S1219" s="19">
        <f>0.036*Q1219</f>
        <v>0</v>
      </c>
      <c r="T1219" s="30">
        <f>0.0001*Q1219</f>
        <v>0</v>
      </c>
      <c r="U1219" s="21"/>
      <c r="V1219" s="22" t="s">
        <v>5167</v>
      </c>
      <c r="W1219" s="22" t="s">
        <v>49</v>
      </c>
      <c r="X1219" s="3"/>
      <c r="Y1219" s="3"/>
      <c r="Z1219" s="3" t="s">
        <v>52</v>
      </c>
      <c r="AA1219" s="3"/>
      <c r="AB1219" s="3"/>
      <c r="AC1219" s="3" t="str">
        <f>HYPERLINK("https://knigipp.ru/api/getInfo/image/14a462d0-2f27-11eb-a25d-ac1f6b442184")</f>
        <v>https://knigipp.ru/api/getInfo/image/14a462d0-2f27-11eb-a25d-ac1f6b442184</v>
      </c>
      <c r="AD1219" s="32">
        <v>16</v>
      </c>
      <c r="AE1219" s="3"/>
      <c r="AF1219" s="3" t="s">
        <v>136</v>
      </c>
      <c r="AG1219" s="3"/>
      <c r="AH1219" s="3" t="s">
        <v>56</v>
      </c>
      <c r="AI1219" s="3"/>
      <c r="AJ1219" s="3"/>
      <c r="AK1219" s="3" t="str">
        <f>HYPERLINK("https://knigipp.ru/api/getInfo/item/14a462d0-2f27-11eb-a25d-ac1f6b442184")</f>
        <v>https://knigipp.ru/api/getInfo/item/14a462d0-2f27-11eb-a25d-ac1f6b442184</v>
      </c>
      <c r="AL1219" s="3" t="s">
        <v>5168</v>
      </c>
    </row>
    <row r="1220" spans="1:38" ht="23.1" customHeight="1" outlineLevel="3" x14ac:dyDescent="0.2">
      <c r="A1220" s="48" t="s">
        <v>5169</v>
      </c>
      <c r="B1220" s="48"/>
      <c r="C1220" s="48"/>
      <c r="D1220" s="48"/>
      <c r="E1220" s="48"/>
      <c r="F1220" s="48"/>
    </row>
    <row r="1221" spans="1:38" ht="21" customHeight="1" outlineLevel="4" x14ac:dyDescent="0.2">
      <c r="A1221" s="2">
        <v>915</v>
      </c>
      <c r="B1221" s="3" t="s">
        <v>5170</v>
      </c>
      <c r="C1221" s="49" t="s">
        <v>5171</v>
      </c>
      <c r="D1221" s="49"/>
      <c r="E1221" s="49"/>
      <c r="F1221" s="49"/>
      <c r="G1221" s="4" t="s">
        <v>5172</v>
      </c>
      <c r="H1221" s="8"/>
      <c r="I1221" s="9" t="s">
        <v>5173</v>
      </c>
      <c r="J1221" s="10"/>
      <c r="K1221" s="11">
        <v>20</v>
      </c>
      <c r="L1221" s="10"/>
      <c r="M1221" s="10" t="s">
        <v>304</v>
      </c>
      <c r="N1221" s="10"/>
      <c r="O1221" s="2">
        <v>3</v>
      </c>
      <c r="P1221" s="17">
        <f>201.55*(1-S3/100)</f>
        <v>201.55</v>
      </c>
      <c r="Q1221" s="18"/>
      <c r="R1221" s="10">
        <f t="shared" ref="R1221:R1228" si="45">P1221*Q1221</f>
        <v>0</v>
      </c>
      <c r="S1221" s="28">
        <f t="shared" ref="S1221:S1228" si="46">0.25*Q1221</f>
        <v>0</v>
      </c>
      <c r="T1221" s="20">
        <f t="shared" ref="T1221:T1228" si="47">0.00155*Q1221</f>
        <v>0</v>
      </c>
      <c r="U1221" s="21"/>
      <c r="V1221" s="22" t="s">
        <v>5174</v>
      </c>
      <c r="W1221" s="22" t="s">
        <v>49</v>
      </c>
      <c r="X1221" s="3"/>
      <c r="Y1221" s="3"/>
      <c r="Z1221" s="3" t="s">
        <v>52</v>
      </c>
      <c r="AA1221" s="3"/>
      <c r="AB1221" s="3"/>
      <c r="AC1221" s="3" t="str">
        <f>HYPERLINK("https://knigipp.ru/api/getInfo/image/4da98639-03d8-11eb-a255-ac1f6b442184")</f>
        <v>https://knigipp.ru/api/getInfo/image/4da98639-03d8-11eb-a255-ac1f6b442184</v>
      </c>
      <c r="AD1221" s="32">
        <v>48</v>
      </c>
      <c r="AE1221" s="3"/>
      <c r="AF1221" s="3" t="s">
        <v>136</v>
      </c>
      <c r="AG1221" s="3"/>
      <c r="AH1221" s="3" t="s">
        <v>56</v>
      </c>
      <c r="AI1221" s="3"/>
      <c r="AJ1221" s="3"/>
      <c r="AK1221" s="3" t="str">
        <f>HYPERLINK("https://knigipp.ru/api/getInfo/item/4da98639-03d8-11eb-a255-ac1f6b442184")</f>
        <v>https://knigipp.ru/api/getInfo/item/4da98639-03d8-11eb-a255-ac1f6b442184</v>
      </c>
      <c r="AL1221" s="3" t="s">
        <v>621</v>
      </c>
    </row>
    <row r="1222" spans="1:38" ht="21" customHeight="1" outlineLevel="4" x14ac:dyDescent="0.2">
      <c r="A1222" s="2">
        <v>916</v>
      </c>
      <c r="B1222" s="3" t="s">
        <v>5175</v>
      </c>
      <c r="C1222" s="49" t="s">
        <v>5176</v>
      </c>
      <c r="D1222" s="49"/>
      <c r="E1222" s="49"/>
      <c r="F1222" s="49"/>
      <c r="G1222" s="4" t="s">
        <v>5177</v>
      </c>
      <c r="H1222" s="8"/>
      <c r="I1222" s="9" t="s">
        <v>5173</v>
      </c>
      <c r="J1222" s="10"/>
      <c r="K1222" s="11">
        <v>20</v>
      </c>
      <c r="L1222" s="10"/>
      <c r="M1222" s="10" t="s">
        <v>78</v>
      </c>
      <c r="N1222" s="10"/>
      <c r="O1222" s="2">
        <v>3</v>
      </c>
      <c r="P1222" s="17">
        <f>201.55*(1-S3/100)</f>
        <v>201.55</v>
      </c>
      <c r="Q1222" s="18"/>
      <c r="R1222" s="10">
        <f t="shared" si="45"/>
        <v>0</v>
      </c>
      <c r="S1222" s="28">
        <f t="shared" si="46"/>
        <v>0</v>
      </c>
      <c r="T1222" s="20">
        <f t="shared" si="47"/>
        <v>0</v>
      </c>
      <c r="U1222" s="21"/>
      <c r="V1222" s="22" t="s">
        <v>5178</v>
      </c>
      <c r="W1222" s="22" t="s">
        <v>49</v>
      </c>
      <c r="X1222" s="3"/>
      <c r="Y1222" s="3"/>
      <c r="Z1222" s="3" t="s">
        <v>52</v>
      </c>
      <c r="AA1222" s="3"/>
      <c r="AB1222" s="3"/>
      <c r="AC1222" s="3" t="str">
        <f>HYPERLINK("https://knigipp.ru/api/getInfo/image/26fd9f55-03d8-11eb-a255-ac1f6b442184")</f>
        <v>https://knigipp.ru/api/getInfo/image/26fd9f55-03d8-11eb-a255-ac1f6b442184</v>
      </c>
      <c r="AD1222" s="32">
        <v>48</v>
      </c>
      <c r="AE1222" s="3"/>
      <c r="AF1222" s="3" t="s">
        <v>136</v>
      </c>
      <c r="AG1222" s="3"/>
      <c r="AH1222" s="3" t="s">
        <v>56</v>
      </c>
      <c r="AI1222" s="3"/>
      <c r="AJ1222" s="3"/>
      <c r="AK1222" s="3" t="str">
        <f>HYPERLINK("https://knigipp.ru/api/getInfo/item/26fd9f55-03d8-11eb-a255-ac1f6b442184")</f>
        <v>https://knigipp.ru/api/getInfo/item/26fd9f55-03d8-11eb-a255-ac1f6b442184</v>
      </c>
      <c r="AL1222" s="3" t="s">
        <v>621</v>
      </c>
    </row>
    <row r="1223" spans="1:38" ht="21" customHeight="1" outlineLevel="4" x14ac:dyDescent="0.2">
      <c r="A1223" s="2">
        <v>917</v>
      </c>
      <c r="B1223" s="3" t="s">
        <v>5179</v>
      </c>
      <c r="C1223" s="49" t="s">
        <v>5180</v>
      </c>
      <c r="D1223" s="49"/>
      <c r="E1223" s="49"/>
      <c r="F1223" s="49"/>
      <c r="G1223" s="4" t="s">
        <v>5181</v>
      </c>
      <c r="H1223" s="8"/>
      <c r="I1223" s="9" t="s">
        <v>5173</v>
      </c>
      <c r="J1223" s="10"/>
      <c r="K1223" s="11">
        <v>20</v>
      </c>
      <c r="L1223" s="10"/>
      <c r="M1223" s="10" t="s">
        <v>304</v>
      </c>
      <c r="N1223" s="10"/>
      <c r="O1223" s="2">
        <v>3</v>
      </c>
      <c r="P1223" s="17">
        <f>201.55*(1-S3/100)</f>
        <v>201.55</v>
      </c>
      <c r="Q1223" s="18"/>
      <c r="R1223" s="10">
        <f t="shared" si="45"/>
        <v>0</v>
      </c>
      <c r="S1223" s="28">
        <f t="shared" si="46"/>
        <v>0</v>
      </c>
      <c r="T1223" s="20">
        <f t="shared" si="47"/>
        <v>0</v>
      </c>
      <c r="U1223" s="21"/>
      <c r="V1223" s="22" t="s">
        <v>5182</v>
      </c>
      <c r="W1223" s="22" t="s">
        <v>49</v>
      </c>
      <c r="X1223" s="3"/>
      <c r="Y1223" s="3"/>
      <c r="Z1223" s="3" t="s">
        <v>52</v>
      </c>
      <c r="AA1223" s="3"/>
      <c r="AB1223" s="3"/>
      <c r="AC1223" s="3" t="str">
        <f>HYPERLINK("https://knigipp.ru/api/getInfo/image/0ecbd671-03d8-11eb-a255-ac1f6b442184")</f>
        <v>https://knigipp.ru/api/getInfo/image/0ecbd671-03d8-11eb-a255-ac1f6b442184</v>
      </c>
      <c r="AD1223" s="32">
        <v>48</v>
      </c>
      <c r="AE1223" s="3"/>
      <c r="AF1223" s="3" t="s">
        <v>136</v>
      </c>
      <c r="AG1223" s="3"/>
      <c r="AH1223" s="3" t="s">
        <v>56</v>
      </c>
      <c r="AI1223" s="3"/>
      <c r="AJ1223" s="3"/>
      <c r="AK1223" s="3" t="str">
        <f>HYPERLINK("https://knigipp.ru/api/getInfo/item/0ecbd671-03d8-11eb-a255-ac1f6b442184")</f>
        <v>https://knigipp.ru/api/getInfo/item/0ecbd671-03d8-11eb-a255-ac1f6b442184</v>
      </c>
      <c r="AL1223" s="3" t="s">
        <v>621</v>
      </c>
    </row>
    <row r="1224" spans="1:38" ht="21" customHeight="1" outlineLevel="4" x14ac:dyDescent="0.2">
      <c r="A1224" s="2">
        <v>918</v>
      </c>
      <c r="B1224" s="3" t="s">
        <v>5183</v>
      </c>
      <c r="C1224" s="49" t="s">
        <v>5184</v>
      </c>
      <c r="D1224" s="49"/>
      <c r="E1224" s="49"/>
      <c r="F1224" s="49"/>
      <c r="G1224" s="4" t="s">
        <v>5185</v>
      </c>
      <c r="H1224" s="8"/>
      <c r="I1224" s="9" t="s">
        <v>5173</v>
      </c>
      <c r="J1224" s="10"/>
      <c r="K1224" s="11">
        <v>20</v>
      </c>
      <c r="L1224" s="10"/>
      <c r="M1224" s="10" t="s">
        <v>47</v>
      </c>
      <c r="N1224" s="10"/>
      <c r="O1224" s="2">
        <v>3</v>
      </c>
      <c r="P1224" s="17">
        <f>201.55*(1-S3/100)</f>
        <v>201.55</v>
      </c>
      <c r="Q1224" s="18"/>
      <c r="R1224" s="10">
        <f t="shared" si="45"/>
        <v>0</v>
      </c>
      <c r="S1224" s="28">
        <f t="shared" si="46"/>
        <v>0</v>
      </c>
      <c r="T1224" s="20">
        <f t="shared" si="47"/>
        <v>0</v>
      </c>
      <c r="U1224" s="21"/>
      <c r="V1224" s="22" t="s">
        <v>5186</v>
      </c>
      <c r="W1224" s="22" t="s">
        <v>49</v>
      </c>
      <c r="X1224" s="3"/>
      <c r="Y1224" s="3"/>
      <c r="Z1224" s="3" t="s">
        <v>52</v>
      </c>
      <c r="AA1224" s="3"/>
      <c r="AB1224" s="3"/>
      <c r="AC1224" s="3" t="str">
        <f>HYPERLINK("https://knigipp.ru/api/getInfo/image/fd54791b-03d7-11eb-a255-ac1f6b442184")</f>
        <v>https://knigipp.ru/api/getInfo/image/fd54791b-03d7-11eb-a255-ac1f6b442184</v>
      </c>
      <c r="AD1224" s="32">
        <v>48</v>
      </c>
      <c r="AE1224" s="3"/>
      <c r="AF1224" s="3" t="s">
        <v>136</v>
      </c>
      <c r="AG1224" s="3"/>
      <c r="AH1224" s="3" t="s">
        <v>56</v>
      </c>
      <c r="AI1224" s="3"/>
      <c r="AJ1224" s="3"/>
      <c r="AK1224" s="3" t="str">
        <f>HYPERLINK("https://knigipp.ru/api/getInfo/item/fd54791b-03d7-11eb-a255-ac1f6b442184")</f>
        <v>https://knigipp.ru/api/getInfo/item/fd54791b-03d7-11eb-a255-ac1f6b442184</v>
      </c>
      <c r="AL1224" s="3" t="s">
        <v>621</v>
      </c>
    </row>
    <row r="1225" spans="1:38" ht="21" customHeight="1" outlineLevel="4" x14ac:dyDescent="0.2">
      <c r="A1225" s="2">
        <v>919</v>
      </c>
      <c r="B1225" s="3" t="s">
        <v>5187</v>
      </c>
      <c r="C1225" s="49" t="s">
        <v>5188</v>
      </c>
      <c r="D1225" s="49"/>
      <c r="E1225" s="49"/>
      <c r="F1225" s="49"/>
      <c r="G1225" s="4" t="s">
        <v>5189</v>
      </c>
      <c r="H1225" s="8"/>
      <c r="I1225" s="9" t="s">
        <v>5173</v>
      </c>
      <c r="J1225" s="10"/>
      <c r="K1225" s="11">
        <v>20</v>
      </c>
      <c r="L1225" s="10"/>
      <c r="M1225" s="10" t="s">
        <v>304</v>
      </c>
      <c r="N1225" s="10"/>
      <c r="O1225" s="2">
        <v>3</v>
      </c>
      <c r="P1225" s="17">
        <f>201.55*(1-S3/100)</f>
        <v>201.55</v>
      </c>
      <c r="Q1225" s="18"/>
      <c r="R1225" s="10">
        <f t="shared" si="45"/>
        <v>0</v>
      </c>
      <c r="S1225" s="28">
        <f t="shared" si="46"/>
        <v>0</v>
      </c>
      <c r="T1225" s="20">
        <f t="shared" si="47"/>
        <v>0</v>
      </c>
      <c r="U1225" s="21"/>
      <c r="V1225" s="22" t="s">
        <v>5190</v>
      </c>
      <c r="W1225" s="22" t="s">
        <v>49</v>
      </c>
      <c r="X1225" s="3"/>
      <c r="Y1225" s="3"/>
      <c r="Z1225" s="3" t="s">
        <v>52</v>
      </c>
      <c r="AA1225" s="3"/>
      <c r="AB1225" s="3"/>
      <c r="AC1225" s="3" t="str">
        <f>HYPERLINK("https://knigipp.ru/api/getInfo/image/313d7bbc-03d8-11eb-a255-ac1f6b442184")</f>
        <v>https://knigipp.ru/api/getInfo/image/313d7bbc-03d8-11eb-a255-ac1f6b442184</v>
      </c>
      <c r="AD1225" s="32">
        <v>48</v>
      </c>
      <c r="AE1225" s="3"/>
      <c r="AF1225" s="3" t="s">
        <v>136</v>
      </c>
      <c r="AG1225" s="3"/>
      <c r="AH1225" s="3" t="s">
        <v>56</v>
      </c>
      <c r="AI1225" s="3"/>
      <c r="AJ1225" s="3"/>
      <c r="AK1225" s="3" t="str">
        <f>HYPERLINK("https://knigipp.ru/api/getInfo/item/313d7bbc-03d8-11eb-a255-ac1f6b442184")</f>
        <v>https://knigipp.ru/api/getInfo/item/313d7bbc-03d8-11eb-a255-ac1f6b442184</v>
      </c>
      <c r="AL1225" s="3" t="s">
        <v>621</v>
      </c>
    </row>
    <row r="1226" spans="1:38" ht="21" customHeight="1" outlineLevel="4" x14ac:dyDescent="0.2">
      <c r="A1226" s="2">
        <v>920</v>
      </c>
      <c r="B1226" s="3" t="s">
        <v>5191</v>
      </c>
      <c r="C1226" s="49" t="s">
        <v>5192</v>
      </c>
      <c r="D1226" s="49"/>
      <c r="E1226" s="49"/>
      <c r="F1226" s="49"/>
      <c r="G1226" s="4" t="s">
        <v>5193</v>
      </c>
      <c r="H1226" s="8"/>
      <c r="I1226" s="9" t="s">
        <v>5173</v>
      </c>
      <c r="J1226" s="10"/>
      <c r="K1226" s="11">
        <v>20</v>
      </c>
      <c r="L1226" s="10"/>
      <c r="M1226" s="10" t="s">
        <v>47</v>
      </c>
      <c r="N1226" s="10"/>
      <c r="O1226" s="2">
        <v>3</v>
      </c>
      <c r="P1226" s="17">
        <f>201.55*(1-S3/100)</f>
        <v>201.55</v>
      </c>
      <c r="Q1226" s="18"/>
      <c r="R1226" s="10">
        <f t="shared" si="45"/>
        <v>0</v>
      </c>
      <c r="S1226" s="28">
        <f t="shared" si="46"/>
        <v>0</v>
      </c>
      <c r="T1226" s="20">
        <f t="shared" si="47"/>
        <v>0</v>
      </c>
      <c r="U1226" s="21"/>
      <c r="V1226" s="22" t="s">
        <v>5194</v>
      </c>
      <c r="W1226" s="22" t="s">
        <v>49</v>
      </c>
      <c r="X1226" s="3"/>
      <c r="Y1226" s="3"/>
      <c r="Z1226" s="3" t="s">
        <v>52</v>
      </c>
      <c r="AA1226" s="3"/>
      <c r="AB1226" s="3"/>
      <c r="AC1226" s="3" t="str">
        <f>HYPERLINK("https://knigipp.ru/api/getInfo/image/dbf80ab8-03d7-11eb-a255-ac1f6b442184")</f>
        <v>https://knigipp.ru/api/getInfo/image/dbf80ab8-03d7-11eb-a255-ac1f6b442184</v>
      </c>
      <c r="AD1226" s="32">
        <v>48</v>
      </c>
      <c r="AE1226" s="3"/>
      <c r="AF1226" s="3" t="s">
        <v>136</v>
      </c>
      <c r="AG1226" s="3"/>
      <c r="AH1226" s="3" t="s">
        <v>56</v>
      </c>
      <c r="AI1226" s="3"/>
      <c r="AJ1226" s="3"/>
      <c r="AK1226" s="3" t="str">
        <f>HYPERLINK("https://knigipp.ru/api/getInfo/item/dbf80ab8-03d7-11eb-a255-ac1f6b442184")</f>
        <v>https://knigipp.ru/api/getInfo/item/dbf80ab8-03d7-11eb-a255-ac1f6b442184</v>
      </c>
      <c r="AL1226" s="3" t="s">
        <v>621</v>
      </c>
    </row>
    <row r="1227" spans="1:38" ht="21" customHeight="1" outlineLevel="4" x14ac:dyDescent="0.2">
      <c r="A1227" s="2">
        <v>921</v>
      </c>
      <c r="B1227" s="3" t="s">
        <v>5195</v>
      </c>
      <c r="C1227" s="49" t="s">
        <v>5196</v>
      </c>
      <c r="D1227" s="49"/>
      <c r="E1227" s="49"/>
      <c r="F1227" s="49"/>
      <c r="G1227" s="4" t="s">
        <v>5197</v>
      </c>
      <c r="H1227" s="8"/>
      <c r="I1227" s="9" t="s">
        <v>5173</v>
      </c>
      <c r="J1227" s="10"/>
      <c r="K1227" s="11">
        <v>20</v>
      </c>
      <c r="L1227" s="10"/>
      <c r="M1227" s="10" t="s">
        <v>304</v>
      </c>
      <c r="N1227" s="10"/>
      <c r="O1227" s="2">
        <v>3</v>
      </c>
      <c r="P1227" s="17">
        <f>201.55*(1-S3/100)</f>
        <v>201.55</v>
      </c>
      <c r="Q1227" s="18"/>
      <c r="R1227" s="10">
        <f t="shared" si="45"/>
        <v>0</v>
      </c>
      <c r="S1227" s="28">
        <f t="shared" si="46"/>
        <v>0</v>
      </c>
      <c r="T1227" s="20">
        <f t="shared" si="47"/>
        <v>0</v>
      </c>
      <c r="U1227" s="21"/>
      <c r="V1227" s="22" t="s">
        <v>5198</v>
      </c>
      <c r="W1227" s="22" t="s">
        <v>49</v>
      </c>
      <c r="X1227" s="3"/>
      <c r="Y1227" s="3"/>
      <c r="Z1227" s="3" t="s">
        <v>52</v>
      </c>
      <c r="AA1227" s="3"/>
      <c r="AB1227" s="3"/>
      <c r="AC1227" s="3" t="str">
        <f>HYPERLINK("https://knigipp.ru/api/getInfo/image/98480faa-03d8-11eb-a255-ac1f6b442184")</f>
        <v>https://knigipp.ru/api/getInfo/image/98480faa-03d8-11eb-a255-ac1f6b442184</v>
      </c>
      <c r="AD1227" s="32">
        <v>48</v>
      </c>
      <c r="AE1227" s="3"/>
      <c r="AF1227" s="3" t="s">
        <v>136</v>
      </c>
      <c r="AG1227" s="3"/>
      <c r="AH1227" s="3" t="s">
        <v>56</v>
      </c>
      <c r="AI1227" s="3"/>
      <c r="AJ1227" s="3"/>
      <c r="AK1227" s="3" t="str">
        <f>HYPERLINK("https://knigipp.ru/api/getInfo/item/98480faa-03d8-11eb-a255-ac1f6b442184")</f>
        <v>https://knigipp.ru/api/getInfo/item/98480faa-03d8-11eb-a255-ac1f6b442184</v>
      </c>
      <c r="AL1227" s="3" t="s">
        <v>621</v>
      </c>
    </row>
    <row r="1228" spans="1:38" ht="21" customHeight="1" outlineLevel="4" x14ac:dyDescent="0.2">
      <c r="A1228" s="2">
        <v>922</v>
      </c>
      <c r="B1228" s="3" t="s">
        <v>5199</v>
      </c>
      <c r="C1228" s="49" t="s">
        <v>5200</v>
      </c>
      <c r="D1228" s="49"/>
      <c r="E1228" s="49"/>
      <c r="F1228" s="49"/>
      <c r="G1228" s="4" t="s">
        <v>5201</v>
      </c>
      <c r="H1228" s="8"/>
      <c r="I1228" s="9" t="s">
        <v>5173</v>
      </c>
      <c r="J1228" s="10"/>
      <c r="K1228" s="11">
        <v>20</v>
      </c>
      <c r="L1228" s="10"/>
      <c r="M1228" s="10" t="s">
        <v>304</v>
      </c>
      <c r="N1228" s="10"/>
      <c r="O1228" s="2">
        <v>3</v>
      </c>
      <c r="P1228" s="17">
        <f>201.55*(1-S3/100)</f>
        <v>201.55</v>
      </c>
      <c r="Q1228" s="18"/>
      <c r="R1228" s="10">
        <f t="shared" si="45"/>
        <v>0</v>
      </c>
      <c r="S1228" s="28">
        <f t="shared" si="46"/>
        <v>0</v>
      </c>
      <c r="T1228" s="20">
        <f t="shared" si="47"/>
        <v>0</v>
      </c>
      <c r="U1228" s="21"/>
      <c r="V1228" s="22" t="s">
        <v>5202</v>
      </c>
      <c r="W1228" s="22" t="s">
        <v>49</v>
      </c>
      <c r="X1228" s="3"/>
      <c r="Y1228" s="3"/>
      <c r="Z1228" s="3" t="s">
        <v>52</v>
      </c>
      <c r="AA1228" s="3"/>
      <c r="AB1228" s="3"/>
      <c r="AC1228" s="3" t="str">
        <f>HYPERLINK("https://knigipp.ru/api/getInfo/image/aad0ca3d-03d8-11eb-a255-ac1f6b442184")</f>
        <v>https://knigipp.ru/api/getInfo/image/aad0ca3d-03d8-11eb-a255-ac1f6b442184</v>
      </c>
      <c r="AD1228" s="32">
        <v>48</v>
      </c>
      <c r="AE1228" s="3"/>
      <c r="AF1228" s="3" t="s">
        <v>136</v>
      </c>
      <c r="AG1228" s="3"/>
      <c r="AH1228" s="3" t="s">
        <v>56</v>
      </c>
      <c r="AI1228" s="3"/>
      <c r="AJ1228" s="3"/>
      <c r="AK1228" s="3" t="str">
        <f>HYPERLINK("https://knigipp.ru/api/getInfo/item/aad0ca3d-03d8-11eb-a255-ac1f6b442184")</f>
        <v>https://knigipp.ru/api/getInfo/item/aad0ca3d-03d8-11eb-a255-ac1f6b442184</v>
      </c>
      <c r="AL1228" s="3" t="s">
        <v>621</v>
      </c>
    </row>
    <row r="1229" spans="1:38" ht="23.1" customHeight="1" outlineLevel="3" x14ac:dyDescent="0.2">
      <c r="A1229" s="48" t="s">
        <v>5203</v>
      </c>
      <c r="B1229" s="48"/>
      <c r="C1229" s="48"/>
      <c r="D1229" s="48"/>
      <c r="E1229" s="48"/>
      <c r="F1229" s="48"/>
    </row>
    <row r="1230" spans="1:38" ht="21" customHeight="1" outlineLevel="4" x14ac:dyDescent="0.2">
      <c r="A1230" s="2">
        <v>923</v>
      </c>
      <c r="B1230" s="3" t="s">
        <v>5204</v>
      </c>
      <c r="C1230" s="49" t="s">
        <v>5205</v>
      </c>
      <c r="D1230" s="49"/>
      <c r="E1230" s="49"/>
      <c r="F1230" s="49"/>
      <c r="G1230" s="4" t="s">
        <v>5206</v>
      </c>
      <c r="H1230" s="8"/>
      <c r="I1230" s="9" t="s">
        <v>5207</v>
      </c>
      <c r="J1230" s="10"/>
      <c r="K1230" s="11">
        <v>25</v>
      </c>
      <c r="L1230" s="10"/>
      <c r="M1230" s="10" t="s">
        <v>47</v>
      </c>
      <c r="N1230" s="10"/>
      <c r="O1230" s="2">
        <v>4</v>
      </c>
      <c r="P1230" s="17">
        <f>167*(1-S3/100)</f>
        <v>167</v>
      </c>
      <c r="Q1230" s="18"/>
      <c r="R1230" s="10">
        <f>P1230*Q1230</f>
        <v>0</v>
      </c>
      <c r="S1230" s="35">
        <f>0.1*Q1230</f>
        <v>0</v>
      </c>
      <c r="T1230" s="20">
        <f>0.00014*Q1230</f>
        <v>0</v>
      </c>
      <c r="U1230" s="21"/>
      <c r="V1230" s="22" t="s">
        <v>5208</v>
      </c>
      <c r="W1230" s="22" t="s">
        <v>49</v>
      </c>
      <c r="X1230" s="3"/>
      <c r="Y1230" s="3"/>
      <c r="Z1230" s="3" t="s">
        <v>52</v>
      </c>
      <c r="AA1230" s="3"/>
      <c r="AB1230" s="3"/>
      <c r="AC1230" s="3" t="str">
        <f>HYPERLINK("https://knigipp.ru/api/getInfo/image/0f49b228-98dc-11e9-a227-ac1f6b442184")</f>
        <v>https://knigipp.ru/api/getInfo/image/0f49b228-98dc-11e9-a227-ac1f6b442184</v>
      </c>
      <c r="AD1230" s="32">
        <v>64</v>
      </c>
      <c r="AE1230" s="3"/>
      <c r="AF1230" s="3" t="s">
        <v>136</v>
      </c>
      <c r="AG1230" s="3"/>
      <c r="AH1230" s="3" t="s">
        <v>56</v>
      </c>
      <c r="AI1230" s="3"/>
      <c r="AJ1230" s="3"/>
      <c r="AK1230" s="3" t="str">
        <f>HYPERLINK("https://knigipp.ru/api/getInfo/item/0f49b228-98dc-11e9-a227-ac1f6b442184")</f>
        <v>https://knigipp.ru/api/getInfo/item/0f49b228-98dc-11e9-a227-ac1f6b442184</v>
      </c>
      <c r="AL1230" s="3" t="s">
        <v>5209</v>
      </c>
    </row>
    <row r="1231" spans="1:38" ht="21" customHeight="1" outlineLevel="4" x14ac:dyDescent="0.2">
      <c r="A1231" s="2">
        <v>924</v>
      </c>
      <c r="B1231" s="3" t="s">
        <v>5210</v>
      </c>
      <c r="C1231" s="49" t="s">
        <v>5211</v>
      </c>
      <c r="D1231" s="49"/>
      <c r="E1231" s="49"/>
      <c r="F1231" s="49"/>
      <c r="G1231" s="4" t="s">
        <v>5212</v>
      </c>
      <c r="H1231" s="8"/>
      <c r="I1231" s="9" t="s">
        <v>5213</v>
      </c>
      <c r="J1231" s="10"/>
      <c r="K1231" s="11">
        <v>25</v>
      </c>
      <c r="L1231" s="10"/>
      <c r="M1231" s="10" t="s">
        <v>47</v>
      </c>
      <c r="N1231" s="10"/>
      <c r="O1231" s="2">
        <v>4</v>
      </c>
      <c r="P1231" s="17">
        <f>167*(1-S3/100)</f>
        <v>167</v>
      </c>
      <c r="Q1231" s="18"/>
      <c r="R1231" s="10">
        <f>P1231*Q1231</f>
        <v>0</v>
      </c>
      <c r="S1231" s="35">
        <f>0.1*Q1231</f>
        <v>0</v>
      </c>
      <c r="T1231" s="20">
        <f>0.00014*Q1231</f>
        <v>0</v>
      </c>
      <c r="U1231" s="21"/>
      <c r="V1231" s="22" t="s">
        <v>5214</v>
      </c>
      <c r="W1231" s="22" t="s">
        <v>49</v>
      </c>
      <c r="X1231" s="3"/>
      <c r="Y1231" s="3"/>
      <c r="Z1231" s="3" t="s">
        <v>52</v>
      </c>
      <c r="AA1231" s="3"/>
      <c r="AB1231" s="3"/>
      <c r="AC1231" s="3" t="str">
        <f>HYPERLINK("https://knigipp.ru/api/getInfo/image/d24597fd-2649-11ea-a239-ac1f6b442184")</f>
        <v>https://knigipp.ru/api/getInfo/image/d24597fd-2649-11ea-a239-ac1f6b442184</v>
      </c>
      <c r="AD1231" s="32">
        <v>64</v>
      </c>
      <c r="AE1231" s="3"/>
      <c r="AF1231" s="3" t="s">
        <v>136</v>
      </c>
      <c r="AG1231" s="3"/>
      <c r="AH1231" s="3" t="s">
        <v>56</v>
      </c>
      <c r="AI1231" s="3"/>
      <c r="AJ1231" s="3"/>
      <c r="AK1231" s="3" t="str">
        <f>HYPERLINK("https://knigipp.ru/api/getInfo/item/d24597fd-2649-11ea-a239-ac1f6b442184")</f>
        <v>https://knigipp.ru/api/getInfo/item/d24597fd-2649-11ea-a239-ac1f6b442184</v>
      </c>
      <c r="AL1231" s="3" t="s">
        <v>5209</v>
      </c>
    </row>
    <row r="1232" spans="1:38" ht="21" customHeight="1" outlineLevel="4" x14ac:dyDescent="0.2">
      <c r="A1232" s="2">
        <v>925</v>
      </c>
      <c r="B1232" s="3" t="s">
        <v>5215</v>
      </c>
      <c r="C1232" s="49" t="s">
        <v>5216</v>
      </c>
      <c r="D1232" s="49"/>
      <c r="E1232" s="49"/>
      <c r="F1232" s="49"/>
      <c r="G1232" s="4" t="s">
        <v>5217</v>
      </c>
      <c r="H1232" s="8"/>
      <c r="I1232" s="9" t="s">
        <v>5218</v>
      </c>
      <c r="J1232" s="10"/>
      <c r="K1232" s="11">
        <v>25</v>
      </c>
      <c r="L1232" s="10"/>
      <c r="M1232" s="10" t="s">
        <v>47</v>
      </c>
      <c r="N1232" s="10"/>
      <c r="O1232" s="2">
        <v>4</v>
      </c>
      <c r="P1232" s="17">
        <f>167*(1-S3/100)</f>
        <v>167</v>
      </c>
      <c r="Q1232" s="18"/>
      <c r="R1232" s="10">
        <f>P1232*Q1232</f>
        <v>0</v>
      </c>
      <c r="S1232" s="19">
        <f>0.098*Q1232</f>
        <v>0</v>
      </c>
      <c r="T1232" s="20">
        <f>0.00045*Q1232</f>
        <v>0</v>
      </c>
      <c r="U1232" s="21"/>
      <c r="V1232" s="22" t="s">
        <v>5219</v>
      </c>
      <c r="W1232" s="22" t="s">
        <v>49</v>
      </c>
      <c r="X1232" s="3"/>
      <c r="Y1232" s="3"/>
      <c r="Z1232" s="3" t="s">
        <v>52</v>
      </c>
      <c r="AA1232" s="3"/>
      <c r="AB1232" s="3"/>
      <c r="AC1232" s="3" t="str">
        <f>HYPERLINK("https://knigipp.ru/api/getInfo/image/b9864f3d-2649-11ea-a239-ac1f6b442184")</f>
        <v>https://knigipp.ru/api/getInfo/image/b9864f3d-2649-11ea-a239-ac1f6b442184</v>
      </c>
      <c r="AD1232" s="32">
        <v>64</v>
      </c>
      <c r="AE1232" s="3"/>
      <c r="AF1232" s="3" t="s">
        <v>136</v>
      </c>
      <c r="AG1232" s="3"/>
      <c r="AH1232" s="3" t="s">
        <v>56</v>
      </c>
      <c r="AI1232" s="3"/>
      <c r="AJ1232" s="3"/>
      <c r="AK1232" s="3" t="str">
        <f>HYPERLINK("https://knigipp.ru/api/getInfo/item/b9864f3d-2649-11ea-a239-ac1f6b442184")</f>
        <v>https://knigipp.ru/api/getInfo/item/b9864f3d-2649-11ea-a239-ac1f6b442184</v>
      </c>
      <c r="AL1232" s="3" t="s">
        <v>5209</v>
      </c>
    </row>
    <row r="1233" spans="1:38" ht="23.1" customHeight="1" outlineLevel="3" x14ac:dyDescent="0.2">
      <c r="A1233" s="48" t="s">
        <v>5220</v>
      </c>
      <c r="B1233" s="48"/>
      <c r="C1233" s="48"/>
      <c r="D1233" s="48"/>
      <c r="E1233" s="48"/>
      <c r="F1233" s="48"/>
    </row>
    <row r="1234" spans="1:38" ht="21" customHeight="1" outlineLevel="4" x14ac:dyDescent="0.2">
      <c r="A1234" s="2">
        <v>926</v>
      </c>
      <c r="B1234" s="3" t="s">
        <v>5221</v>
      </c>
      <c r="C1234" s="49" t="s">
        <v>5222</v>
      </c>
      <c r="D1234" s="49"/>
      <c r="E1234" s="49"/>
      <c r="F1234" s="49"/>
      <c r="G1234" s="4" t="s">
        <v>5223</v>
      </c>
      <c r="H1234" s="8"/>
      <c r="I1234" s="9" t="s">
        <v>5224</v>
      </c>
      <c r="J1234" s="10"/>
      <c r="K1234" s="11">
        <v>50</v>
      </c>
      <c r="L1234" s="10"/>
      <c r="M1234" s="10" t="s">
        <v>47</v>
      </c>
      <c r="N1234" s="10"/>
      <c r="O1234" s="2">
        <v>10</v>
      </c>
      <c r="P1234" s="17">
        <f>67*(1-S3/100)</f>
        <v>67</v>
      </c>
      <c r="Q1234" s="18"/>
      <c r="R1234" s="10">
        <f>P1234*Q1234</f>
        <v>0</v>
      </c>
      <c r="S1234" s="19">
        <f>0.056*Q1234</f>
        <v>0</v>
      </c>
      <c r="T1234" s="20">
        <f>0.00011*Q1234</f>
        <v>0</v>
      </c>
      <c r="U1234" s="21"/>
      <c r="V1234" s="22" t="s">
        <v>5225</v>
      </c>
      <c r="W1234" s="22" t="s">
        <v>49</v>
      </c>
      <c r="X1234" s="3"/>
      <c r="Y1234" s="3"/>
      <c r="Z1234" s="3" t="s">
        <v>52</v>
      </c>
      <c r="AA1234" s="3" t="s">
        <v>5226</v>
      </c>
      <c r="AB1234" s="3"/>
      <c r="AC1234" s="3" t="str">
        <f>HYPERLINK("https://knigipp.ru/api/getInfo/image/c90ccbd3-0638-11e6-b4aa-5cf3fc4a2490")</f>
        <v>https://knigipp.ru/api/getInfo/image/c90ccbd3-0638-11e6-b4aa-5cf3fc4a2490</v>
      </c>
      <c r="AD1234" s="32">
        <v>16</v>
      </c>
      <c r="AE1234" s="3"/>
      <c r="AF1234" s="3" t="s">
        <v>136</v>
      </c>
      <c r="AG1234" s="3"/>
      <c r="AH1234" s="3" t="s">
        <v>56</v>
      </c>
      <c r="AI1234" s="3"/>
      <c r="AJ1234" s="3" t="s">
        <v>5227</v>
      </c>
      <c r="AK1234" s="3" t="str">
        <f>HYPERLINK("https://knigipp.ru/api/getInfo/item/c90ccbd3-0638-11e6-b4aa-5cf3fc4a2490")</f>
        <v>https://knigipp.ru/api/getInfo/item/c90ccbd3-0638-11e6-b4aa-5cf3fc4a2490</v>
      </c>
      <c r="AL1234" s="3" t="s">
        <v>1155</v>
      </c>
    </row>
    <row r="1235" spans="1:38" ht="21" customHeight="1" outlineLevel="4" x14ac:dyDescent="0.2">
      <c r="A1235" s="2">
        <v>927</v>
      </c>
      <c r="B1235" s="3" t="s">
        <v>5228</v>
      </c>
      <c r="C1235" s="49" t="s">
        <v>5229</v>
      </c>
      <c r="D1235" s="49"/>
      <c r="E1235" s="49"/>
      <c r="F1235" s="49"/>
      <c r="G1235" s="4" t="s">
        <v>5230</v>
      </c>
      <c r="H1235" s="8"/>
      <c r="I1235" s="9" t="s">
        <v>5224</v>
      </c>
      <c r="J1235" s="10"/>
      <c r="K1235" s="11">
        <v>50</v>
      </c>
      <c r="L1235" s="10"/>
      <c r="M1235" s="10" t="s">
        <v>78</v>
      </c>
      <c r="N1235" s="10"/>
      <c r="O1235" s="2">
        <v>10</v>
      </c>
      <c r="P1235" s="17">
        <f>67*(1-S3/100)</f>
        <v>67</v>
      </c>
      <c r="Q1235" s="18"/>
      <c r="R1235" s="10">
        <f>P1235*Q1235</f>
        <v>0</v>
      </c>
      <c r="S1235" s="19">
        <f>0.095*Q1235</f>
        <v>0</v>
      </c>
      <c r="T1235" s="20">
        <f>0.00034*Q1235</f>
        <v>0</v>
      </c>
      <c r="U1235" s="21"/>
      <c r="V1235" s="22" t="s">
        <v>5231</v>
      </c>
      <c r="W1235" s="22" t="s">
        <v>49</v>
      </c>
      <c r="X1235" s="3"/>
      <c r="Y1235" s="3"/>
      <c r="Z1235" s="3" t="s">
        <v>52</v>
      </c>
      <c r="AA1235" s="3" t="s">
        <v>5226</v>
      </c>
      <c r="AB1235" s="3"/>
      <c r="AC1235" s="3" t="str">
        <f>HYPERLINK("https://knigipp.ru/api/getInfo/image/d003aec5-0638-11e6-b4aa-5cf3fc4a2490")</f>
        <v>https://knigipp.ru/api/getInfo/image/d003aec5-0638-11e6-b4aa-5cf3fc4a2490</v>
      </c>
      <c r="AD1235" s="32">
        <v>16</v>
      </c>
      <c r="AE1235" s="3"/>
      <c r="AF1235" s="3" t="s">
        <v>136</v>
      </c>
      <c r="AG1235" s="3"/>
      <c r="AH1235" s="3" t="s">
        <v>56</v>
      </c>
      <c r="AI1235" s="3"/>
      <c r="AJ1235" s="3" t="s">
        <v>5227</v>
      </c>
      <c r="AK1235" s="3" t="str">
        <f>HYPERLINK("https://knigipp.ru/api/getInfo/item/d003aec5-0638-11e6-b4aa-5cf3fc4a2490")</f>
        <v>https://knigipp.ru/api/getInfo/item/d003aec5-0638-11e6-b4aa-5cf3fc4a2490</v>
      </c>
      <c r="AL1235" s="3" t="s">
        <v>1155</v>
      </c>
    </row>
    <row r="1236" spans="1:38" ht="21" customHeight="1" outlineLevel="4" x14ac:dyDescent="0.2">
      <c r="A1236" s="2">
        <v>928</v>
      </c>
      <c r="B1236" s="3" t="s">
        <v>5232</v>
      </c>
      <c r="C1236" s="49" t="s">
        <v>5233</v>
      </c>
      <c r="D1236" s="49"/>
      <c r="E1236" s="49"/>
      <c r="F1236" s="49"/>
      <c r="G1236" s="4" t="s">
        <v>5234</v>
      </c>
      <c r="H1236" s="8"/>
      <c r="I1236" s="9" t="s">
        <v>5224</v>
      </c>
      <c r="J1236" s="10"/>
      <c r="K1236" s="11">
        <v>50</v>
      </c>
      <c r="L1236" s="10"/>
      <c r="M1236" s="10" t="s">
        <v>78</v>
      </c>
      <c r="N1236" s="10"/>
      <c r="O1236" s="2">
        <v>10</v>
      </c>
      <c r="P1236" s="17">
        <f>67*(1-S3/100)</f>
        <v>67</v>
      </c>
      <c r="Q1236" s="18"/>
      <c r="R1236" s="10">
        <f>P1236*Q1236</f>
        <v>0</v>
      </c>
      <c r="S1236" s="19">
        <f>0.056*Q1236</f>
        <v>0</v>
      </c>
      <c r="T1236" s="20">
        <f>0.00011*Q1236</f>
        <v>0</v>
      </c>
      <c r="U1236" s="21"/>
      <c r="V1236" s="22" t="s">
        <v>5235</v>
      </c>
      <c r="W1236" s="22" t="s">
        <v>49</v>
      </c>
      <c r="X1236" s="3"/>
      <c r="Y1236" s="3"/>
      <c r="Z1236" s="3" t="s">
        <v>52</v>
      </c>
      <c r="AA1236" s="3" t="s">
        <v>5226</v>
      </c>
      <c r="AB1236" s="3"/>
      <c r="AC1236" s="3" t="str">
        <f>HYPERLINK("https://knigipp.ru/api/getInfo/image/de021e44-0638-11e6-b4aa-5cf3fc4a2490")</f>
        <v>https://knigipp.ru/api/getInfo/image/de021e44-0638-11e6-b4aa-5cf3fc4a2490</v>
      </c>
      <c r="AD1236" s="32">
        <v>16</v>
      </c>
      <c r="AE1236" s="3"/>
      <c r="AF1236" s="3" t="s">
        <v>136</v>
      </c>
      <c r="AG1236" s="3"/>
      <c r="AH1236" s="3" t="s">
        <v>56</v>
      </c>
      <c r="AI1236" s="3"/>
      <c r="AJ1236" s="3" t="s">
        <v>5227</v>
      </c>
      <c r="AK1236" s="3" t="str">
        <f>HYPERLINK("https://knigipp.ru/api/getInfo/item/de021e44-0638-11e6-b4aa-5cf3fc4a2490")</f>
        <v>https://knigipp.ru/api/getInfo/item/de021e44-0638-11e6-b4aa-5cf3fc4a2490</v>
      </c>
      <c r="AL1236" s="3" t="s">
        <v>1155</v>
      </c>
    </row>
    <row r="1237" spans="1:38" ht="23.1" customHeight="1" outlineLevel="3" x14ac:dyDescent="0.2">
      <c r="A1237" s="48" t="s">
        <v>5236</v>
      </c>
      <c r="B1237" s="48"/>
      <c r="C1237" s="48"/>
      <c r="D1237" s="48"/>
      <c r="E1237" s="48"/>
      <c r="F1237" s="48"/>
    </row>
    <row r="1238" spans="1:38" ht="21" customHeight="1" outlineLevel="4" x14ac:dyDescent="0.2">
      <c r="A1238" s="2">
        <v>929</v>
      </c>
      <c r="B1238" s="3" t="s">
        <v>5237</v>
      </c>
      <c r="C1238" s="49" t="s">
        <v>5238</v>
      </c>
      <c r="D1238" s="49"/>
      <c r="E1238" s="49"/>
      <c r="F1238" s="49"/>
      <c r="G1238" s="4" t="s">
        <v>5239</v>
      </c>
      <c r="H1238" s="8"/>
      <c r="I1238" s="9" t="s">
        <v>5224</v>
      </c>
      <c r="J1238" s="10"/>
      <c r="K1238" s="11">
        <v>50</v>
      </c>
      <c r="L1238" s="10"/>
      <c r="M1238" s="10" t="s">
        <v>47</v>
      </c>
      <c r="N1238" s="10"/>
      <c r="O1238" s="2">
        <v>25</v>
      </c>
      <c r="P1238" s="17">
        <f>35*(1-S3/100)</f>
        <v>35</v>
      </c>
      <c r="Q1238" s="18"/>
      <c r="R1238" s="10">
        <f>P1238*Q1238</f>
        <v>0</v>
      </c>
      <c r="S1238" s="19">
        <f>0.032*Q1238</f>
        <v>0</v>
      </c>
      <c r="T1238" s="20">
        <f>0.00006*Q1238</f>
        <v>0</v>
      </c>
      <c r="U1238" s="21"/>
      <c r="V1238" s="22" t="s">
        <v>5240</v>
      </c>
      <c r="W1238" s="22" t="s">
        <v>49</v>
      </c>
      <c r="X1238" s="3"/>
      <c r="Y1238" s="3"/>
      <c r="Z1238" s="3" t="s">
        <v>52</v>
      </c>
      <c r="AA1238" s="3" t="s">
        <v>5226</v>
      </c>
      <c r="AB1238" s="3"/>
      <c r="AC1238" s="3" t="str">
        <f>HYPERLINK("https://knigipp.ru/api/getInfo/image/4c92edf1-0639-11e6-b4aa-5cf3fc4a2490")</f>
        <v>https://knigipp.ru/api/getInfo/image/4c92edf1-0639-11e6-b4aa-5cf3fc4a2490</v>
      </c>
      <c r="AD1238" s="32">
        <v>16</v>
      </c>
      <c r="AE1238" s="3"/>
      <c r="AF1238" s="3" t="s">
        <v>136</v>
      </c>
      <c r="AG1238" s="3"/>
      <c r="AH1238" s="3" t="s">
        <v>56</v>
      </c>
      <c r="AI1238" s="3"/>
      <c r="AJ1238" s="3" t="s">
        <v>5227</v>
      </c>
      <c r="AK1238" s="3" t="str">
        <f>HYPERLINK("https://knigipp.ru/api/getInfo/item/4c92edf1-0639-11e6-b4aa-5cf3fc4a2490")</f>
        <v>https://knigipp.ru/api/getInfo/item/4c92edf1-0639-11e6-b4aa-5cf3fc4a2490</v>
      </c>
      <c r="AL1238" s="3" t="s">
        <v>5241</v>
      </c>
    </row>
    <row r="1239" spans="1:38" ht="23.1" customHeight="1" outlineLevel="3" x14ac:dyDescent="0.2">
      <c r="A1239" s="48" t="s">
        <v>5242</v>
      </c>
      <c r="B1239" s="48"/>
      <c r="C1239" s="48"/>
      <c r="D1239" s="48"/>
      <c r="E1239" s="48"/>
      <c r="F1239" s="48"/>
    </row>
    <row r="1240" spans="1:38" ht="21" customHeight="1" outlineLevel="4" x14ac:dyDescent="0.2">
      <c r="A1240" s="2">
        <v>930</v>
      </c>
      <c r="B1240" s="3" t="s">
        <v>5243</v>
      </c>
      <c r="C1240" s="49" t="s">
        <v>5244</v>
      </c>
      <c r="D1240" s="49"/>
      <c r="E1240" s="49"/>
      <c r="F1240" s="49"/>
      <c r="G1240" s="4" t="s">
        <v>5245</v>
      </c>
      <c r="H1240" s="8"/>
      <c r="I1240" s="9" t="s">
        <v>5224</v>
      </c>
      <c r="J1240" s="10"/>
      <c r="K1240" s="11">
        <v>50</v>
      </c>
      <c r="L1240" s="10"/>
      <c r="M1240" s="10" t="s">
        <v>47</v>
      </c>
      <c r="N1240" s="10"/>
      <c r="O1240" s="2">
        <v>20</v>
      </c>
      <c r="P1240" s="17">
        <f>34*(1-S3/100)</f>
        <v>34</v>
      </c>
      <c r="Q1240" s="18"/>
      <c r="R1240" s="10">
        <f t="shared" ref="R1240:R1246" si="48">P1240*Q1240</f>
        <v>0</v>
      </c>
      <c r="S1240" s="19">
        <f t="shared" ref="S1240:S1246" si="49">0.032*Q1240</f>
        <v>0</v>
      </c>
      <c r="T1240" s="20">
        <f t="shared" ref="T1240:T1246" si="50">0.00006*Q1240</f>
        <v>0</v>
      </c>
      <c r="U1240" s="21"/>
      <c r="V1240" s="22" t="s">
        <v>5246</v>
      </c>
      <c r="W1240" s="22" t="s">
        <v>49</v>
      </c>
      <c r="X1240" s="3"/>
      <c r="Y1240" s="3"/>
      <c r="Z1240" s="3" t="s">
        <v>52</v>
      </c>
      <c r="AA1240" s="3" t="s">
        <v>5226</v>
      </c>
      <c r="AB1240" s="3"/>
      <c r="AC1240" s="3" t="str">
        <f>HYPERLINK("https://knigipp.ru/api/getInfo/image/a549e78c-0639-11e6-b4aa-5cf3fc4a2490")</f>
        <v>https://knigipp.ru/api/getInfo/image/a549e78c-0639-11e6-b4aa-5cf3fc4a2490</v>
      </c>
      <c r="AD1240" s="32">
        <v>16</v>
      </c>
      <c r="AE1240" s="3"/>
      <c r="AF1240" s="3" t="s">
        <v>136</v>
      </c>
      <c r="AG1240" s="3"/>
      <c r="AH1240" s="3" t="s">
        <v>56</v>
      </c>
      <c r="AI1240" s="3"/>
      <c r="AJ1240" s="3" t="s">
        <v>5227</v>
      </c>
      <c r="AK1240" s="3" t="str">
        <f>HYPERLINK("https://knigipp.ru/api/getInfo/item/a549e78c-0639-11e6-b4aa-5cf3fc4a2490")</f>
        <v>https://knigipp.ru/api/getInfo/item/a549e78c-0639-11e6-b4aa-5cf3fc4a2490</v>
      </c>
      <c r="AL1240" s="3" t="s">
        <v>5247</v>
      </c>
    </row>
    <row r="1241" spans="1:38" ht="21" customHeight="1" outlineLevel="4" x14ac:dyDescent="0.2">
      <c r="A1241" s="2">
        <v>931</v>
      </c>
      <c r="B1241" s="3" t="s">
        <v>5248</v>
      </c>
      <c r="C1241" s="49" t="s">
        <v>5249</v>
      </c>
      <c r="D1241" s="49"/>
      <c r="E1241" s="49"/>
      <c r="F1241" s="49"/>
      <c r="G1241" s="4" t="s">
        <v>5250</v>
      </c>
      <c r="H1241" s="8"/>
      <c r="I1241" s="9" t="s">
        <v>5224</v>
      </c>
      <c r="J1241" s="10"/>
      <c r="K1241" s="11">
        <v>50</v>
      </c>
      <c r="L1241" s="10"/>
      <c r="M1241" s="10" t="s">
        <v>78</v>
      </c>
      <c r="N1241" s="10"/>
      <c r="O1241" s="2">
        <v>20</v>
      </c>
      <c r="P1241" s="17">
        <f>34*(1-S3/100)</f>
        <v>34</v>
      </c>
      <c r="Q1241" s="18"/>
      <c r="R1241" s="10">
        <f t="shared" si="48"/>
        <v>0</v>
      </c>
      <c r="S1241" s="19">
        <f t="shared" si="49"/>
        <v>0</v>
      </c>
      <c r="T1241" s="20">
        <f t="shared" si="50"/>
        <v>0</v>
      </c>
      <c r="U1241" s="21"/>
      <c r="V1241" s="22" t="s">
        <v>5251</v>
      </c>
      <c r="W1241" s="22" t="s">
        <v>49</v>
      </c>
      <c r="X1241" s="3"/>
      <c r="Y1241" s="3"/>
      <c r="Z1241" s="3" t="s">
        <v>52</v>
      </c>
      <c r="AA1241" s="3" t="s">
        <v>5226</v>
      </c>
      <c r="AB1241" s="3"/>
      <c r="AC1241" s="3" t="str">
        <f>HYPERLINK("https://knigipp.ru/api/getInfo/image/ba7abc45-0639-11e6-b4aa-5cf3fc4a2490")</f>
        <v>https://knigipp.ru/api/getInfo/image/ba7abc45-0639-11e6-b4aa-5cf3fc4a2490</v>
      </c>
      <c r="AD1241" s="32">
        <v>16</v>
      </c>
      <c r="AE1241" s="3"/>
      <c r="AF1241" s="3" t="s">
        <v>136</v>
      </c>
      <c r="AG1241" s="3"/>
      <c r="AH1241" s="3" t="s">
        <v>56</v>
      </c>
      <c r="AI1241" s="3"/>
      <c r="AJ1241" s="3" t="s">
        <v>5227</v>
      </c>
      <c r="AK1241" s="3" t="str">
        <f>HYPERLINK("https://knigipp.ru/api/getInfo/item/ba7abc45-0639-11e6-b4aa-5cf3fc4a2490")</f>
        <v>https://knigipp.ru/api/getInfo/item/ba7abc45-0639-11e6-b4aa-5cf3fc4a2490</v>
      </c>
      <c r="AL1241" s="3" t="s">
        <v>5247</v>
      </c>
    </row>
    <row r="1242" spans="1:38" ht="21" customHeight="1" outlineLevel="4" x14ac:dyDescent="0.2">
      <c r="A1242" s="2">
        <v>932</v>
      </c>
      <c r="B1242" s="3" t="s">
        <v>5252</v>
      </c>
      <c r="C1242" s="49" t="s">
        <v>5253</v>
      </c>
      <c r="D1242" s="49"/>
      <c r="E1242" s="49"/>
      <c r="F1242" s="49"/>
      <c r="G1242" s="4" t="s">
        <v>5254</v>
      </c>
      <c r="H1242" s="8"/>
      <c r="I1242" s="9" t="s">
        <v>5224</v>
      </c>
      <c r="J1242" s="10"/>
      <c r="K1242" s="11">
        <v>50</v>
      </c>
      <c r="L1242" s="10"/>
      <c r="M1242" s="10" t="s">
        <v>47</v>
      </c>
      <c r="N1242" s="10"/>
      <c r="O1242" s="2">
        <v>20</v>
      </c>
      <c r="P1242" s="17">
        <f>34*(1-S3/100)</f>
        <v>34</v>
      </c>
      <c r="Q1242" s="18"/>
      <c r="R1242" s="10">
        <f t="shared" si="48"/>
        <v>0</v>
      </c>
      <c r="S1242" s="19">
        <f t="shared" si="49"/>
        <v>0</v>
      </c>
      <c r="T1242" s="20">
        <f t="shared" si="50"/>
        <v>0</v>
      </c>
      <c r="U1242" s="21"/>
      <c r="V1242" s="22" t="s">
        <v>5255</v>
      </c>
      <c r="W1242" s="22" t="s">
        <v>49</v>
      </c>
      <c r="X1242" s="3"/>
      <c r="Y1242" s="3"/>
      <c r="Z1242" s="3" t="s">
        <v>52</v>
      </c>
      <c r="AA1242" s="3" t="s">
        <v>5226</v>
      </c>
      <c r="AB1242" s="3"/>
      <c r="AC1242" s="3" t="str">
        <f>HYPERLINK("https://knigipp.ru/api/getInfo/image/c730ae8e-0639-11e6-b4aa-5cf3fc4a2490")</f>
        <v>https://knigipp.ru/api/getInfo/image/c730ae8e-0639-11e6-b4aa-5cf3fc4a2490</v>
      </c>
      <c r="AD1242" s="32">
        <v>16</v>
      </c>
      <c r="AE1242" s="3"/>
      <c r="AF1242" s="3" t="s">
        <v>136</v>
      </c>
      <c r="AG1242" s="3"/>
      <c r="AH1242" s="3" t="s">
        <v>56</v>
      </c>
      <c r="AI1242" s="3"/>
      <c r="AJ1242" s="3" t="s">
        <v>5227</v>
      </c>
      <c r="AK1242" s="3" t="str">
        <f>HYPERLINK("https://knigipp.ru/api/getInfo/item/c730ae8e-0639-11e6-b4aa-5cf3fc4a2490")</f>
        <v>https://knigipp.ru/api/getInfo/item/c730ae8e-0639-11e6-b4aa-5cf3fc4a2490</v>
      </c>
      <c r="AL1242" s="3" t="s">
        <v>5247</v>
      </c>
    </row>
    <row r="1243" spans="1:38" ht="21" customHeight="1" outlineLevel="4" x14ac:dyDescent="0.2">
      <c r="A1243" s="2">
        <v>933</v>
      </c>
      <c r="B1243" s="3" t="s">
        <v>5256</v>
      </c>
      <c r="C1243" s="49" t="s">
        <v>5257</v>
      </c>
      <c r="D1243" s="49"/>
      <c r="E1243" s="49"/>
      <c r="F1243" s="49"/>
      <c r="G1243" s="4" t="s">
        <v>5258</v>
      </c>
      <c r="H1243" s="8"/>
      <c r="I1243" s="9" t="s">
        <v>5224</v>
      </c>
      <c r="J1243" s="10"/>
      <c r="K1243" s="11">
        <v>50</v>
      </c>
      <c r="L1243" s="10"/>
      <c r="M1243" s="10" t="s">
        <v>47</v>
      </c>
      <c r="N1243" s="10"/>
      <c r="O1243" s="2">
        <v>20</v>
      </c>
      <c r="P1243" s="17">
        <f>34*(1-S3/100)</f>
        <v>34</v>
      </c>
      <c r="Q1243" s="18"/>
      <c r="R1243" s="10">
        <f t="shared" si="48"/>
        <v>0</v>
      </c>
      <c r="S1243" s="19">
        <f t="shared" si="49"/>
        <v>0</v>
      </c>
      <c r="T1243" s="20">
        <f t="shared" si="50"/>
        <v>0</v>
      </c>
      <c r="U1243" s="21"/>
      <c r="V1243" s="22" t="s">
        <v>5259</v>
      </c>
      <c r="W1243" s="22" t="s">
        <v>49</v>
      </c>
      <c r="X1243" s="3"/>
      <c r="Y1243" s="3"/>
      <c r="Z1243" s="3" t="s">
        <v>52</v>
      </c>
      <c r="AA1243" s="3" t="s">
        <v>5226</v>
      </c>
      <c r="AB1243" s="3"/>
      <c r="AC1243" s="3" t="str">
        <f>HYPERLINK("https://knigipp.ru/api/getInfo/image/c730ae90-0639-11e6-b4aa-5cf3fc4a2490")</f>
        <v>https://knigipp.ru/api/getInfo/image/c730ae90-0639-11e6-b4aa-5cf3fc4a2490</v>
      </c>
      <c r="AD1243" s="32">
        <v>16</v>
      </c>
      <c r="AE1243" s="3"/>
      <c r="AF1243" s="3" t="s">
        <v>136</v>
      </c>
      <c r="AG1243" s="3"/>
      <c r="AH1243" s="3" t="s">
        <v>56</v>
      </c>
      <c r="AI1243" s="3"/>
      <c r="AJ1243" s="3"/>
      <c r="AK1243" s="3" t="str">
        <f>HYPERLINK("https://knigipp.ru/api/getInfo/item/c730ae90-0639-11e6-b4aa-5cf3fc4a2490")</f>
        <v>https://knigipp.ru/api/getInfo/item/c730ae90-0639-11e6-b4aa-5cf3fc4a2490</v>
      </c>
      <c r="AL1243" s="3" t="s">
        <v>5247</v>
      </c>
    </row>
    <row r="1244" spans="1:38" ht="21" customHeight="1" outlineLevel="4" x14ac:dyDescent="0.2">
      <c r="A1244" s="2">
        <v>934</v>
      </c>
      <c r="B1244" s="3" t="s">
        <v>5260</v>
      </c>
      <c r="C1244" s="49" t="s">
        <v>5261</v>
      </c>
      <c r="D1244" s="49"/>
      <c r="E1244" s="49"/>
      <c r="F1244" s="49"/>
      <c r="G1244" s="4" t="s">
        <v>5262</v>
      </c>
      <c r="H1244" s="8"/>
      <c r="I1244" s="9" t="s">
        <v>5224</v>
      </c>
      <c r="J1244" s="10"/>
      <c r="K1244" s="11">
        <v>50</v>
      </c>
      <c r="L1244" s="10"/>
      <c r="M1244" s="10" t="s">
        <v>47</v>
      </c>
      <c r="N1244" s="10"/>
      <c r="O1244" s="2">
        <v>20</v>
      </c>
      <c r="P1244" s="17">
        <f>34*(1-S3/100)</f>
        <v>34</v>
      </c>
      <c r="Q1244" s="18"/>
      <c r="R1244" s="10">
        <f t="shared" si="48"/>
        <v>0</v>
      </c>
      <c r="S1244" s="19">
        <f t="shared" si="49"/>
        <v>0</v>
      </c>
      <c r="T1244" s="20">
        <f t="shared" si="50"/>
        <v>0</v>
      </c>
      <c r="U1244" s="21"/>
      <c r="V1244" s="22" t="s">
        <v>5263</v>
      </c>
      <c r="W1244" s="22" t="s">
        <v>49</v>
      </c>
      <c r="X1244" s="3"/>
      <c r="Y1244" s="3"/>
      <c r="Z1244" s="3" t="s">
        <v>52</v>
      </c>
      <c r="AA1244" s="3" t="s">
        <v>5226</v>
      </c>
      <c r="AB1244" s="3"/>
      <c r="AC1244" s="3" t="str">
        <f>HYPERLINK("https://knigipp.ru/api/getInfo/image/cf002e47-0639-11e6-b4aa-5cf3fc4a2490")</f>
        <v>https://knigipp.ru/api/getInfo/image/cf002e47-0639-11e6-b4aa-5cf3fc4a2490</v>
      </c>
      <c r="AD1244" s="32">
        <v>16</v>
      </c>
      <c r="AE1244" s="3"/>
      <c r="AF1244" s="3" t="s">
        <v>136</v>
      </c>
      <c r="AG1244" s="3"/>
      <c r="AH1244" s="3" t="s">
        <v>56</v>
      </c>
      <c r="AI1244" s="3"/>
      <c r="AJ1244" s="3" t="s">
        <v>5227</v>
      </c>
      <c r="AK1244" s="3" t="str">
        <f>HYPERLINK("https://knigipp.ru/api/getInfo/item/cf002e47-0639-11e6-b4aa-5cf3fc4a2490")</f>
        <v>https://knigipp.ru/api/getInfo/item/cf002e47-0639-11e6-b4aa-5cf3fc4a2490</v>
      </c>
      <c r="AL1244" s="3" t="s">
        <v>5247</v>
      </c>
    </row>
    <row r="1245" spans="1:38" ht="21" customHeight="1" outlineLevel="4" x14ac:dyDescent="0.2">
      <c r="A1245" s="2">
        <v>935</v>
      </c>
      <c r="B1245" s="3" t="s">
        <v>5264</v>
      </c>
      <c r="C1245" s="49" t="s">
        <v>5265</v>
      </c>
      <c r="D1245" s="49"/>
      <c r="E1245" s="49"/>
      <c r="F1245" s="49"/>
      <c r="G1245" s="4" t="s">
        <v>5266</v>
      </c>
      <c r="H1245" s="8"/>
      <c r="I1245" s="9" t="s">
        <v>5224</v>
      </c>
      <c r="J1245" s="10"/>
      <c r="K1245" s="11">
        <v>50</v>
      </c>
      <c r="L1245" s="10"/>
      <c r="M1245" s="10" t="s">
        <v>47</v>
      </c>
      <c r="N1245" s="10"/>
      <c r="O1245" s="2">
        <v>20</v>
      </c>
      <c r="P1245" s="17">
        <f>34*(1-S3/100)</f>
        <v>34</v>
      </c>
      <c r="Q1245" s="18"/>
      <c r="R1245" s="10">
        <f t="shared" si="48"/>
        <v>0</v>
      </c>
      <c r="S1245" s="19">
        <f t="shared" si="49"/>
        <v>0</v>
      </c>
      <c r="T1245" s="20">
        <f t="shared" si="50"/>
        <v>0</v>
      </c>
      <c r="U1245" s="21"/>
      <c r="V1245" s="22" t="s">
        <v>5267</v>
      </c>
      <c r="W1245" s="22" t="s">
        <v>49</v>
      </c>
      <c r="X1245" s="3"/>
      <c r="Y1245" s="3"/>
      <c r="Z1245" s="3" t="s">
        <v>52</v>
      </c>
      <c r="AA1245" s="3" t="s">
        <v>5226</v>
      </c>
      <c r="AB1245" s="3"/>
      <c r="AC1245" s="3" t="str">
        <f>HYPERLINK("https://knigipp.ru/api/getInfo/image/c0a02690-0639-11e6-b4aa-5cf3fc4a2490")</f>
        <v>https://knigipp.ru/api/getInfo/image/c0a02690-0639-11e6-b4aa-5cf3fc4a2490</v>
      </c>
      <c r="AD1245" s="32">
        <v>16</v>
      </c>
      <c r="AE1245" s="3"/>
      <c r="AF1245" s="3" t="s">
        <v>136</v>
      </c>
      <c r="AG1245" s="3"/>
      <c r="AH1245" s="3" t="s">
        <v>56</v>
      </c>
      <c r="AI1245" s="3"/>
      <c r="AJ1245" s="3" t="s">
        <v>5227</v>
      </c>
      <c r="AK1245" s="3" t="str">
        <f>HYPERLINK("https://knigipp.ru/api/getInfo/item/c0a02690-0639-11e6-b4aa-5cf3fc4a2490")</f>
        <v>https://knigipp.ru/api/getInfo/item/c0a02690-0639-11e6-b4aa-5cf3fc4a2490</v>
      </c>
      <c r="AL1245" s="3" t="s">
        <v>5247</v>
      </c>
    </row>
    <row r="1246" spans="1:38" ht="21" customHeight="1" outlineLevel="4" x14ac:dyDescent="0.2">
      <c r="A1246" s="2">
        <v>936</v>
      </c>
      <c r="B1246" s="3" t="s">
        <v>5268</v>
      </c>
      <c r="C1246" s="49" t="s">
        <v>5269</v>
      </c>
      <c r="D1246" s="49"/>
      <c r="E1246" s="49"/>
      <c r="F1246" s="49"/>
      <c r="G1246" s="4" t="s">
        <v>5270</v>
      </c>
      <c r="H1246" s="8"/>
      <c r="I1246" s="9" t="s">
        <v>5224</v>
      </c>
      <c r="J1246" s="10"/>
      <c r="K1246" s="11">
        <v>50</v>
      </c>
      <c r="L1246" s="10"/>
      <c r="M1246" s="10" t="s">
        <v>47</v>
      </c>
      <c r="N1246" s="10"/>
      <c r="O1246" s="2">
        <v>20</v>
      </c>
      <c r="P1246" s="17">
        <f>34*(1-S3/100)</f>
        <v>34</v>
      </c>
      <c r="Q1246" s="18"/>
      <c r="R1246" s="10">
        <f t="shared" si="48"/>
        <v>0</v>
      </c>
      <c r="S1246" s="19">
        <f t="shared" si="49"/>
        <v>0</v>
      </c>
      <c r="T1246" s="20">
        <f t="shared" si="50"/>
        <v>0</v>
      </c>
      <c r="U1246" s="21"/>
      <c r="V1246" s="22" t="s">
        <v>5271</v>
      </c>
      <c r="W1246" s="22" t="s">
        <v>49</v>
      </c>
      <c r="X1246" s="3"/>
      <c r="Y1246" s="3"/>
      <c r="Z1246" s="3" t="s">
        <v>52</v>
      </c>
      <c r="AA1246" s="3" t="s">
        <v>5226</v>
      </c>
      <c r="AB1246" s="3"/>
      <c r="AC1246" s="3" t="str">
        <f>HYPERLINK("https://knigipp.ru/api/getInfo/image/d73acbb2-0639-11e6-b4aa-5cf3fc4a2490")</f>
        <v>https://knigipp.ru/api/getInfo/image/d73acbb2-0639-11e6-b4aa-5cf3fc4a2490</v>
      </c>
      <c r="AD1246" s="32">
        <v>16</v>
      </c>
      <c r="AE1246" s="3"/>
      <c r="AF1246" s="3" t="s">
        <v>136</v>
      </c>
      <c r="AG1246" s="3"/>
      <c r="AH1246" s="3" t="s">
        <v>56</v>
      </c>
      <c r="AI1246" s="3"/>
      <c r="AJ1246" s="3" t="s">
        <v>5227</v>
      </c>
      <c r="AK1246" s="3" t="str">
        <f>HYPERLINK("https://knigipp.ru/api/getInfo/item/d73acbb2-0639-11e6-b4aa-5cf3fc4a2490")</f>
        <v>https://knigipp.ru/api/getInfo/item/d73acbb2-0639-11e6-b4aa-5cf3fc4a2490</v>
      </c>
      <c r="AL1246" s="3" t="s">
        <v>5247</v>
      </c>
    </row>
    <row r="1247" spans="1:38" ht="23.1" customHeight="1" outlineLevel="3" x14ac:dyDescent="0.2">
      <c r="A1247" s="48" t="s">
        <v>5272</v>
      </c>
      <c r="B1247" s="48"/>
      <c r="C1247" s="48"/>
      <c r="D1247" s="48"/>
      <c r="E1247" s="48"/>
      <c r="F1247" s="48"/>
    </row>
    <row r="1248" spans="1:38" ht="21" customHeight="1" outlineLevel="4" x14ac:dyDescent="0.2">
      <c r="A1248" s="2">
        <v>937</v>
      </c>
      <c r="B1248" s="3" t="s">
        <v>5273</v>
      </c>
      <c r="C1248" s="49" t="s">
        <v>5274</v>
      </c>
      <c r="D1248" s="49"/>
      <c r="E1248" s="49"/>
      <c r="F1248" s="49"/>
      <c r="G1248" s="4" t="s">
        <v>5275</v>
      </c>
      <c r="H1248" s="8"/>
      <c r="I1248" s="9" t="s">
        <v>5276</v>
      </c>
      <c r="J1248" s="10"/>
      <c r="K1248" s="11">
        <v>50</v>
      </c>
      <c r="L1248" s="10"/>
      <c r="M1248" s="10" t="s">
        <v>47</v>
      </c>
      <c r="N1248" s="10"/>
      <c r="O1248" s="2">
        <v>10</v>
      </c>
      <c r="P1248" s="17">
        <f>67*(1-S3/100)</f>
        <v>67</v>
      </c>
      <c r="Q1248" s="18"/>
      <c r="R1248" s="10">
        <f t="shared" ref="R1248:R1255" si="51">P1248*Q1248</f>
        <v>0</v>
      </c>
      <c r="S1248" s="19">
        <f>0.065*Q1248</f>
        <v>0</v>
      </c>
      <c r="T1248" s="20">
        <f>0.00022*Q1248</f>
        <v>0</v>
      </c>
      <c r="U1248" s="21"/>
      <c r="V1248" s="22" t="s">
        <v>5277</v>
      </c>
      <c r="W1248" s="22" t="s">
        <v>49</v>
      </c>
      <c r="X1248" s="3"/>
      <c r="Y1248" s="3"/>
      <c r="Z1248" s="3" t="s">
        <v>52</v>
      </c>
      <c r="AA1248" s="3"/>
      <c r="AB1248" s="3"/>
      <c r="AC1248" s="3" t="str">
        <f>HYPERLINK("https://knigipp.ru/api/getInfo/image/8244ec97-6122-11ee-a245-00155d82e902")</f>
        <v>https://knigipp.ru/api/getInfo/image/8244ec97-6122-11ee-a245-00155d82e902</v>
      </c>
      <c r="AD1248" s="32">
        <v>16</v>
      </c>
      <c r="AE1248" s="3"/>
      <c r="AF1248" s="3" t="s">
        <v>136</v>
      </c>
      <c r="AG1248" s="3"/>
      <c r="AH1248" s="3" t="s">
        <v>56</v>
      </c>
      <c r="AI1248" s="3"/>
      <c r="AJ1248" s="3"/>
      <c r="AK1248" s="3" t="str">
        <f>HYPERLINK("https://knigipp.ru/api/getInfo/item/8244ec97-6122-11ee-a245-00155d82e902")</f>
        <v>https://knigipp.ru/api/getInfo/item/8244ec97-6122-11ee-a245-00155d82e902</v>
      </c>
      <c r="AL1248" s="3" t="s">
        <v>1155</v>
      </c>
    </row>
    <row r="1249" spans="1:38" ht="21" customHeight="1" outlineLevel="4" x14ac:dyDescent="0.2">
      <c r="A1249" s="2">
        <v>938</v>
      </c>
      <c r="B1249" s="3" t="s">
        <v>5278</v>
      </c>
      <c r="C1249" s="49" t="s">
        <v>5279</v>
      </c>
      <c r="D1249" s="49"/>
      <c r="E1249" s="49"/>
      <c r="F1249" s="49"/>
      <c r="G1249" s="4" t="s">
        <v>5280</v>
      </c>
      <c r="H1249" s="8"/>
      <c r="I1249" s="9" t="s">
        <v>5276</v>
      </c>
      <c r="J1249" s="10"/>
      <c r="K1249" s="11">
        <v>50</v>
      </c>
      <c r="L1249" s="10"/>
      <c r="M1249" s="10" t="s">
        <v>47</v>
      </c>
      <c r="N1249" s="10"/>
      <c r="O1249" s="2">
        <v>10</v>
      </c>
      <c r="P1249" s="17">
        <f>67*(1-S3/100)</f>
        <v>67</v>
      </c>
      <c r="Q1249" s="18"/>
      <c r="R1249" s="10">
        <f t="shared" si="51"/>
        <v>0</v>
      </c>
      <c r="S1249" s="19">
        <f>0.065*Q1249</f>
        <v>0</v>
      </c>
      <c r="T1249" s="20">
        <f>0.00022*Q1249</f>
        <v>0</v>
      </c>
      <c r="U1249" s="21"/>
      <c r="V1249" s="22" t="s">
        <v>5281</v>
      </c>
      <c r="W1249" s="22" t="s">
        <v>49</v>
      </c>
      <c r="X1249" s="3"/>
      <c r="Y1249" s="3"/>
      <c r="Z1249" s="3" t="s">
        <v>52</v>
      </c>
      <c r="AA1249" s="3"/>
      <c r="AB1249" s="3"/>
      <c r="AC1249" s="3" t="str">
        <f>HYPERLINK("https://knigipp.ru/api/getInfo/image/009bd1bc-e8c8-11ed-a233-00155d82e902")</f>
        <v>https://knigipp.ru/api/getInfo/image/009bd1bc-e8c8-11ed-a233-00155d82e902</v>
      </c>
      <c r="AD1249" s="32">
        <v>16</v>
      </c>
      <c r="AE1249" s="3"/>
      <c r="AF1249" s="3" t="s">
        <v>136</v>
      </c>
      <c r="AG1249" s="3"/>
      <c r="AH1249" s="3" t="s">
        <v>56</v>
      </c>
      <c r="AI1249" s="3"/>
      <c r="AJ1249" s="3"/>
      <c r="AK1249" s="3" t="str">
        <f>HYPERLINK("https://knigipp.ru/api/getInfo/item/009bd1bc-e8c8-11ed-a233-00155d82e902")</f>
        <v>https://knigipp.ru/api/getInfo/item/009bd1bc-e8c8-11ed-a233-00155d82e902</v>
      </c>
      <c r="AL1249" s="3" t="s">
        <v>1155</v>
      </c>
    </row>
    <row r="1250" spans="1:38" ht="21" customHeight="1" outlineLevel="4" x14ac:dyDescent="0.2">
      <c r="A1250" s="2">
        <v>939</v>
      </c>
      <c r="B1250" s="3" t="s">
        <v>5282</v>
      </c>
      <c r="C1250" s="49" t="s">
        <v>5283</v>
      </c>
      <c r="D1250" s="49"/>
      <c r="E1250" s="49"/>
      <c r="F1250" s="49"/>
      <c r="G1250" s="4" t="s">
        <v>5284</v>
      </c>
      <c r="H1250" s="8"/>
      <c r="I1250" s="9" t="s">
        <v>5276</v>
      </c>
      <c r="J1250" s="10"/>
      <c r="K1250" s="11">
        <v>50</v>
      </c>
      <c r="L1250" s="10"/>
      <c r="M1250" s="10" t="s">
        <v>47</v>
      </c>
      <c r="N1250" s="10"/>
      <c r="O1250" s="2">
        <v>10</v>
      </c>
      <c r="P1250" s="17">
        <f>67*(1-S3/100)</f>
        <v>67</v>
      </c>
      <c r="Q1250" s="18"/>
      <c r="R1250" s="10">
        <f t="shared" si="51"/>
        <v>0</v>
      </c>
      <c r="S1250" s="19">
        <f>0.065*Q1250</f>
        <v>0</v>
      </c>
      <c r="T1250" s="20">
        <f>0.00022*Q1250</f>
        <v>0</v>
      </c>
      <c r="U1250" s="21"/>
      <c r="V1250" s="22" t="s">
        <v>5285</v>
      </c>
      <c r="W1250" s="22" t="s">
        <v>49</v>
      </c>
      <c r="X1250" s="3"/>
      <c r="Y1250" s="3"/>
      <c r="Z1250" s="3" t="s">
        <v>52</v>
      </c>
      <c r="AA1250" s="3"/>
      <c r="AB1250" s="3"/>
      <c r="AC1250" s="3" t="str">
        <f>HYPERLINK("https://knigipp.ru/api/getInfo/image/30036731-e8c8-11ed-a233-00155d82e902")</f>
        <v>https://knigipp.ru/api/getInfo/image/30036731-e8c8-11ed-a233-00155d82e902</v>
      </c>
      <c r="AD1250" s="32">
        <v>16</v>
      </c>
      <c r="AE1250" s="3"/>
      <c r="AF1250" s="3" t="s">
        <v>136</v>
      </c>
      <c r="AG1250" s="3"/>
      <c r="AH1250" s="3" t="s">
        <v>56</v>
      </c>
      <c r="AI1250" s="3"/>
      <c r="AJ1250" s="3"/>
      <c r="AK1250" s="3" t="str">
        <f>HYPERLINK("https://knigipp.ru/api/getInfo/item/30036731-e8c8-11ed-a233-00155d82e902")</f>
        <v>https://knigipp.ru/api/getInfo/item/30036731-e8c8-11ed-a233-00155d82e902</v>
      </c>
      <c r="AL1250" s="3" t="s">
        <v>1155</v>
      </c>
    </row>
    <row r="1251" spans="1:38" ht="21" customHeight="1" outlineLevel="4" x14ac:dyDescent="0.2">
      <c r="A1251" s="2">
        <v>940</v>
      </c>
      <c r="B1251" s="3" t="s">
        <v>5286</v>
      </c>
      <c r="C1251" s="49" t="s">
        <v>5287</v>
      </c>
      <c r="D1251" s="49"/>
      <c r="E1251" s="49"/>
      <c r="F1251" s="49"/>
      <c r="G1251" s="4" t="s">
        <v>5288</v>
      </c>
      <c r="H1251" s="8"/>
      <c r="I1251" s="9" t="s">
        <v>5276</v>
      </c>
      <c r="J1251" s="10"/>
      <c r="K1251" s="11">
        <v>50</v>
      </c>
      <c r="L1251" s="10"/>
      <c r="M1251" s="10" t="s">
        <v>47</v>
      </c>
      <c r="N1251" s="10"/>
      <c r="O1251" s="2">
        <v>10</v>
      </c>
      <c r="P1251" s="17">
        <f>67*(1-S3/100)</f>
        <v>67</v>
      </c>
      <c r="Q1251" s="18"/>
      <c r="R1251" s="10">
        <f t="shared" si="51"/>
        <v>0</v>
      </c>
      <c r="S1251" s="19">
        <f>0.048*Q1251</f>
        <v>0</v>
      </c>
      <c r="T1251" s="20">
        <f>0.00023*Q1251</f>
        <v>0</v>
      </c>
      <c r="U1251" s="21"/>
      <c r="V1251" s="22" t="s">
        <v>5289</v>
      </c>
      <c r="W1251" s="22" t="s">
        <v>49</v>
      </c>
      <c r="X1251" s="3"/>
      <c r="Y1251" s="3"/>
      <c r="Z1251" s="3" t="s">
        <v>52</v>
      </c>
      <c r="AA1251" s="3"/>
      <c r="AB1251" s="3"/>
      <c r="AC1251" s="3" t="str">
        <f>HYPERLINK("https://knigipp.ru/api/getInfo/image/eb5ea146-6122-11ee-a245-00155d82e902")</f>
        <v>https://knigipp.ru/api/getInfo/image/eb5ea146-6122-11ee-a245-00155d82e902</v>
      </c>
      <c r="AD1251" s="32">
        <v>16</v>
      </c>
      <c r="AE1251" s="3"/>
      <c r="AF1251" s="3" t="s">
        <v>136</v>
      </c>
      <c r="AG1251" s="3"/>
      <c r="AH1251" s="3" t="s">
        <v>56</v>
      </c>
      <c r="AI1251" s="3"/>
      <c r="AJ1251" s="3"/>
      <c r="AK1251" s="3" t="str">
        <f>HYPERLINK("https://knigipp.ru/api/getInfo/item/eb5ea146-6122-11ee-a245-00155d82e902")</f>
        <v>https://knigipp.ru/api/getInfo/item/eb5ea146-6122-11ee-a245-00155d82e902</v>
      </c>
      <c r="AL1251" s="3" t="s">
        <v>1155</v>
      </c>
    </row>
    <row r="1252" spans="1:38" ht="21" customHeight="1" outlineLevel="4" x14ac:dyDescent="0.2">
      <c r="A1252" s="2">
        <v>941</v>
      </c>
      <c r="B1252" s="3" t="s">
        <v>5290</v>
      </c>
      <c r="C1252" s="49" t="s">
        <v>5291</v>
      </c>
      <c r="D1252" s="49"/>
      <c r="E1252" s="49"/>
      <c r="F1252" s="49"/>
      <c r="G1252" s="4" t="s">
        <v>5292</v>
      </c>
      <c r="H1252" s="8"/>
      <c r="I1252" s="9" t="s">
        <v>5276</v>
      </c>
      <c r="J1252" s="10"/>
      <c r="K1252" s="11">
        <v>50</v>
      </c>
      <c r="L1252" s="10"/>
      <c r="M1252" s="10" t="s">
        <v>47</v>
      </c>
      <c r="N1252" s="10"/>
      <c r="O1252" s="2">
        <v>10</v>
      </c>
      <c r="P1252" s="17">
        <f>67*(1-S3/100)</f>
        <v>67</v>
      </c>
      <c r="Q1252" s="18"/>
      <c r="R1252" s="10">
        <f t="shared" si="51"/>
        <v>0</v>
      </c>
      <c r="S1252" s="19">
        <f>0.047*Q1252</f>
        <v>0</v>
      </c>
      <c r="T1252" s="20">
        <f>0.00022*Q1252</f>
        <v>0</v>
      </c>
      <c r="U1252" s="21"/>
      <c r="V1252" s="22" t="s">
        <v>5293</v>
      </c>
      <c r="W1252" s="22" t="s">
        <v>49</v>
      </c>
      <c r="X1252" s="3"/>
      <c r="Y1252" s="3"/>
      <c r="Z1252" s="3" t="s">
        <v>52</v>
      </c>
      <c r="AA1252" s="3"/>
      <c r="AB1252" s="3"/>
      <c r="AC1252" s="3" t="str">
        <f>HYPERLINK("https://knigipp.ru/api/getInfo/image/5ffc6ede-e8c8-11ed-a233-00155d82e902")</f>
        <v>https://knigipp.ru/api/getInfo/image/5ffc6ede-e8c8-11ed-a233-00155d82e902</v>
      </c>
      <c r="AD1252" s="32">
        <v>16</v>
      </c>
      <c r="AE1252" s="3"/>
      <c r="AF1252" s="3" t="s">
        <v>136</v>
      </c>
      <c r="AG1252" s="3"/>
      <c r="AH1252" s="3" t="s">
        <v>56</v>
      </c>
      <c r="AI1252" s="3"/>
      <c r="AJ1252" s="3"/>
      <c r="AK1252" s="3" t="str">
        <f>HYPERLINK("https://knigipp.ru/api/getInfo/item/5ffc6ede-e8c8-11ed-a233-00155d82e902")</f>
        <v>https://knigipp.ru/api/getInfo/item/5ffc6ede-e8c8-11ed-a233-00155d82e902</v>
      </c>
      <c r="AL1252" s="3" t="s">
        <v>1155</v>
      </c>
    </row>
    <row r="1253" spans="1:38" ht="21" customHeight="1" outlineLevel="4" x14ac:dyDescent="0.2">
      <c r="A1253" s="2">
        <v>942</v>
      </c>
      <c r="B1253" s="3" t="s">
        <v>5294</v>
      </c>
      <c r="C1253" s="49" t="s">
        <v>5295</v>
      </c>
      <c r="D1253" s="49"/>
      <c r="E1253" s="49"/>
      <c r="F1253" s="49"/>
      <c r="G1253" s="4" t="s">
        <v>5296</v>
      </c>
      <c r="H1253" s="8"/>
      <c r="I1253" s="9" t="s">
        <v>5276</v>
      </c>
      <c r="J1253" s="10"/>
      <c r="K1253" s="11">
        <v>50</v>
      </c>
      <c r="L1253" s="10"/>
      <c r="M1253" s="10" t="s">
        <v>47</v>
      </c>
      <c r="N1253" s="10"/>
      <c r="O1253" s="2">
        <v>10</v>
      </c>
      <c r="P1253" s="17">
        <f>67*(1-S3/100)</f>
        <v>67</v>
      </c>
      <c r="Q1253" s="18"/>
      <c r="R1253" s="10">
        <f t="shared" si="51"/>
        <v>0</v>
      </c>
      <c r="S1253" s="19">
        <f>0.047*Q1253</f>
        <v>0</v>
      </c>
      <c r="T1253" s="20">
        <f>0.00017*Q1253</f>
        <v>0</v>
      </c>
      <c r="U1253" s="21"/>
      <c r="V1253" s="22" t="s">
        <v>5297</v>
      </c>
      <c r="W1253" s="22" t="s">
        <v>49</v>
      </c>
      <c r="X1253" s="3"/>
      <c r="Y1253" s="3"/>
      <c r="Z1253" s="3" t="s">
        <v>52</v>
      </c>
      <c r="AA1253" s="3"/>
      <c r="AB1253" s="3"/>
      <c r="AC1253" s="3" t="str">
        <f>HYPERLINK("https://knigipp.ru/api/getInfo/image/c871e059-6122-11ee-a245-00155d82e902")</f>
        <v>https://knigipp.ru/api/getInfo/image/c871e059-6122-11ee-a245-00155d82e902</v>
      </c>
      <c r="AD1253" s="32">
        <v>16</v>
      </c>
      <c r="AE1253" s="3"/>
      <c r="AF1253" s="3" t="s">
        <v>136</v>
      </c>
      <c r="AG1253" s="3"/>
      <c r="AH1253" s="3" t="s">
        <v>56</v>
      </c>
      <c r="AI1253" s="3"/>
      <c r="AJ1253" s="3"/>
      <c r="AK1253" s="3" t="str">
        <f>HYPERLINK("https://knigipp.ru/api/getInfo/item/c871e059-6122-11ee-a245-00155d82e902")</f>
        <v>https://knigipp.ru/api/getInfo/item/c871e059-6122-11ee-a245-00155d82e902</v>
      </c>
      <c r="AL1253" s="3" t="s">
        <v>1155</v>
      </c>
    </row>
    <row r="1254" spans="1:38" ht="21" customHeight="1" outlineLevel="4" x14ac:dyDescent="0.2">
      <c r="A1254" s="2">
        <v>943</v>
      </c>
      <c r="B1254" s="3" t="s">
        <v>5298</v>
      </c>
      <c r="C1254" s="49" t="s">
        <v>5299</v>
      </c>
      <c r="D1254" s="49"/>
      <c r="E1254" s="49"/>
      <c r="F1254" s="49"/>
      <c r="G1254" s="4" t="s">
        <v>5300</v>
      </c>
      <c r="H1254" s="8"/>
      <c r="I1254" s="9" t="s">
        <v>5276</v>
      </c>
      <c r="J1254" s="10"/>
      <c r="K1254" s="11">
        <v>50</v>
      </c>
      <c r="L1254" s="10"/>
      <c r="M1254" s="10" t="s">
        <v>47</v>
      </c>
      <c r="N1254" s="10"/>
      <c r="O1254" s="2">
        <v>10</v>
      </c>
      <c r="P1254" s="17">
        <f>67*(1-S3/100)</f>
        <v>67</v>
      </c>
      <c r="Q1254" s="18"/>
      <c r="R1254" s="10">
        <f t="shared" si="51"/>
        <v>0</v>
      </c>
      <c r="S1254" s="19">
        <f>0.046*Q1254</f>
        <v>0</v>
      </c>
      <c r="T1254" s="20">
        <f>0.00039*Q1254</f>
        <v>0</v>
      </c>
      <c r="U1254" s="21"/>
      <c r="V1254" s="22" t="s">
        <v>5301</v>
      </c>
      <c r="W1254" s="22" t="s">
        <v>49</v>
      </c>
      <c r="X1254" s="3"/>
      <c r="Y1254" s="3"/>
      <c r="Z1254" s="3" t="s">
        <v>52</v>
      </c>
      <c r="AA1254" s="3"/>
      <c r="AB1254" s="3"/>
      <c r="AC1254" s="3" t="str">
        <f>HYPERLINK("https://knigipp.ru/api/getInfo/image/891384a2-e8c8-11ed-a233-00155d82e902")</f>
        <v>https://knigipp.ru/api/getInfo/image/891384a2-e8c8-11ed-a233-00155d82e902</v>
      </c>
      <c r="AD1254" s="32">
        <v>16</v>
      </c>
      <c r="AE1254" s="3"/>
      <c r="AF1254" s="3" t="s">
        <v>136</v>
      </c>
      <c r="AG1254" s="3"/>
      <c r="AH1254" s="3" t="s">
        <v>56</v>
      </c>
      <c r="AI1254" s="3"/>
      <c r="AJ1254" s="3"/>
      <c r="AK1254" s="3" t="str">
        <f>HYPERLINK("https://knigipp.ru/api/getInfo/item/891384a2-e8c8-11ed-a233-00155d82e902")</f>
        <v>https://knigipp.ru/api/getInfo/item/891384a2-e8c8-11ed-a233-00155d82e902</v>
      </c>
      <c r="AL1254" s="3" t="s">
        <v>1155</v>
      </c>
    </row>
    <row r="1255" spans="1:38" ht="21" customHeight="1" outlineLevel="4" x14ac:dyDescent="0.2">
      <c r="A1255" s="2">
        <v>944</v>
      </c>
      <c r="B1255" s="3" t="s">
        <v>5302</v>
      </c>
      <c r="C1255" s="49" t="s">
        <v>5303</v>
      </c>
      <c r="D1255" s="49"/>
      <c r="E1255" s="49"/>
      <c r="F1255" s="49"/>
      <c r="G1255" s="4" t="s">
        <v>5304</v>
      </c>
      <c r="H1255" s="8"/>
      <c r="I1255" s="9" t="s">
        <v>5276</v>
      </c>
      <c r="J1255" s="10"/>
      <c r="K1255" s="11">
        <v>50</v>
      </c>
      <c r="L1255" s="10"/>
      <c r="M1255" s="10" t="s">
        <v>47</v>
      </c>
      <c r="N1255" s="10"/>
      <c r="O1255" s="2">
        <v>10</v>
      </c>
      <c r="P1255" s="17">
        <f>67*(1-S3/100)</f>
        <v>67</v>
      </c>
      <c r="Q1255" s="18"/>
      <c r="R1255" s="10">
        <f t="shared" si="51"/>
        <v>0</v>
      </c>
      <c r="S1255" s="19">
        <f>0.047*Q1255</f>
        <v>0</v>
      </c>
      <c r="T1255" s="20">
        <f>0.00028*Q1255</f>
        <v>0</v>
      </c>
      <c r="U1255" s="21"/>
      <c r="V1255" s="22" t="s">
        <v>5305</v>
      </c>
      <c r="W1255" s="22" t="s">
        <v>49</v>
      </c>
      <c r="X1255" s="3"/>
      <c r="Y1255" s="3"/>
      <c r="Z1255" s="3" t="s">
        <v>52</v>
      </c>
      <c r="AA1255" s="3"/>
      <c r="AB1255" s="3"/>
      <c r="AC1255" s="3" t="str">
        <f>HYPERLINK("https://knigipp.ru/api/getInfo/image/acbf4326-6122-11ee-a245-00155d82e902")</f>
        <v>https://knigipp.ru/api/getInfo/image/acbf4326-6122-11ee-a245-00155d82e902</v>
      </c>
      <c r="AD1255" s="32">
        <v>16</v>
      </c>
      <c r="AE1255" s="3"/>
      <c r="AF1255" s="3" t="s">
        <v>136</v>
      </c>
      <c r="AG1255" s="3"/>
      <c r="AH1255" s="3" t="s">
        <v>56</v>
      </c>
      <c r="AI1255" s="3"/>
      <c r="AJ1255" s="3"/>
      <c r="AK1255" s="3" t="str">
        <f>HYPERLINK("https://knigipp.ru/api/getInfo/item/acbf4326-6122-11ee-a245-00155d82e902")</f>
        <v>https://knigipp.ru/api/getInfo/item/acbf4326-6122-11ee-a245-00155d82e902</v>
      </c>
      <c r="AL1255" s="3" t="s">
        <v>1155</v>
      </c>
    </row>
    <row r="1256" spans="1:38" ht="23.1" customHeight="1" outlineLevel="3" x14ac:dyDescent="0.2">
      <c r="A1256" s="48" t="s">
        <v>5306</v>
      </c>
      <c r="B1256" s="48"/>
      <c r="C1256" s="48"/>
      <c r="D1256" s="48"/>
      <c r="E1256" s="48"/>
      <c r="F1256" s="48"/>
    </row>
    <row r="1257" spans="1:38" ht="21" customHeight="1" outlineLevel="4" x14ac:dyDescent="0.2">
      <c r="A1257" s="2">
        <v>945</v>
      </c>
      <c r="B1257" s="3" t="s">
        <v>5307</v>
      </c>
      <c r="C1257" s="49" t="s">
        <v>5308</v>
      </c>
      <c r="D1257" s="49"/>
      <c r="E1257" s="49"/>
      <c r="F1257" s="49"/>
      <c r="G1257" s="4" t="s">
        <v>5309</v>
      </c>
      <c r="H1257" s="8"/>
      <c r="I1257" s="9" t="s">
        <v>5276</v>
      </c>
      <c r="J1257" s="10"/>
      <c r="K1257" s="11">
        <v>50</v>
      </c>
      <c r="L1257" s="10"/>
      <c r="M1257" s="10" t="s">
        <v>47</v>
      </c>
      <c r="N1257" s="10"/>
      <c r="O1257" s="2">
        <v>20</v>
      </c>
      <c r="P1257" s="17">
        <f>29.7*(1-S3/100)</f>
        <v>29.7</v>
      </c>
      <c r="Q1257" s="18"/>
      <c r="R1257" s="10">
        <f>P1257*Q1257</f>
        <v>0</v>
      </c>
      <c r="S1257" s="10">
        <v>0</v>
      </c>
      <c r="T1257" s="10">
        <v>0</v>
      </c>
      <c r="U1257" s="21"/>
      <c r="V1257" s="22" t="s">
        <v>5310</v>
      </c>
      <c r="W1257" s="22" t="s">
        <v>49</v>
      </c>
      <c r="X1257" s="3"/>
      <c r="Y1257" s="3" t="s">
        <v>5311</v>
      </c>
      <c r="Z1257" s="3" t="s">
        <v>52</v>
      </c>
      <c r="AA1257" s="3"/>
      <c r="AB1257" s="3"/>
      <c r="AC1257" s="3" t="str">
        <f>HYPERLINK("https://knigipp.ru/api/getInfo/image/42f97636-6124-11ee-a245-00155d82e902")</f>
        <v>https://knigipp.ru/api/getInfo/image/42f97636-6124-11ee-a245-00155d82e902</v>
      </c>
      <c r="AD1257" s="32">
        <v>16</v>
      </c>
      <c r="AE1257" s="3" t="s">
        <v>54</v>
      </c>
      <c r="AF1257" s="3" t="s">
        <v>136</v>
      </c>
      <c r="AG1257" s="3"/>
      <c r="AH1257" s="3" t="s">
        <v>56</v>
      </c>
      <c r="AI1257" s="3"/>
      <c r="AJ1257" s="3"/>
      <c r="AK1257" s="3" t="str">
        <f>HYPERLINK("https://knigipp.ru/api/getInfo/item/42f97636-6124-11ee-a245-00155d82e902")</f>
        <v>https://knigipp.ru/api/getInfo/item/42f97636-6124-11ee-a245-00155d82e902</v>
      </c>
      <c r="AL1257" s="3" t="s">
        <v>5312</v>
      </c>
    </row>
    <row r="1258" spans="1:38" ht="21" customHeight="1" outlineLevel="4" x14ac:dyDescent="0.2">
      <c r="A1258" s="2">
        <v>946</v>
      </c>
      <c r="B1258" s="3" t="s">
        <v>5313</v>
      </c>
      <c r="C1258" s="49" t="s">
        <v>5314</v>
      </c>
      <c r="D1258" s="49"/>
      <c r="E1258" s="49"/>
      <c r="F1258" s="49"/>
      <c r="G1258" s="4" t="s">
        <v>5315</v>
      </c>
      <c r="H1258" s="8"/>
      <c r="I1258" s="9" t="s">
        <v>5276</v>
      </c>
      <c r="J1258" s="10"/>
      <c r="K1258" s="11">
        <v>50</v>
      </c>
      <c r="L1258" s="10"/>
      <c r="M1258" s="10" t="s">
        <v>304</v>
      </c>
      <c r="N1258" s="10"/>
      <c r="O1258" s="2">
        <v>20</v>
      </c>
      <c r="P1258" s="17">
        <f>29.7*(1-S3/100)</f>
        <v>29.7</v>
      </c>
      <c r="Q1258" s="18"/>
      <c r="R1258" s="10">
        <f>P1258*Q1258</f>
        <v>0</v>
      </c>
      <c r="S1258" s="10">
        <v>0</v>
      </c>
      <c r="T1258" s="10">
        <v>0</v>
      </c>
      <c r="U1258" s="21"/>
      <c r="V1258" s="22" t="s">
        <v>5316</v>
      </c>
      <c r="W1258" s="22" t="s">
        <v>49</v>
      </c>
      <c r="X1258" s="3"/>
      <c r="Y1258" s="3" t="s">
        <v>5311</v>
      </c>
      <c r="Z1258" s="3" t="s">
        <v>52</v>
      </c>
      <c r="AA1258" s="3"/>
      <c r="AB1258" s="3"/>
      <c r="AC1258" s="3" t="str">
        <f>HYPERLINK("https://knigipp.ru/api/getInfo/image/00360a5b-6125-11ee-a245-00155d82e902")</f>
        <v>https://knigipp.ru/api/getInfo/image/00360a5b-6125-11ee-a245-00155d82e902</v>
      </c>
      <c r="AD1258" s="32">
        <v>16</v>
      </c>
      <c r="AE1258" s="3" t="s">
        <v>54</v>
      </c>
      <c r="AF1258" s="3" t="s">
        <v>136</v>
      </c>
      <c r="AG1258" s="3"/>
      <c r="AH1258" s="3" t="s">
        <v>56</v>
      </c>
      <c r="AI1258" s="3"/>
      <c r="AJ1258" s="3"/>
      <c r="AK1258" s="3" t="str">
        <f>HYPERLINK("https://knigipp.ru/api/getInfo/item/00360a5b-6125-11ee-a245-00155d82e902")</f>
        <v>https://knigipp.ru/api/getInfo/item/00360a5b-6125-11ee-a245-00155d82e902</v>
      </c>
      <c r="AL1258" s="3" t="s">
        <v>5312</v>
      </c>
    </row>
    <row r="1259" spans="1:38" ht="23.1" customHeight="1" outlineLevel="3" x14ac:dyDescent="0.2">
      <c r="A1259" s="48" t="s">
        <v>5317</v>
      </c>
      <c r="B1259" s="48"/>
      <c r="C1259" s="48"/>
      <c r="D1259" s="48"/>
      <c r="E1259" s="48"/>
      <c r="F1259" s="48"/>
    </row>
    <row r="1260" spans="1:38" ht="21" customHeight="1" outlineLevel="4" x14ac:dyDescent="0.2">
      <c r="A1260" s="2">
        <v>947</v>
      </c>
      <c r="B1260" s="3" t="s">
        <v>5318</v>
      </c>
      <c r="C1260" s="49" t="s">
        <v>5319</v>
      </c>
      <c r="D1260" s="49"/>
      <c r="E1260" s="49"/>
      <c r="F1260" s="49"/>
      <c r="G1260" s="4" t="s">
        <v>5320</v>
      </c>
      <c r="H1260" s="8"/>
      <c r="I1260" s="9" t="s">
        <v>5321</v>
      </c>
      <c r="J1260" s="10"/>
      <c r="K1260" s="11">
        <v>50</v>
      </c>
      <c r="L1260" s="10"/>
      <c r="M1260" s="10" t="s">
        <v>304</v>
      </c>
      <c r="N1260" s="10"/>
      <c r="O1260" s="2">
        <v>30</v>
      </c>
      <c r="P1260" s="17">
        <f>19.43*(1-S3/100)</f>
        <v>19.43</v>
      </c>
      <c r="Q1260" s="18"/>
      <c r="R1260" s="10">
        <f>P1260*Q1260</f>
        <v>0</v>
      </c>
      <c r="S1260" s="28">
        <f>0.04*Q1260</f>
        <v>0</v>
      </c>
      <c r="T1260" s="20">
        <f>0.00003*Q1260</f>
        <v>0</v>
      </c>
      <c r="U1260" s="21"/>
      <c r="V1260" s="22" t="s">
        <v>5322</v>
      </c>
      <c r="W1260" s="22" t="s">
        <v>49</v>
      </c>
      <c r="X1260" s="3"/>
      <c r="Y1260" s="3"/>
      <c r="Z1260" s="3" t="s">
        <v>52</v>
      </c>
      <c r="AA1260" s="3"/>
      <c r="AB1260" s="3"/>
      <c r="AC1260" s="3" t="str">
        <f>HYPERLINK("https://knigipp.ru/api/getInfo/image/bf9b62c4-9f31-11ea-a248-ac1f6b442184")</f>
        <v>https://knigipp.ru/api/getInfo/image/bf9b62c4-9f31-11ea-a248-ac1f6b442184</v>
      </c>
      <c r="AD1260" s="32">
        <v>16</v>
      </c>
      <c r="AE1260" s="3"/>
      <c r="AF1260" s="3" t="s">
        <v>136</v>
      </c>
      <c r="AG1260" s="3"/>
      <c r="AH1260" s="3" t="s">
        <v>56</v>
      </c>
      <c r="AI1260" s="3"/>
      <c r="AJ1260" s="3"/>
      <c r="AK1260" s="3" t="str">
        <f>HYPERLINK("https://knigipp.ru/api/getInfo/item/bf9b62c4-9f31-11ea-a248-ac1f6b442184")</f>
        <v>https://knigipp.ru/api/getInfo/item/bf9b62c4-9f31-11ea-a248-ac1f6b442184</v>
      </c>
      <c r="AL1260" s="3" t="s">
        <v>5323</v>
      </c>
    </row>
    <row r="1261" spans="1:38" ht="23.1" customHeight="1" outlineLevel="3" x14ac:dyDescent="0.2">
      <c r="A1261" s="48" t="s">
        <v>5324</v>
      </c>
      <c r="B1261" s="48"/>
      <c r="C1261" s="48"/>
      <c r="D1261" s="48"/>
      <c r="E1261" s="48"/>
      <c r="F1261" s="48"/>
    </row>
    <row r="1262" spans="1:38" ht="21" customHeight="1" outlineLevel="4" x14ac:dyDescent="0.2">
      <c r="A1262" s="2">
        <v>948</v>
      </c>
      <c r="B1262" s="3" t="s">
        <v>5325</v>
      </c>
      <c r="C1262" s="49" t="s">
        <v>5326</v>
      </c>
      <c r="D1262" s="49"/>
      <c r="E1262" s="49"/>
      <c r="F1262" s="49"/>
      <c r="G1262" s="4" t="s">
        <v>5327</v>
      </c>
      <c r="H1262" s="8"/>
      <c r="I1262" s="9" t="s">
        <v>5328</v>
      </c>
      <c r="J1262" s="10"/>
      <c r="K1262" s="11">
        <v>50</v>
      </c>
      <c r="L1262" s="10"/>
      <c r="M1262" s="10" t="s">
        <v>47</v>
      </c>
      <c r="N1262" s="10"/>
      <c r="O1262" s="2">
        <v>10</v>
      </c>
      <c r="P1262" s="17">
        <f>67*(1-S3/100)</f>
        <v>67</v>
      </c>
      <c r="Q1262" s="18"/>
      <c r="R1262" s="10">
        <f>P1262*Q1262</f>
        <v>0</v>
      </c>
      <c r="S1262" s="19">
        <f>0.046*Q1262</f>
        <v>0</v>
      </c>
      <c r="T1262" s="20">
        <f>0.00022*Q1262</f>
        <v>0</v>
      </c>
      <c r="U1262" s="21"/>
      <c r="V1262" s="22" t="s">
        <v>5329</v>
      </c>
      <c r="W1262" s="22" t="s">
        <v>49</v>
      </c>
      <c r="X1262" s="3"/>
      <c r="Y1262" s="3"/>
      <c r="Z1262" s="3" t="s">
        <v>52</v>
      </c>
      <c r="AA1262" s="3"/>
      <c r="AB1262" s="3"/>
      <c r="AC1262" s="3" t="str">
        <f>HYPERLINK("https://knigipp.ru/api/getInfo/image/b31a932f-9dca-11eb-a201-ac1f6b442185")</f>
        <v>https://knigipp.ru/api/getInfo/image/b31a932f-9dca-11eb-a201-ac1f6b442185</v>
      </c>
      <c r="AD1262" s="32">
        <v>16</v>
      </c>
      <c r="AE1262" s="3"/>
      <c r="AF1262" s="3" t="s">
        <v>136</v>
      </c>
      <c r="AG1262" s="3"/>
      <c r="AH1262" s="3" t="s">
        <v>56</v>
      </c>
      <c r="AI1262" s="3"/>
      <c r="AJ1262" s="3"/>
      <c r="AK1262" s="3" t="str">
        <f>HYPERLINK("https://knigipp.ru/api/getInfo/item/b31a932f-9dca-11eb-a201-ac1f6b442185")</f>
        <v>https://knigipp.ru/api/getInfo/item/b31a932f-9dca-11eb-a201-ac1f6b442185</v>
      </c>
      <c r="AL1262" s="3" t="s">
        <v>1155</v>
      </c>
    </row>
    <row r="1263" spans="1:38" ht="21" customHeight="1" outlineLevel="4" x14ac:dyDescent="0.2">
      <c r="A1263" s="2">
        <v>949</v>
      </c>
      <c r="B1263" s="3" t="s">
        <v>5330</v>
      </c>
      <c r="C1263" s="49" t="s">
        <v>5331</v>
      </c>
      <c r="D1263" s="49"/>
      <c r="E1263" s="49"/>
      <c r="F1263" s="49"/>
      <c r="G1263" s="4" t="s">
        <v>5332</v>
      </c>
      <c r="H1263" s="8"/>
      <c r="I1263" s="9" t="s">
        <v>5333</v>
      </c>
      <c r="J1263" s="10"/>
      <c r="K1263" s="11">
        <v>50</v>
      </c>
      <c r="L1263" s="10"/>
      <c r="M1263" s="10" t="s">
        <v>47</v>
      </c>
      <c r="N1263" s="10"/>
      <c r="O1263" s="2">
        <v>10</v>
      </c>
      <c r="P1263" s="17">
        <f>67*(1-S3/100)</f>
        <v>67</v>
      </c>
      <c r="Q1263" s="18"/>
      <c r="R1263" s="10">
        <f>P1263*Q1263</f>
        <v>0</v>
      </c>
      <c r="S1263" s="19">
        <f>0.064*Q1263</f>
        <v>0</v>
      </c>
      <c r="T1263" s="20">
        <f>0.00016*Q1263</f>
        <v>0</v>
      </c>
      <c r="U1263" s="21"/>
      <c r="V1263" s="22" t="s">
        <v>5334</v>
      </c>
      <c r="W1263" s="22" t="s">
        <v>49</v>
      </c>
      <c r="X1263" s="3"/>
      <c r="Y1263" s="3"/>
      <c r="Z1263" s="3" t="s">
        <v>52</v>
      </c>
      <c r="AA1263" s="3"/>
      <c r="AB1263" s="3"/>
      <c r="AC1263" s="3" t="str">
        <f>HYPERLINK("https://knigipp.ru/api/getInfo/image/0e8f9169-9dcb-11eb-a201-ac1f6b442185")</f>
        <v>https://knigipp.ru/api/getInfo/image/0e8f9169-9dcb-11eb-a201-ac1f6b442185</v>
      </c>
      <c r="AD1263" s="32">
        <v>16</v>
      </c>
      <c r="AE1263" s="3"/>
      <c r="AF1263" s="3" t="s">
        <v>136</v>
      </c>
      <c r="AG1263" s="3"/>
      <c r="AH1263" s="3" t="s">
        <v>56</v>
      </c>
      <c r="AI1263" s="3"/>
      <c r="AJ1263" s="3"/>
      <c r="AK1263" s="3" t="str">
        <f>HYPERLINK("https://knigipp.ru/api/getInfo/item/0e8f9169-9dcb-11eb-a201-ac1f6b442185")</f>
        <v>https://knigipp.ru/api/getInfo/item/0e8f9169-9dcb-11eb-a201-ac1f6b442185</v>
      </c>
      <c r="AL1263" s="3" t="s">
        <v>1155</v>
      </c>
    </row>
    <row r="1264" spans="1:38" ht="23.1" customHeight="1" outlineLevel="3" x14ac:dyDescent="0.2">
      <c r="A1264" s="48" t="s">
        <v>5335</v>
      </c>
      <c r="B1264" s="48"/>
      <c r="C1264" s="48"/>
      <c r="D1264" s="48"/>
      <c r="E1264" s="48"/>
      <c r="F1264" s="48"/>
    </row>
    <row r="1265" spans="1:38" ht="21" customHeight="1" outlineLevel="4" x14ac:dyDescent="0.2">
      <c r="A1265" s="2">
        <v>950</v>
      </c>
      <c r="B1265" s="3" t="s">
        <v>5336</v>
      </c>
      <c r="C1265" s="49" t="s">
        <v>5337</v>
      </c>
      <c r="D1265" s="49"/>
      <c r="E1265" s="49"/>
      <c r="F1265" s="49"/>
      <c r="G1265" s="4" t="s">
        <v>5338</v>
      </c>
      <c r="H1265" s="8"/>
      <c r="I1265" s="9" t="s">
        <v>5339</v>
      </c>
      <c r="J1265" s="10"/>
      <c r="K1265" s="11">
        <v>50</v>
      </c>
      <c r="L1265" s="10"/>
      <c r="M1265" s="10" t="s">
        <v>304</v>
      </c>
      <c r="N1265" s="10"/>
      <c r="O1265" s="2">
        <v>10</v>
      </c>
      <c r="P1265" s="17">
        <f>70.49*(1-S3/100)</f>
        <v>70.489999999999995</v>
      </c>
      <c r="Q1265" s="18"/>
      <c r="R1265" s="10">
        <f>P1265*Q1265</f>
        <v>0</v>
      </c>
      <c r="S1265" s="19">
        <f>0.088*Q1265</f>
        <v>0</v>
      </c>
      <c r="T1265" s="20">
        <f>0.00012*Q1265</f>
        <v>0</v>
      </c>
      <c r="U1265" s="21"/>
      <c r="V1265" s="22" t="s">
        <v>5340</v>
      </c>
      <c r="W1265" s="22" t="s">
        <v>49</v>
      </c>
      <c r="X1265" s="3"/>
      <c r="Y1265" s="3"/>
      <c r="Z1265" s="3" t="s">
        <v>52</v>
      </c>
      <c r="AA1265" s="3" t="s">
        <v>5341</v>
      </c>
      <c r="AB1265" s="3"/>
      <c r="AC1265" s="3" t="str">
        <f>HYPERLINK("https://knigipp.ru/api/getInfo/image/7114b8e0-862c-11e6-97eb-5cf3fc4a2490")</f>
        <v>https://knigipp.ru/api/getInfo/image/7114b8e0-862c-11e6-97eb-5cf3fc4a2490</v>
      </c>
      <c r="AD1265" s="32">
        <v>16</v>
      </c>
      <c r="AE1265" s="3"/>
      <c r="AF1265" s="3" t="s">
        <v>136</v>
      </c>
      <c r="AG1265" s="3"/>
      <c r="AH1265" s="3" t="s">
        <v>56</v>
      </c>
      <c r="AI1265" s="3"/>
      <c r="AJ1265" s="3" t="s">
        <v>5342</v>
      </c>
      <c r="AK1265" s="3" t="str">
        <f>HYPERLINK("https://knigipp.ru/api/getInfo/item/7114b8e0-862c-11e6-97eb-5cf3fc4a2490")</f>
        <v>https://knigipp.ru/api/getInfo/item/7114b8e0-862c-11e6-97eb-5cf3fc4a2490</v>
      </c>
      <c r="AL1265" s="3" t="s">
        <v>5343</v>
      </c>
    </row>
    <row r="1266" spans="1:38" ht="23.1" customHeight="1" outlineLevel="3" x14ac:dyDescent="0.2">
      <c r="A1266" s="48" t="s">
        <v>5344</v>
      </c>
      <c r="B1266" s="48"/>
      <c r="C1266" s="48"/>
      <c r="D1266" s="48"/>
      <c r="E1266" s="48"/>
      <c r="F1266" s="48"/>
    </row>
    <row r="1267" spans="1:38" ht="21" customHeight="1" outlineLevel="4" x14ac:dyDescent="0.2">
      <c r="A1267" s="2">
        <v>951</v>
      </c>
      <c r="B1267" s="3" t="s">
        <v>5345</v>
      </c>
      <c r="C1267" s="49" t="s">
        <v>5346</v>
      </c>
      <c r="D1267" s="49"/>
      <c r="E1267" s="49"/>
      <c r="F1267" s="49"/>
      <c r="G1267" s="4" t="s">
        <v>5347</v>
      </c>
      <c r="H1267" s="8"/>
      <c r="I1267" s="9" t="s">
        <v>5348</v>
      </c>
      <c r="J1267" s="10"/>
      <c r="K1267" s="11">
        <v>50</v>
      </c>
      <c r="L1267" s="10"/>
      <c r="M1267" s="10" t="s">
        <v>47</v>
      </c>
      <c r="N1267" s="10"/>
      <c r="O1267" s="2">
        <v>10</v>
      </c>
      <c r="P1267" s="17">
        <f>77*(1-S3/100)</f>
        <v>77</v>
      </c>
      <c r="Q1267" s="18"/>
      <c r="R1267" s="10">
        <f>P1267*Q1267</f>
        <v>0</v>
      </c>
      <c r="S1267" s="19">
        <f>0.049*Q1267</f>
        <v>0</v>
      </c>
      <c r="T1267" s="20">
        <f>0.00023*Q1267</f>
        <v>0</v>
      </c>
      <c r="U1267" s="21"/>
      <c r="V1267" s="22" t="s">
        <v>5349</v>
      </c>
      <c r="W1267" s="22" t="s">
        <v>49</v>
      </c>
      <c r="X1267" s="3" t="s">
        <v>5350</v>
      </c>
      <c r="Y1267" s="3"/>
      <c r="Z1267" s="3" t="s">
        <v>52</v>
      </c>
      <c r="AA1267" s="3"/>
      <c r="AB1267" s="3"/>
      <c r="AC1267" s="3" t="str">
        <f>HYPERLINK("https://knigipp.ru/api/getInfo/image/f4fb1cfe-264a-11ea-a239-ac1f6b442184")</f>
        <v>https://knigipp.ru/api/getInfo/image/f4fb1cfe-264a-11ea-a239-ac1f6b442184</v>
      </c>
      <c r="AD1267" s="32">
        <v>16</v>
      </c>
      <c r="AE1267" s="3"/>
      <c r="AF1267" s="3" t="s">
        <v>136</v>
      </c>
      <c r="AG1267" s="3"/>
      <c r="AH1267" s="3" t="s">
        <v>56</v>
      </c>
      <c r="AI1267" s="3"/>
      <c r="AJ1267" s="3"/>
      <c r="AK1267" s="3" t="str">
        <f>HYPERLINK("https://knigipp.ru/api/getInfo/item/f4fb1cfe-264a-11ea-a239-ac1f6b442184")</f>
        <v>https://knigipp.ru/api/getInfo/item/f4fb1cfe-264a-11ea-a239-ac1f6b442184</v>
      </c>
      <c r="AL1267" s="3" t="s">
        <v>5351</v>
      </c>
    </row>
    <row r="1268" spans="1:38" ht="21" customHeight="1" outlineLevel="4" x14ac:dyDescent="0.2">
      <c r="A1268" s="2">
        <v>952</v>
      </c>
      <c r="B1268" s="3" t="s">
        <v>5352</v>
      </c>
      <c r="C1268" s="49" t="s">
        <v>5353</v>
      </c>
      <c r="D1268" s="49"/>
      <c r="E1268" s="49"/>
      <c r="F1268" s="49"/>
      <c r="G1268" s="4" t="s">
        <v>5354</v>
      </c>
      <c r="H1268" s="8"/>
      <c r="I1268" s="9" t="s">
        <v>5355</v>
      </c>
      <c r="J1268" s="10"/>
      <c r="K1268" s="11">
        <v>50</v>
      </c>
      <c r="L1268" s="10"/>
      <c r="M1268" s="10" t="s">
        <v>47</v>
      </c>
      <c r="N1268" s="10"/>
      <c r="O1268" s="2">
        <v>10</v>
      </c>
      <c r="P1268" s="17">
        <f>77*(1-S3/100)</f>
        <v>77</v>
      </c>
      <c r="Q1268" s="18"/>
      <c r="R1268" s="10">
        <f>P1268*Q1268</f>
        <v>0</v>
      </c>
      <c r="S1268" s="19">
        <f>0.051*Q1268</f>
        <v>0</v>
      </c>
      <c r="T1268" s="20">
        <f>0.00032*Q1268</f>
        <v>0</v>
      </c>
      <c r="U1268" s="21"/>
      <c r="V1268" s="22" t="s">
        <v>5356</v>
      </c>
      <c r="W1268" s="22" t="s">
        <v>49</v>
      </c>
      <c r="X1268" s="3" t="s">
        <v>5350</v>
      </c>
      <c r="Y1268" s="3"/>
      <c r="Z1268" s="3" t="s">
        <v>52</v>
      </c>
      <c r="AA1268" s="3"/>
      <c r="AB1268" s="3"/>
      <c r="AC1268" s="3" t="str">
        <f>HYPERLINK("https://knigipp.ru/api/getInfo/image/0b960799-264b-11ea-a239-ac1f6b442184")</f>
        <v>https://knigipp.ru/api/getInfo/image/0b960799-264b-11ea-a239-ac1f6b442184</v>
      </c>
      <c r="AD1268" s="32">
        <v>16</v>
      </c>
      <c r="AE1268" s="3"/>
      <c r="AF1268" s="3" t="s">
        <v>136</v>
      </c>
      <c r="AG1268" s="3"/>
      <c r="AH1268" s="3" t="s">
        <v>56</v>
      </c>
      <c r="AI1268" s="3"/>
      <c r="AJ1268" s="3"/>
      <c r="AK1268" s="3" t="str">
        <f>HYPERLINK("https://knigipp.ru/api/getInfo/item/0b960799-264b-11ea-a239-ac1f6b442184")</f>
        <v>https://knigipp.ru/api/getInfo/item/0b960799-264b-11ea-a239-ac1f6b442184</v>
      </c>
      <c r="AL1268" s="3" t="s">
        <v>5351</v>
      </c>
    </row>
    <row r="1269" spans="1:38" ht="23.1" customHeight="1" outlineLevel="3" x14ac:dyDescent="0.2">
      <c r="A1269" s="48" t="s">
        <v>5357</v>
      </c>
      <c r="B1269" s="48"/>
      <c r="C1269" s="48"/>
      <c r="D1269" s="48"/>
      <c r="E1269" s="48"/>
      <c r="F1269" s="48"/>
    </row>
    <row r="1270" spans="1:38" ht="21" customHeight="1" outlineLevel="4" x14ac:dyDescent="0.2">
      <c r="A1270" s="2">
        <v>953</v>
      </c>
      <c r="B1270" s="3" t="s">
        <v>5358</v>
      </c>
      <c r="C1270" s="49" t="s">
        <v>5359</v>
      </c>
      <c r="D1270" s="49"/>
      <c r="E1270" s="49"/>
      <c r="F1270" s="49"/>
      <c r="G1270" s="4" t="s">
        <v>5360</v>
      </c>
      <c r="H1270" s="8"/>
      <c r="I1270" s="9" t="s">
        <v>5361</v>
      </c>
      <c r="J1270" s="10"/>
      <c r="K1270" s="11">
        <v>50</v>
      </c>
      <c r="L1270" s="10"/>
      <c r="M1270" s="10" t="s">
        <v>47</v>
      </c>
      <c r="N1270" s="10"/>
      <c r="O1270" s="2">
        <v>12</v>
      </c>
      <c r="P1270" s="17">
        <f>57*(1-S3/100)</f>
        <v>57</v>
      </c>
      <c r="Q1270" s="18"/>
      <c r="R1270" s="10">
        <f>P1270*Q1270</f>
        <v>0</v>
      </c>
      <c r="S1270" s="28">
        <f>0.07*Q1270</f>
        <v>0</v>
      </c>
      <c r="T1270" s="20">
        <f>0.00005*Q1270</f>
        <v>0</v>
      </c>
      <c r="U1270" s="21"/>
      <c r="V1270" s="22" t="s">
        <v>5362</v>
      </c>
      <c r="W1270" s="22" t="s">
        <v>49</v>
      </c>
      <c r="X1270" s="3"/>
      <c r="Y1270" s="3"/>
      <c r="Z1270" s="3" t="s">
        <v>52</v>
      </c>
      <c r="AA1270" s="3"/>
      <c r="AB1270" s="3"/>
      <c r="AC1270" s="3" t="str">
        <f>HYPERLINK("https://knigipp.ru/api/getInfo/image/9acda8e3-d2fe-11ea-a250-ac1f6b442184")</f>
        <v>https://knigipp.ru/api/getInfo/image/9acda8e3-d2fe-11ea-a250-ac1f6b442184</v>
      </c>
      <c r="AD1270" s="32">
        <v>16</v>
      </c>
      <c r="AE1270" s="3"/>
      <c r="AF1270" s="3" t="s">
        <v>136</v>
      </c>
      <c r="AG1270" s="3"/>
      <c r="AH1270" s="3" t="s">
        <v>56</v>
      </c>
      <c r="AI1270" s="3"/>
      <c r="AJ1270" s="3"/>
      <c r="AK1270" s="3" t="str">
        <f>HYPERLINK("https://knigipp.ru/api/getInfo/item/9acda8e3-d2fe-11ea-a250-ac1f6b442184")</f>
        <v>https://knigipp.ru/api/getInfo/item/9acda8e3-d2fe-11ea-a250-ac1f6b442184</v>
      </c>
      <c r="AL1270" s="3" t="s">
        <v>1207</v>
      </c>
    </row>
    <row r="1271" spans="1:38" ht="21" customHeight="1" outlineLevel="4" x14ac:dyDescent="0.2">
      <c r="A1271" s="2">
        <v>954</v>
      </c>
      <c r="B1271" s="3" t="s">
        <v>5363</v>
      </c>
      <c r="C1271" s="49" t="s">
        <v>5364</v>
      </c>
      <c r="D1271" s="49"/>
      <c r="E1271" s="49"/>
      <c r="F1271" s="49"/>
      <c r="G1271" s="4" t="s">
        <v>5365</v>
      </c>
      <c r="H1271" s="8"/>
      <c r="I1271" s="9" t="s">
        <v>5366</v>
      </c>
      <c r="J1271" s="10"/>
      <c r="K1271" s="11">
        <v>50</v>
      </c>
      <c r="L1271" s="10"/>
      <c r="M1271" s="10" t="s">
        <v>78</v>
      </c>
      <c r="N1271" s="10"/>
      <c r="O1271" s="2">
        <v>12</v>
      </c>
      <c r="P1271" s="17">
        <f>57*(1-S3/100)</f>
        <v>57</v>
      </c>
      <c r="Q1271" s="18"/>
      <c r="R1271" s="10">
        <f>P1271*Q1271</f>
        <v>0</v>
      </c>
      <c r="S1271" s="19">
        <f>0.051*Q1271</f>
        <v>0</v>
      </c>
      <c r="T1271" s="30">
        <f>0.0008*Q1271</f>
        <v>0</v>
      </c>
      <c r="U1271" s="21"/>
      <c r="V1271" s="22" t="s">
        <v>5367</v>
      </c>
      <c r="W1271" s="22" t="s">
        <v>49</v>
      </c>
      <c r="X1271" s="3"/>
      <c r="Y1271" s="3"/>
      <c r="Z1271" s="3" t="s">
        <v>52</v>
      </c>
      <c r="AA1271" s="3"/>
      <c r="AB1271" s="3"/>
      <c r="AC1271" s="3" t="str">
        <f>HYPERLINK("https://knigipp.ru/api/getInfo/image/34b4fa90-7322-11ea-a244-ac1f6b442184")</f>
        <v>https://knigipp.ru/api/getInfo/image/34b4fa90-7322-11ea-a244-ac1f6b442184</v>
      </c>
      <c r="AD1271" s="32">
        <v>16</v>
      </c>
      <c r="AE1271" s="3"/>
      <c r="AF1271" s="3" t="s">
        <v>136</v>
      </c>
      <c r="AG1271" s="3"/>
      <c r="AH1271" s="3" t="s">
        <v>56</v>
      </c>
      <c r="AI1271" s="3"/>
      <c r="AJ1271" s="3"/>
      <c r="AK1271" s="3" t="str">
        <f>HYPERLINK("https://knigipp.ru/api/getInfo/item/34b4fa90-7322-11ea-a244-ac1f6b442184")</f>
        <v>https://knigipp.ru/api/getInfo/item/34b4fa90-7322-11ea-a244-ac1f6b442184</v>
      </c>
      <c r="AL1271" s="3" t="s">
        <v>1207</v>
      </c>
    </row>
    <row r="1272" spans="1:38" ht="21" customHeight="1" outlineLevel="4" x14ac:dyDescent="0.2">
      <c r="A1272" s="2">
        <v>955</v>
      </c>
      <c r="B1272" s="3" t="s">
        <v>5368</v>
      </c>
      <c r="C1272" s="49" t="s">
        <v>5369</v>
      </c>
      <c r="D1272" s="49"/>
      <c r="E1272" s="49"/>
      <c r="F1272" s="49"/>
      <c r="G1272" s="4" t="s">
        <v>5370</v>
      </c>
      <c r="H1272" s="8"/>
      <c r="I1272" s="9" t="s">
        <v>5371</v>
      </c>
      <c r="J1272" s="10"/>
      <c r="K1272" s="11">
        <v>50</v>
      </c>
      <c r="L1272" s="10"/>
      <c r="M1272" s="10" t="s">
        <v>47</v>
      </c>
      <c r="N1272" s="10"/>
      <c r="O1272" s="2">
        <v>12</v>
      </c>
      <c r="P1272" s="17">
        <f>57*(1-S3/100)</f>
        <v>57</v>
      </c>
      <c r="Q1272" s="18"/>
      <c r="R1272" s="10">
        <f>P1272*Q1272</f>
        <v>0</v>
      </c>
      <c r="S1272" s="19">
        <f>0.051*Q1272</f>
        <v>0</v>
      </c>
      <c r="T1272" s="20">
        <f>0.00049*Q1272</f>
        <v>0</v>
      </c>
      <c r="U1272" s="21"/>
      <c r="V1272" s="22" t="s">
        <v>5372</v>
      </c>
      <c r="W1272" s="22" t="s">
        <v>49</v>
      </c>
      <c r="X1272" s="3"/>
      <c r="Y1272" s="3"/>
      <c r="Z1272" s="3" t="s">
        <v>52</v>
      </c>
      <c r="AA1272" s="3"/>
      <c r="AB1272" s="3"/>
      <c r="AC1272" s="3" t="str">
        <f>HYPERLINK("https://knigipp.ru/api/getInfo/image/d03bf830-d2fe-11ea-a250-ac1f6b442184")</f>
        <v>https://knigipp.ru/api/getInfo/image/d03bf830-d2fe-11ea-a250-ac1f6b442184</v>
      </c>
      <c r="AD1272" s="32">
        <v>16</v>
      </c>
      <c r="AE1272" s="3"/>
      <c r="AF1272" s="3" t="s">
        <v>136</v>
      </c>
      <c r="AG1272" s="3"/>
      <c r="AH1272" s="3" t="s">
        <v>56</v>
      </c>
      <c r="AI1272" s="3"/>
      <c r="AJ1272" s="3"/>
      <c r="AK1272" s="3" t="str">
        <f>HYPERLINK("https://knigipp.ru/api/getInfo/item/d03bf830-d2fe-11ea-a250-ac1f6b442184")</f>
        <v>https://knigipp.ru/api/getInfo/item/d03bf830-d2fe-11ea-a250-ac1f6b442184</v>
      </c>
      <c r="AL1272" s="3" t="s">
        <v>1207</v>
      </c>
    </row>
    <row r="1273" spans="1:38" ht="23.1" customHeight="1" outlineLevel="3" x14ac:dyDescent="0.2">
      <c r="A1273" s="48" t="s">
        <v>5373</v>
      </c>
      <c r="B1273" s="48"/>
      <c r="C1273" s="48"/>
      <c r="D1273" s="48"/>
      <c r="E1273" s="48"/>
      <c r="F1273" s="48"/>
    </row>
    <row r="1274" spans="1:38" ht="21" customHeight="1" outlineLevel="4" x14ac:dyDescent="0.2">
      <c r="A1274" s="2">
        <v>956</v>
      </c>
      <c r="B1274" s="3" t="s">
        <v>5374</v>
      </c>
      <c r="C1274" s="49" t="s">
        <v>5375</v>
      </c>
      <c r="D1274" s="49"/>
      <c r="E1274" s="49"/>
      <c r="F1274" s="49"/>
      <c r="G1274" s="4" t="s">
        <v>5376</v>
      </c>
      <c r="H1274" s="8"/>
      <c r="I1274" s="9" t="s">
        <v>5377</v>
      </c>
      <c r="J1274" s="10"/>
      <c r="K1274" s="11">
        <v>50</v>
      </c>
      <c r="L1274" s="10"/>
      <c r="M1274" s="10" t="s">
        <v>47</v>
      </c>
      <c r="N1274" s="10"/>
      <c r="O1274" s="2">
        <v>5</v>
      </c>
      <c r="P1274" s="17">
        <f>117*(1-S3/100)</f>
        <v>117</v>
      </c>
      <c r="Q1274" s="18"/>
      <c r="R1274" s="10">
        <f>P1274*Q1274</f>
        <v>0</v>
      </c>
      <c r="S1274" s="19">
        <f>0.048*Q1274</f>
        <v>0</v>
      </c>
      <c r="T1274" s="20">
        <f>0.00017*Q1274</f>
        <v>0</v>
      </c>
      <c r="U1274" s="21"/>
      <c r="V1274" s="22" t="s">
        <v>5378</v>
      </c>
      <c r="W1274" s="22" t="s">
        <v>49</v>
      </c>
      <c r="X1274" s="3"/>
      <c r="Y1274" s="3" t="s">
        <v>5379</v>
      </c>
      <c r="Z1274" s="3" t="s">
        <v>52</v>
      </c>
      <c r="AA1274" s="3"/>
      <c r="AB1274" s="3"/>
      <c r="AC1274" s="3" t="str">
        <f>HYPERLINK("https://knigipp.ru/api/getInfo/image/4a877937-4f3c-11ef-a262-00155d82e908")</f>
        <v>https://knigipp.ru/api/getInfo/image/4a877937-4f3c-11ef-a262-00155d82e908</v>
      </c>
      <c r="AD1274" s="32">
        <v>16</v>
      </c>
      <c r="AE1274" s="3" t="s">
        <v>54</v>
      </c>
      <c r="AF1274" s="3" t="s">
        <v>136</v>
      </c>
      <c r="AG1274" s="3"/>
      <c r="AH1274" s="3" t="s">
        <v>56</v>
      </c>
      <c r="AI1274" s="3"/>
      <c r="AJ1274" s="3"/>
      <c r="AK1274" s="3" t="str">
        <f>HYPERLINK("https://knigipp.ru/api/getInfo/item/4a877937-4f3c-11ef-a262-00155d82e908")</f>
        <v>https://knigipp.ru/api/getInfo/item/4a877937-4f3c-11ef-a262-00155d82e908</v>
      </c>
      <c r="AL1274" s="3" t="s">
        <v>4831</v>
      </c>
    </row>
    <row r="1275" spans="1:38" ht="21" customHeight="1" outlineLevel="4" x14ac:dyDescent="0.2">
      <c r="A1275" s="2">
        <v>957</v>
      </c>
      <c r="B1275" s="3" t="s">
        <v>5380</v>
      </c>
      <c r="C1275" s="49" t="s">
        <v>5381</v>
      </c>
      <c r="D1275" s="49"/>
      <c r="E1275" s="49"/>
      <c r="F1275" s="49"/>
      <c r="G1275" s="4" t="s">
        <v>5382</v>
      </c>
      <c r="H1275" s="8"/>
      <c r="I1275" s="9" t="s">
        <v>5377</v>
      </c>
      <c r="J1275" s="10"/>
      <c r="K1275" s="11">
        <v>50</v>
      </c>
      <c r="L1275" s="10"/>
      <c r="M1275" s="10" t="s">
        <v>47</v>
      </c>
      <c r="N1275" s="10"/>
      <c r="O1275" s="2">
        <v>5</v>
      </c>
      <c r="P1275" s="17">
        <f>117*(1-S3/100)</f>
        <v>117</v>
      </c>
      <c r="Q1275" s="18"/>
      <c r="R1275" s="10">
        <f>P1275*Q1275</f>
        <v>0</v>
      </c>
      <c r="S1275" s="19">
        <f>0.048*Q1275</f>
        <v>0</v>
      </c>
      <c r="T1275" s="20">
        <f>0.00017*Q1275</f>
        <v>0</v>
      </c>
      <c r="U1275" s="21"/>
      <c r="V1275" s="22" t="s">
        <v>5383</v>
      </c>
      <c r="W1275" s="22" t="s">
        <v>49</v>
      </c>
      <c r="X1275" s="3"/>
      <c r="Y1275" s="3" t="s">
        <v>5384</v>
      </c>
      <c r="Z1275" s="3" t="s">
        <v>52</v>
      </c>
      <c r="AA1275" s="3"/>
      <c r="AB1275" s="3"/>
      <c r="AC1275" s="3" t="str">
        <f>HYPERLINK("https://knigipp.ru/api/getInfo/image/ddd3ff92-4f3c-11ef-a262-00155d82e908")</f>
        <v>https://knigipp.ru/api/getInfo/image/ddd3ff92-4f3c-11ef-a262-00155d82e908</v>
      </c>
      <c r="AD1275" s="32">
        <v>16</v>
      </c>
      <c r="AE1275" s="3" t="s">
        <v>54</v>
      </c>
      <c r="AF1275" s="3" t="s">
        <v>136</v>
      </c>
      <c r="AG1275" s="3"/>
      <c r="AH1275" s="3" t="s">
        <v>56</v>
      </c>
      <c r="AI1275" s="3"/>
      <c r="AJ1275" s="3"/>
      <c r="AK1275" s="3" t="str">
        <f>HYPERLINK("https://knigipp.ru/api/getInfo/item/ddd3ff92-4f3c-11ef-a262-00155d82e908")</f>
        <v>https://knigipp.ru/api/getInfo/item/ddd3ff92-4f3c-11ef-a262-00155d82e908</v>
      </c>
      <c r="AL1275" s="3" t="s">
        <v>4831</v>
      </c>
    </row>
    <row r="1276" spans="1:38" ht="21" customHeight="1" outlineLevel="4" x14ac:dyDescent="0.2">
      <c r="A1276" s="2">
        <v>958</v>
      </c>
      <c r="B1276" s="3" t="s">
        <v>5385</v>
      </c>
      <c r="C1276" s="49" t="s">
        <v>5386</v>
      </c>
      <c r="D1276" s="49"/>
      <c r="E1276" s="49"/>
      <c r="F1276" s="49"/>
      <c r="G1276" s="4" t="s">
        <v>5387</v>
      </c>
      <c r="H1276" s="8"/>
      <c r="I1276" s="9" t="s">
        <v>5377</v>
      </c>
      <c r="J1276" s="10"/>
      <c r="K1276" s="11">
        <v>50</v>
      </c>
      <c r="L1276" s="10"/>
      <c r="M1276" s="10" t="s">
        <v>47</v>
      </c>
      <c r="N1276" s="10"/>
      <c r="O1276" s="2">
        <v>5</v>
      </c>
      <c r="P1276" s="17">
        <f>117*(1-S3/100)</f>
        <v>117</v>
      </c>
      <c r="Q1276" s="18"/>
      <c r="R1276" s="10">
        <f>P1276*Q1276</f>
        <v>0</v>
      </c>
      <c r="S1276" s="19">
        <f>0.048*Q1276</f>
        <v>0</v>
      </c>
      <c r="T1276" s="20">
        <f>0.00017*Q1276</f>
        <v>0</v>
      </c>
      <c r="U1276" s="21"/>
      <c r="V1276" s="22" t="s">
        <v>5388</v>
      </c>
      <c r="W1276" s="22" t="s">
        <v>49</v>
      </c>
      <c r="X1276" s="3"/>
      <c r="Y1276" s="3" t="s">
        <v>5389</v>
      </c>
      <c r="Z1276" s="3" t="s">
        <v>52</v>
      </c>
      <c r="AA1276" s="3"/>
      <c r="AB1276" s="3"/>
      <c r="AC1276" s="3" t="str">
        <f>HYPERLINK("https://knigipp.ru/api/getInfo/image/b483ae7c-4f3c-11ef-a262-00155d82e908")</f>
        <v>https://knigipp.ru/api/getInfo/image/b483ae7c-4f3c-11ef-a262-00155d82e908</v>
      </c>
      <c r="AD1276" s="32">
        <v>16</v>
      </c>
      <c r="AE1276" s="3" t="s">
        <v>54</v>
      </c>
      <c r="AF1276" s="3" t="s">
        <v>136</v>
      </c>
      <c r="AG1276" s="3"/>
      <c r="AH1276" s="3" t="s">
        <v>56</v>
      </c>
      <c r="AI1276" s="3"/>
      <c r="AJ1276" s="3"/>
      <c r="AK1276" s="3" t="str">
        <f>HYPERLINK("https://knigipp.ru/api/getInfo/item/b483ae7c-4f3c-11ef-a262-00155d82e908")</f>
        <v>https://knigipp.ru/api/getInfo/item/b483ae7c-4f3c-11ef-a262-00155d82e908</v>
      </c>
      <c r="AL1276" s="3" t="s">
        <v>4831</v>
      </c>
    </row>
    <row r="1277" spans="1:38" ht="21" customHeight="1" outlineLevel="4" x14ac:dyDescent="0.2">
      <c r="A1277" s="2">
        <v>959</v>
      </c>
      <c r="B1277" s="3" t="s">
        <v>5390</v>
      </c>
      <c r="C1277" s="49" t="s">
        <v>5391</v>
      </c>
      <c r="D1277" s="49"/>
      <c r="E1277" s="49"/>
      <c r="F1277" s="49"/>
      <c r="G1277" s="4" t="s">
        <v>5392</v>
      </c>
      <c r="H1277" s="8"/>
      <c r="I1277" s="9" t="s">
        <v>5377</v>
      </c>
      <c r="J1277" s="10"/>
      <c r="K1277" s="11">
        <v>50</v>
      </c>
      <c r="L1277" s="10"/>
      <c r="M1277" s="10" t="s">
        <v>47</v>
      </c>
      <c r="N1277" s="10"/>
      <c r="O1277" s="2">
        <v>5</v>
      </c>
      <c r="P1277" s="17">
        <f>117*(1-S3/100)</f>
        <v>117</v>
      </c>
      <c r="Q1277" s="18"/>
      <c r="R1277" s="10">
        <f>P1277*Q1277</f>
        <v>0</v>
      </c>
      <c r="S1277" s="19">
        <f>0.048*Q1277</f>
        <v>0</v>
      </c>
      <c r="T1277" s="20">
        <f>0.00017*Q1277</f>
        <v>0</v>
      </c>
      <c r="U1277" s="21"/>
      <c r="V1277" s="22" t="s">
        <v>5393</v>
      </c>
      <c r="W1277" s="22" t="s">
        <v>49</v>
      </c>
      <c r="X1277" s="3"/>
      <c r="Y1277" s="3" t="s">
        <v>5394</v>
      </c>
      <c r="Z1277" s="3" t="s">
        <v>52</v>
      </c>
      <c r="AA1277" s="3"/>
      <c r="AB1277" s="3"/>
      <c r="AC1277" s="3" t="str">
        <f>HYPERLINK("https://knigipp.ru/api/getInfo/image/8b014c65-4f3c-11ef-a262-00155d82e908")</f>
        <v>https://knigipp.ru/api/getInfo/image/8b014c65-4f3c-11ef-a262-00155d82e908</v>
      </c>
      <c r="AD1277" s="32">
        <v>16</v>
      </c>
      <c r="AE1277" s="3" t="s">
        <v>54</v>
      </c>
      <c r="AF1277" s="3" t="s">
        <v>136</v>
      </c>
      <c r="AG1277" s="3"/>
      <c r="AH1277" s="3" t="s">
        <v>56</v>
      </c>
      <c r="AI1277" s="3"/>
      <c r="AJ1277" s="3"/>
      <c r="AK1277" s="3" t="str">
        <f>HYPERLINK("https://knigipp.ru/api/getInfo/item/8b014c65-4f3c-11ef-a262-00155d82e908")</f>
        <v>https://knigipp.ru/api/getInfo/item/8b014c65-4f3c-11ef-a262-00155d82e908</v>
      </c>
      <c r="AL1277" s="3" t="s">
        <v>4831</v>
      </c>
    </row>
    <row r="1278" spans="1:38" ht="23.1" customHeight="1" outlineLevel="3" x14ac:dyDescent="0.2">
      <c r="A1278" s="48" t="s">
        <v>5395</v>
      </c>
      <c r="B1278" s="48"/>
      <c r="C1278" s="48"/>
      <c r="D1278" s="48"/>
      <c r="E1278" s="48"/>
      <c r="F1278" s="48"/>
    </row>
    <row r="1279" spans="1:38" ht="21" customHeight="1" outlineLevel="4" x14ac:dyDescent="0.2">
      <c r="A1279" s="2">
        <v>960</v>
      </c>
      <c r="B1279" s="3" t="s">
        <v>5396</v>
      </c>
      <c r="C1279" s="49" t="s">
        <v>5397</v>
      </c>
      <c r="D1279" s="49"/>
      <c r="E1279" s="49"/>
      <c r="F1279" s="49"/>
      <c r="G1279" s="4" t="s">
        <v>5398</v>
      </c>
      <c r="H1279" s="8"/>
      <c r="I1279" s="9" t="s">
        <v>5399</v>
      </c>
      <c r="J1279" s="10"/>
      <c r="K1279" s="11">
        <v>30</v>
      </c>
      <c r="L1279" s="10"/>
      <c r="M1279" s="10" t="s">
        <v>78</v>
      </c>
      <c r="N1279" s="10"/>
      <c r="O1279" s="2">
        <v>7</v>
      </c>
      <c r="P1279" s="17">
        <f>99*(1-S3/100)</f>
        <v>99</v>
      </c>
      <c r="Q1279" s="18"/>
      <c r="R1279" s="10">
        <f>P1279*Q1279</f>
        <v>0</v>
      </c>
      <c r="S1279" s="19">
        <f>0.046*Q1279</f>
        <v>0</v>
      </c>
      <c r="T1279" s="20">
        <f>0.00007*Q1279</f>
        <v>0</v>
      </c>
      <c r="U1279" s="21"/>
      <c r="V1279" s="22" t="s">
        <v>5400</v>
      </c>
      <c r="W1279" s="22" t="s">
        <v>49</v>
      </c>
      <c r="X1279" s="3"/>
      <c r="Y1279" s="3" t="s">
        <v>5401</v>
      </c>
      <c r="Z1279" s="3" t="s">
        <v>52</v>
      </c>
      <c r="AA1279" s="3"/>
      <c r="AB1279" s="3"/>
      <c r="AC1279" s="3" t="str">
        <f>HYPERLINK("https://knigipp.ru/api/getInfo/image/37f771c3-3a2b-11f0-a27c-00155d82e908")</f>
        <v>https://knigipp.ru/api/getInfo/image/37f771c3-3a2b-11f0-a27c-00155d82e908</v>
      </c>
      <c r="AD1279" s="32">
        <v>16</v>
      </c>
      <c r="AE1279" s="3"/>
      <c r="AF1279" s="3" t="s">
        <v>136</v>
      </c>
      <c r="AG1279" s="3"/>
      <c r="AH1279" s="3" t="s">
        <v>56</v>
      </c>
      <c r="AI1279" s="3"/>
      <c r="AJ1279" s="3"/>
      <c r="AK1279" s="3" t="str">
        <f>HYPERLINK("https://knigipp.ru/api/getInfo/item/37f771c3-3a2b-11f0-a27c-00155d82e908")</f>
        <v>https://knigipp.ru/api/getInfo/item/37f771c3-3a2b-11f0-a27c-00155d82e908</v>
      </c>
      <c r="AL1279" s="3" t="s">
        <v>5402</v>
      </c>
    </row>
    <row r="1280" spans="1:38" ht="21" customHeight="1" outlineLevel="4" x14ac:dyDescent="0.2">
      <c r="A1280" s="2">
        <v>961</v>
      </c>
      <c r="B1280" s="3" t="s">
        <v>5403</v>
      </c>
      <c r="C1280" s="49" t="s">
        <v>5404</v>
      </c>
      <c r="D1280" s="49"/>
      <c r="E1280" s="49"/>
      <c r="F1280" s="49"/>
      <c r="G1280" s="4" t="s">
        <v>5405</v>
      </c>
      <c r="H1280" s="8"/>
      <c r="I1280" s="9" t="s">
        <v>5399</v>
      </c>
      <c r="J1280" s="10"/>
      <c r="K1280" s="11">
        <v>30</v>
      </c>
      <c r="L1280" s="10"/>
      <c r="M1280" s="10" t="s">
        <v>304</v>
      </c>
      <c r="N1280" s="10"/>
      <c r="O1280" s="2">
        <v>7</v>
      </c>
      <c r="P1280" s="17">
        <f>99*(1-S3/100)</f>
        <v>99</v>
      </c>
      <c r="Q1280" s="18"/>
      <c r="R1280" s="10">
        <f>P1280*Q1280</f>
        <v>0</v>
      </c>
      <c r="S1280" s="19">
        <f>0.046*Q1280</f>
        <v>0</v>
      </c>
      <c r="T1280" s="20">
        <f>0.00008*Q1280</f>
        <v>0</v>
      </c>
      <c r="U1280" s="21"/>
      <c r="V1280" s="22" t="s">
        <v>5406</v>
      </c>
      <c r="W1280" s="22" t="s">
        <v>49</v>
      </c>
      <c r="X1280" s="3"/>
      <c r="Y1280" s="3" t="s">
        <v>5407</v>
      </c>
      <c r="Z1280" s="3" t="s">
        <v>52</v>
      </c>
      <c r="AA1280" s="3"/>
      <c r="AB1280" s="3"/>
      <c r="AC1280" s="3" t="str">
        <f>HYPERLINK("https://knigipp.ru/api/getInfo/image/a46e7f67-3a2b-11f0-a27c-00155d82e908")</f>
        <v>https://knigipp.ru/api/getInfo/image/a46e7f67-3a2b-11f0-a27c-00155d82e908</v>
      </c>
      <c r="AD1280" s="32">
        <v>16</v>
      </c>
      <c r="AE1280" s="3"/>
      <c r="AF1280" s="3" t="s">
        <v>136</v>
      </c>
      <c r="AG1280" s="3"/>
      <c r="AH1280" s="3" t="s">
        <v>56</v>
      </c>
      <c r="AI1280" s="3"/>
      <c r="AJ1280" s="3"/>
      <c r="AK1280" s="3" t="str">
        <f>HYPERLINK("https://knigipp.ru/api/getInfo/item/a46e7f67-3a2b-11f0-a27c-00155d82e908")</f>
        <v>https://knigipp.ru/api/getInfo/item/a46e7f67-3a2b-11f0-a27c-00155d82e908</v>
      </c>
      <c r="AL1280" s="3" t="s">
        <v>5402</v>
      </c>
    </row>
    <row r="1281" spans="1:38" ht="21" customHeight="1" outlineLevel="4" x14ac:dyDescent="0.2">
      <c r="A1281" s="2">
        <v>962</v>
      </c>
      <c r="B1281" s="3" t="s">
        <v>5408</v>
      </c>
      <c r="C1281" s="49" t="s">
        <v>5409</v>
      </c>
      <c r="D1281" s="49"/>
      <c r="E1281" s="49"/>
      <c r="F1281" s="49"/>
      <c r="G1281" s="4" t="s">
        <v>5410</v>
      </c>
      <c r="H1281" s="8"/>
      <c r="I1281" s="9" t="s">
        <v>5399</v>
      </c>
      <c r="J1281" s="10"/>
      <c r="K1281" s="11">
        <v>30</v>
      </c>
      <c r="L1281" s="10"/>
      <c r="M1281" s="10" t="s">
        <v>78</v>
      </c>
      <c r="N1281" s="10"/>
      <c r="O1281" s="2">
        <v>7</v>
      </c>
      <c r="P1281" s="17">
        <f>99*(1-S3/100)</f>
        <v>99</v>
      </c>
      <c r="Q1281" s="18"/>
      <c r="R1281" s="10">
        <f>P1281*Q1281</f>
        <v>0</v>
      </c>
      <c r="S1281" s="19">
        <f>0.046*Q1281</f>
        <v>0</v>
      </c>
      <c r="T1281" s="20">
        <f>0.00008*Q1281</f>
        <v>0</v>
      </c>
      <c r="U1281" s="21"/>
      <c r="V1281" s="22" t="s">
        <v>5411</v>
      </c>
      <c r="W1281" s="22" t="s">
        <v>49</v>
      </c>
      <c r="X1281" s="3"/>
      <c r="Y1281" s="3" t="s">
        <v>5412</v>
      </c>
      <c r="Z1281" s="3" t="s">
        <v>52</v>
      </c>
      <c r="AA1281" s="3"/>
      <c r="AB1281" s="3"/>
      <c r="AC1281" s="3" t="str">
        <f>HYPERLINK("https://knigipp.ru/api/getInfo/image/84d85b4c-3a2b-11f0-a27c-00155d82e908")</f>
        <v>https://knigipp.ru/api/getInfo/image/84d85b4c-3a2b-11f0-a27c-00155d82e908</v>
      </c>
      <c r="AD1281" s="32">
        <v>16</v>
      </c>
      <c r="AE1281" s="3"/>
      <c r="AF1281" s="3" t="s">
        <v>136</v>
      </c>
      <c r="AG1281" s="3"/>
      <c r="AH1281" s="3" t="s">
        <v>56</v>
      </c>
      <c r="AI1281" s="3"/>
      <c r="AJ1281" s="3"/>
      <c r="AK1281" s="3" t="str">
        <f>HYPERLINK("https://knigipp.ru/api/getInfo/item/84d85b4c-3a2b-11f0-a27c-00155d82e908")</f>
        <v>https://knigipp.ru/api/getInfo/item/84d85b4c-3a2b-11f0-a27c-00155d82e908</v>
      </c>
      <c r="AL1281" s="3" t="s">
        <v>5402</v>
      </c>
    </row>
    <row r="1282" spans="1:38" ht="21" customHeight="1" outlineLevel="4" x14ac:dyDescent="0.2">
      <c r="A1282" s="2">
        <v>963</v>
      </c>
      <c r="B1282" s="3" t="s">
        <v>5413</v>
      </c>
      <c r="C1282" s="49" t="s">
        <v>5414</v>
      </c>
      <c r="D1282" s="49"/>
      <c r="E1282" s="49"/>
      <c r="F1282" s="49"/>
      <c r="G1282" s="4" t="s">
        <v>5415</v>
      </c>
      <c r="H1282" s="8"/>
      <c r="I1282" s="9" t="s">
        <v>5399</v>
      </c>
      <c r="J1282" s="10"/>
      <c r="K1282" s="11">
        <v>30</v>
      </c>
      <c r="L1282" s="10"/>
      <c r="M1282" s="10" t="s">
        <v>78</v>
      </c>
      <c r="N1282" s="10"/>
      <c r="O1282" s="2">
        <v>7</v>
      </c>
      <c r="P1282" s="17">
        <f>99*(1-S3/100)</f>
        <v>99</v>
      </c>
      <c r="Q1282" s="18"/>
      <c r="R1282" s="10">
        <f>P1282*Q1282</f>
        <v>0</v>
      </c>
      <c r="S1282" s="19">
        <f>0.046*Q1282</f>
        <v>0</v>
      </c>
      <c r="T1282" s="20">
        <f>0.00008*Q1282</f>
        <v>0</v>
      </c>
      <c r="U1282" s="21"/>
      <c r="V1282" s="22" t="s">
        <v>5416</v>
      </c>
      <c r="W1282" s="22" t="s">
        <v>49</v>
      </c>
      <c r="X1282" s="3"/>
      <c r="Y1282" s="3" t="s">
        <v>5417</v>
      </c>
      <c r="Z1282" s="3" t="s">
        <v>52</v>
      </c>
      <c r="AA1282" s="3"/>
      <c r="AB1282" s="3"/>
      <c r="AC1282" s="3" t="str">
        <f>HYPERLINK("https://knigipp.ru/api/getInfo/image/622739c3-3a2b-11f0-a27c-00155d82e908")</f>
        <v>https://knigipp.ru/api/getInfo/image/622739c3-3a2b-11f0-a27c-00155d82e908</v>
      </c>
      <c r="AD1282" s="32">
        <v>16</v>
      </c>
      <c r="AE1282" s="3"/>
      <c r="AF1282" s="3" t="s">
        <v>136</v>
      </c>
      <c r="AG1282" s="3"/>
      <c r="AH1282" s="3" t="s">
        <v>56</v>
      </c>
      <c r="AI1282" s="3"/>
      <c r="AJ1282" s="3"/>
      <c r="AK1282" s="3" t="str">
        <f>HYPERLINK("https://knigipp.ru/api/getInfo/item/622739c3-3a2b-11f0-a27c-00155d82e908")</f>
        <v>https://knigipp.ru/api/getInfo/item/622739c3-3a2b-11f0-a27c-00155d82e908</v>
      </c>
      <c r="AL1282" s="3" t="s">
        <v>5402</v>
      </c>
    </row>
    <row r="1283" spans="1:38" ht="23.1" customHeight="1" outlineLevel="3" x14ac:dyDescent="0.2">
      <c r="A1283" s="48" t="s">
        <v>5418</v>
      </c>
      <c r="B1283" s="48"/>
      <c r="C1283" s="48"/>
      <c r="D1283" s="48"/>
      <c r="E1283" s="48"/>
      <c r="F1283" s="48"/>
    </row>
    <row r="1284" spans="1:38" ht="21" customHeight="1" outlineLevel="4" x14ac:dyDescent="0.2">
      <c r="A1284" s="2">
        <v>964</v>
      </c>
      <c r="B1284" s="3" t="s">
        <v>5419</v>
      </c>
      <c r="C1284" s="49" t="s">
        <v>5420</v>
      </c>
      <c r="D1284" s="49"/>
      <c r="E1284" s="49"/>
      <c r="F1284" s="49"/>
      <c r="G1284" s="4" t="s">
        <v>5421</v>
      </c>
      <c r="H1284" s="8"/>
      <c r="I1284" s="9" t="s">
        <v>5422</v>
      </c>
      <c r="J1284" s="10"/>
      <c r="K1284" s="11">
        <v>50</v>
      </c>
      <c r="L1284" s="10"/>
      <c r="M1284" s="10" t="s">
        <v>304</v>
      </c>
      <c r="N1284" s="10"/>
      <c r="O1284" s="2">
        <v>5</v>
      </c>
      <c r="P1284" s="17">
        <f>188.9*(1-S3/100)</f>
        <v>188.9</v>
      </c>
      <c r="Q1284" s="18"/>
      <c r="R1284" s="10">
        <f>P1284*Q1284</f>
        <v>0</v>
      </c>
      <c r="S1284" s="28">
        <f>0.13*Q1284</f>
        <v>0</v>
      </c>
      <c r="T1284" s="30">
        <f>0.0004*Q1284</f>
        <v>0</v>
      </c>
      <c r="U1284" s="21"/>
      <c r="V1284" s="22" t="s">
        <v>5423</v>
      </c>
      <c r="W1284" s="22" t="s">
        <v>49</v>
      </c>
      <c r="X1284" s="3"/>
      <c r="Y1284" s="3"/>
      <c r="Z1284" s="3" t="s">
        <v>52</v>
      </c>
      <c r="AA1284" s="3"/>
      <c r="AB1284" s="3"/>
      <c r="AC1284" s="3" t="str">
        <f>HYPERLINK("https://knigipp.ru/api/getInfo/image/9a5aa991-d331-11ea-a250-ac1f6b442184")</f>
        <v>https://knigipp.ru/api/getInfo/image/9a5aa991-d331-11ea-a250-ac1f6b442184</v>
      </c>
      <c r="AD1284" s="32">
        <v>32</v>
      </c>
      <c r="AE1284" s="3"/>
      <c r="AF1284" s="3" t="s">
        <v>136</v>
      </c>
      <c r="AG1284" s="3"/>
      <c r="AH1284" s="3" t="s">
        <v>56</v>
      </c>
      <c r="AI1284" s="3"/>
      <c r="AJ1284" s="3"/>
      <c r="AK1284" s="3" t="str">
        <f>HYPERLINK("https://knigipp.ru/api/getInfo/item/9a5aa991-d331-11ea-a250-ac1f6b442184")</f>
        <v>https://knigipp.ru/api/getInfo/item/9a5aa991-d331-11ea-a250-ac1f6b442184</v>
      </c>
      <c r="AL1284" s="3" t="s">
        <v>1207</v>
      </c>
    </row>
    <row r="1285" spans="1:38" ht="23.1" customHeight="1" outlineLevel="3" x14ac:dyDescent="0.2">
      <c r="A1285" s="48" t="s">
        <v>5424</v>
      </c>
      <c r="B1285" s="48"/>
      <c r="C1285" s="48"/>
      <c r="D1285" s="48"/>
      <c r="E1285" s="48"/>
      <c r="F1285" s="48"/>
    </row>
    <row r="1286" spans="1:38" ht="21" customHeight="1" outlineLevel="4" x14ac:dyDescent="0.2">
      <c r="A1286" s="2">
        <v>965</v>
      </c>
      <c r="B1286" s="3" t="s">
        <v>5425</v>
      </c>
      <c r="C1286" s="49" t="s">
        <v>5426</v>
      </c>
      <c r="D1286" s="49"/>
      <c r="E1286" s="49"/>
      <c r="F1286" s="49"/>
      <c r="G1286" s="4" t="s">
        <v>5427</v>
      </c>
      <c r="H1286" s="8"/>
      <c r="I1286" s="9" t="s">
        <v>5428</v>
      </c>
      <c r="J1286" s="10"/>
      <c r="K1286" s="11">
        <v>50</v>
      </c>
      <c r="L1286" s="10"/>
      <c r="M1286" s="10" t="s">
        <v>304</v>
      </c>
      <c r="N1286" s="10"/>
      <c r="O1286" s="2">
        <v>10</v>
      </c>
      <c r="P1286" s="17">
        <f>65.98*(1-S3/100)</f>
        <v>65.98</v>
      </c>
      <c r="Q1286" s="18"/>
      <c r="R1286" s="10">
        <f>P1286*Q1286</f>
        <v>0</v>
      </c>
      <c r="S1286" s="19">
        <f>0.069*Q1286</f>
        <v>0</v>
      </c>
      <c r="T1286" s="20">
        <f>0.00033*Q1286</f>
        <v>0</v>
      </c>
      <c r="U1286" s="21"/>
      <c r="V1286" s="22" t="s">
        <v>5429</v>
      </c>
      <c r="W1286" s="22" t="s">
        <v>49</v>
      </c>
      <c r="X1286" s="3"/>
      <c r="Y1286" s="3"/>
      <c r="Z1286" s="3" t="s">
        <v>52</v>
      </c>
      <c r="AA1286" s="3"/>
      <c r="AB1286" s="3"/>
      <c r="AC1286" s="3" t="str">
        <f>HYPERLINK("https://knigipp.ru/api/getInfo/image/9e107afa-6229-11eb-a26d-ac1f6b442184")</f>
        <v>https://knigipp.ru/api/getInfo/image/9e107afa-6229-11eb-a26d-ac1f6b442184</v>
      </c>
      <c r="AD1286" s="32">
        <v>16</v>
      </c>
      <c r="AE1286" s="3"/>
      <c r="AF1286" s="3" t="s">
        <v>136</v>
      </c>
      <c r="AG1286" s="3"/>
      <c r="AH1286" s="3" t="s">
        <v>56</v>
      </c>
      <c r="AI1286" s="3"/>
      <c r="AJ1286" s="3"/>
      <c r="AK1286" s="3" t="str">
        <f>HYPERLINK("https://knigipp.ru/api/getInfo/item/9e107afa-6229-11eb-a26d-ac1f6b442184")</f>
        <v>https://knigipp.ru/api/getInfo/item/9e107afa-6229-11eb-a26d-ac1f6b442184</v>
      </c>
      <c r="AL1286" s="3" t="s">
        <v>1155</v>
      </c>
    </row>
    <row r="1287" spans="1:38" ht="21" customHeight="1" outlineLevel="4" x14ac:dyDescent="0.2">
      <c r="A1287" s="2">
        <v>966</v>
      </c>
      <c r="B1287" s="3" t="s">
        <v>5430</v>
      </c>
      <c r="C1287" s="49" t="s">
        <v>5431</v>
      </c>
      <c r="D1287" s="49"/>
      <c r="E1287" s="49"/>
      <c r="F1287" s="49"/>
      <c r="G1287" s="4" t="s">
        <v>5432</v>
      </c>
      <c r="H1287" s="8"/>
      <c r="I1287" s="9" t="s">
        <v>5428</v>
      </c>
      <c r="J1287" s="10"/>
      <c r="K1287" s="11">
        <v>50</v>
      </c>
      <c r="L1287" s="10"/>
      <c r="M1287" s="10" t="s">
        <v>304</v>
      </c>
      <c r="N1287" s="10"/>
      <c r="O1287" s="2">
        <v>10</v>
      </c>
      <c r="P1287" s="17">
        <f>65.98*(1-S3/100)</f>
        <v>65.98</v>
      </c>
      <c r="Q1287" s="18"/>
      <c r="R1287" s="10">
        <f>P1287*Q1287</f>
        <v>0</v>
      </c>
      <c r="S1287" s="19">
        <f>0.067*Q1287</f>
        <v>0</v>
      </c>
      <c r="T1287" s="20">
        <f>0.00011*Q1287</f>
        <v>0</v>
      </c>
      <c r="U1287" s="21"/>
      <c r="V1287" s="22" t="s">
        <v>5433</v>
      </c>
      <c r="W1287" s="22" t="s">
        <v>49</v>
      </c>
      <c r="X1287" s="3"/>
      <c r="Y1287" s="3"/>
      <c r="Z1287" s="3" t="s">
        <v>52</v>
      </c>
      <c r="AA1287" s="3"/>
      <c r="AB1287" s="3"/>
      <c r="AC1287" s="3" t="str">
        <f>HYPERLINK("https://knigipp.ru/api/getInfo/image/3d7c6158-6229-11eb-a26d-ac1f6b442184")</f>
        <v>https://knigipp.ru/api/getInfo/image/3d7c6158-6229-11eb-a26d-ac1f6b442184</v>
      </c>
      <c r="AD1287" s="32">
        <v>16</v>
      </c>
      <c r="AE1287" s="3"/>
      <c r="AF1287" s="3" t="s">
        <v>136</v>
      </c>
      <c r="AG1287" s="3"/>
      <c r="AH1287" s="3" t="s">
        <v>56</v>
      </c>
      <c r="AI1287" s="3"/>
      <c r="AJ1287" s="3"/>
      <c r="AK1287" s="3" t="str">
        <f>HYPERLINK("https://knigipp.ru/api/getInfo/item/3d7c6158-6229-11eb-a26d-ac1f6b442184")</f>
        <v>https://knigipp.ru/api/getInfo/item/3d7c6158-6229-11eb-a26d-ac1f6b442184</v>
      </c>
      <c r="AL1287" s="3" t="s">
        <v>1155</v>
      </c>
    </row>
    <row r="1288" spans="1:38" ht="23.1" customHeight="1" outlineLevel="3" x14ac:dyDescent="0.2">
      <c r="A1288" s="48" t="s">
        <v>5434</v>
      </c>
      <c r="B1288" s="48"/>
      <c r="C1288" s="48"/>
      <c r="D1288" s="48"/>
      <c r="E1288" s="48"/>
      <c r="F1288" s="48"/>
    </row>
    <row r="1289" spans="1:38" ht="21" customHeight="1" outlineLevel="4" x14ac:dyDescent="0.2">
      <c r="A1289" s="2">
        <v>967</v>
      </c>
      <c r="B1289" s="3" t="s">
        <v>5435</v>
      </c>
      <c r="C1289" s="49" t="s">
        <v>5436</v>
      </c>
      <c r="D1289" s="49"/>
      <c r="E1289" s="49"/>
      <c r="F1289" s="49"/>
      <c r="G1289" s="4" t="s">
        <v>5437</v>
      </c>
      <c r="H1289" s="8"/>
      <c r="I1289" s="9"/>
      <c r="J1289" s="10"/>
      <c r="K1289" s="11">
        <v>50</v>
      </c>
      <c r="L1289" s="10"/>
      <c r="M1289" s="10" t="s">
        <v>47</v>
      </c>
      <c r="N1289" s="10"/>
      <c r="O1289" s="2">
        <v>25</v>
      </c>
      <c r="P1289" s="17">
        <f>37*(1-S3/100)</f>
        <v>37</v>
      </c>
      <c r="Q1289" s="18"/>
      <c r="R1289" s="10">
        <f>P1289*Q1289</f>
        <v>0</v>
      </c>
      <c r="S1289" s="19">
        <f>0.033*Q1289</f>
        <v>0</v>
      </c>
      <c r="T1289" s="20">
        <f>0.00003*Q1289</f>
        <v>0</v>
      </c>
      <c r="U1289" s="21"/>
      <c r="V1289" s="22" t="s">
        <v>5438</v>
      </c>
      <c r="W1289" s="22" t="s">
        <v>49</v>
      </c>
      <c r="X1289" s="3"/>
      <c r="Y1289" s="3"/>
      <c r="Z1289" s="3" t="s">
        <v>52</v>
      </c>
      <c r="AA1289" s="3"/>
      <c r="AB1289" s="3"/>
      <c r="AC1289" s="3" t="str">
        <f>HYPERLINK("https://knigipp.ru/api/getInfo/image/bb48f636-5287-11ec-a20f-ac1f6b442185")</f>
        <v>https://knigipp.ru/api/getInfo/image/bb48f636-5287-11ec-a20f-ac1f6b442185</v>
      </c>
      <c r="AD1289" s="32">
        <v>16</v>
      </c>
      <c r="AE1289" s="3"/>
      <c r="AF1289" s="3" t="s">
        <v>136</v>
      </c>
      <c r="AG1289" s="3"/>
      <c r="AH1289" s="3" t="s">
        <v>56</v>
      </c>
      <c r="AI1289" s="3"/>
      <c r="AJ1289" s="3"/>
      <c r="AK1289" s="3" t="str">
        <f>HYPERLINK("https://knigipp.ru/api/getInfo/item/bb48f636-5287-11ec-a20f-ac1f6b442185")</f>
        <v>https://knigipp.ru/api/getInfo/item/bb48f636-5287-11ec-a20f-ac1f6b442185</v>
      </c>
      <c r="AL1289" s="3" t="s">
        <v>5439</v>
      </c>
    </row>
    <row r="1290" spans="1:38" ht="21" customHeight="1" outlineLevel="4" x14ac:dyDescent="0.2">
      <c r="A1290" s="2">
        <v>968</v>
      </c>
      <c r="B1290" s="3" t="s">
        <v>5440</v>
      </c>
      <c r="C1290" s="49" t="s">
        <v>5441</v>
      </c>
      <c r="D1290" s="49"/>
      <c r="E1290" s="49"/>
      <c r="F1290" s="49"/>
      <c r="G1290" s="4" t="s">
        <v>5442</v>
      </c>
      <c r="H1290" s="8"/>
      <c r="I1290" s="9"/>
      <c r="J1290" s="10"/>
      <c r="K1290" s="11">
        <v>50</v>
      </c>
      <c r="L1290" s="10"/>
      <c r="M1290" s="10" t="s">
        <v>47</v>
      </c>
      <c r="N1290" s="10"/>
      <c r="O1290" s="2">
        <v>25</v>
      </c>
      <c r="P1290" s="17">
        <f>37*(1-S3/100)</f>
        <v>37</v>
      </c>
      <c r="Q1290" s="18"/>
      <c r="R1290" s="10">
        <f>P1290*Q1290</f>
        <v>0</v>
      </c>
      <c r="S1290" s="19">
        <f>0.036*Q1290</f>
        <v>0</v>
      </c>
      <c r="T1290" s="20">
        <f>0.00003*Q1290</f>
        <v>0</v>
      </c>
      <c r="U1290" s="21"/>
      <c r="V1290" s="22" t="s">
        <v>5443</v>
      </c>
      <c r="W1290" s="22" t="s">
        <v>49</v>
      </c>
      <c r="X1290" s="3"/>
      <c r="Y1290" s="3"/>
      <c r="Z1290" s="3" t="s">
        <v>52</v>
      </c>
      <c r="AA1290" s="3"/>
      <c r="AB1290" s="3"/>
      <c r="AC1290" s="3" t="str">
        <f>HYPERLINK("https://knigipp.ru/api/getInfo/image/10fedaf5-5288-11ec-a20f-ac1f6b442185")</f>
        <v>https://knigipp.ru/api/getInfo/image/10fedaf5-5288-11ec-a20f-ac1f6b442185</v>
      </c>
      <c r="AD1290" s="32">
        <v>16</v>
      </c>
      <c r="AE1290" s="3"/>
      <c r="AF1290" s="3" t="s">
        <v>136</v>
      </c>
      <c r="AG1290" s="3"/>
      <c r="AH1290" s="3" t="s">
        <v>56</v>
      </c>
      <c r="AI1290" s="3"/>
      <c r="AJ1290" s="3"/>
      <c r="AK1290" s="3" t="str">
        <f>HYPERLINK("https://knigipp.ru/api/getInfo/item/10fedaf5-5288-11ec-a20f-ac1f6b442185")</f>
        <v>https://knigipp.ru/api/getInfo/item/10fedaf5-5288-11ec-a20f-ac1f6b442185</v>
      </c>
      <c r="AL1290" s="3" t="s">
        <v>5439</v>
      </c>
    </row>
    <row r="1291" spans="1:38" ht="21" customHeight="1" outlineLevel="4" x14ac:dyDescent="0.2">
      <c r="A1291" s="2">
        <v>969</v>
      </c>
      <c r="B1291" s="3" t="s">
        <v>5444</v>
      </c>
      <c r="C1291" s="49" t="s">
        <v>5445</v>
      </c>
      <c r="D1291" s="49"/>
      <c r="E1291" s="49"/>
      <c r="F1291" s="49"/>
      <c r="G1291" s="4" t="s">
        <v>5446</v>
      </c>
      <c r="H1291" s="8"/>
      <c r="I1291" s="9"/>
      <c r="J1291" s="10"/>
      <c r="K1291" s="11">
        <v>50</v>
      </c>
      <c r="L1291" s="10"/>
      <c r="M1291" s="10" t="s">
        <v>47</v>
      </c>
      <c r="N1291" s="10"/>
      <c r="O1291" s="2">
        <v>25</v>
      </c>
      <c r="P1291" s="17">
        <f>37*(1-S3/100)</f>
        <v>37</v>
      </c>
      <c r="Q1291" s="18"/>
      <c r="R1291" s="10">
        <f>P1291*Q1291</f>
        <v>0</v>
      </c>
      <c r="S1291" s="10">
        <v>0</v>
      </c>
      <c r="T1291" s="10">
        <v>0</v>
      </c>
      <c r="U1291" s="21"/>
      <c r="V1291" s="22" t="s">
        <v>5447</v>
      </c>
      <c r="W1291" s="22" t="s">
        <v>49</v>
      </c>
      <c r="X1291" s="3"/>
      <c r="Y1291" s="3"/>
      <c r="Z1291" s="3" t="s">
        <v>52</v>
      </c>
      <c r="AA1291" s="3"/>
      <c r="AB1291" s="3"/>
      <c r="AC1291" s="3" t="str">
        <f>HYPERLINK("https://knigipp.ru/api/getInfo/image/d5a3ad80-5282-11ec-a20f-ac1f6b442185")</f>
        <v>https://knigipp.ru/api/getInfo/image/d5a3ad80-5282-11ec-a20f-ac1f6b442185</v>
      </c>
      <c r="AD1291" s="32">
        <v>16</v>
      </c>
      <c r="AE1291" s="3"/>
      <c r="AF1291" s="3" t="s">
        <v>136</v>
      </c>
      <c r="AG1291" s="3"/>
      <c r="AH1291" s="3" t="s">
        <v>56</v>
      </c>
      <c r="AI1291" s="3"/>
      <c r="AJ1291" s="3"/>
      <c r="AK1291" s="3" t="str">
        <f>HYPERLINK("https://knigipp.ru/api/getInfo/item/d5a3ad80-5282-11ec-a20f-ac1f6b442185")</f>
        <v>https://knigipp.ru/api/getInfo/item/d5a3ad80-5282-11ec-a20f-ac1f6b442185</v>
      </c>
      <c r="AL1291" s="3" t="s">
        <v>5439</v>
      </c>
    </row>
    <row r="1292" spans="1:38" ht="21" customHeight="1" outlineLevel="4" x14ac:dyDescent="0.2">
      <c r="A1292" s="2">
        <v>970</v>
      </c>
      <c r="B1292" s="3" t="s">
        <v>5448</v>
      </c>
      <c r="C1292" s="49" t="s">
        <v>5449</v>
      </c>
      <c r="D1292" s="49"/>
      <c r="E1292" s="49"/>
      <c r="F1292" s="49"/>
      <c r="G1292" s="4" t="s">
        <v>5450</v>
      </c>
      <c r="H1292" s="8"/>
      <c r="I1292" s="9"/>
      <c r="J1292" s="10"/>
      <c r="K1292" s="11">
        <v>50</v>
      </c>
      <c r="L1292" s="10"/>
      <c r="M1292" s="10" t="s">
        <v>78</v>
      </c>
      <c r="N1292" s="10"/>
      <c r="O1292" s="2">
        <v>25</v>
      </c>
      <c r="P1292" s="17">
        <f>37*(1-S3/100)</f>
        <v>37</v>
      </c>
      <c r="Q1292" s="18"/>
      <c r="R1292" s="10">
        <f>P1292*Q1292</f>
        <v>0</v>
      </c>
      <c r="S1292" s="10">
        <v>0</v>
      </c>
      <c r="T1292" s="10">
        <v>0</v>
      </c>
      <c r="U1292" s="21"/>
      <c r="V1292" s="22" t="s">
        <v>5451</v>
      </c>
      <c r="W1292" s="22" t="s">
        <v>49</v>
      </c>
      <c r="X1292" s="3"/>
      <c r="Y1292" s="3"/>
      <c r="Z1292" s="3" t="s">
        <v>52</v>
      </c>
      <c r="AA1292" s="3"/>
      <c r="AB1292" s="3"/>
      <c r="AC1292" s="3" t="str">
        <f>HYPERLINK("https://knigipp.ru/api/getInfo/image/852de321-5288-11ec-a20f-ac1f6b442185")</f>
        <v>https://knigipp.ru/api/getInfo/image/852de321-5288-11ec-a20f-ac1f6b442185</v>
      </c>
      <c r="AD1292" s="32">
        <v>16</v>
      </c>
      <c r="AE1292" s="3"/>
      <c r="AF1292" s="3" t="s">
        <v>136</v>
      </c>
      <c r="AG1292" s="3"/>
      <c r="AH1292" s="3" t="s">
        <v>56</v>
      </c>
      <c r="AI1292" s="3"/>
      <c r="AJ1292" s="3"/>
      <c r="AK1292" s="3" t="str">
        <f>HYPERLINK("https://knigipp.ru/api/getInfo/item/852de321-5288-11ec-a20f-ac1f6b442185")</f>
        <v>https://knigipp.ru/api/getInfo/item/852de321-5288-11ec-a20f-ac1f6b442185</v>
      </c>
      <c r="AL1292" s="3" t="s">
        <v>5439</v>
      </c>
    </row>
    <row r="1293" spans="1:38" ht="21" customHeight="1" outlineLevel="4" x14ac:dyDescent="0.2">
      <c r="A1293" s="2">
        <v>971</v>
      </c>
      <c r="B1293" s="3" t="s">
        <v>5452</v>
      </c>
      <c r="C1293" s="49" t="s">
        <v>5453</v>
      </c>
      <c r="D1293" s="49"/>
      <c r="E1293" s="49"/>
      <c r="F1293" s="49"/>
      <c r="G1293" s="4" t="s">
        <v>5454</v>
      </c>
      <c r="H1293" s="8"/>
      <c r="I1293" s="9"/>
      <c r="J1293" s="10"/>
      <c r="K1293" s="11">
        <v>50</v>
      </c>
      <c r="L1293" s="10"/>
      <c r="M1293" s="10" t="s">
        <v>47</v>
      </c>
      <c r="N1293" s="10"/>
      <c r="O1293" s="2">
        <v>25</v>
      </c>
      <c r="P1293" s="17">
        <f>37*(1-S3/100)</f>
        <v>37</v>
      </c>
      <c r="Q1293" s="18"/>
      <c r="R1293" s="10">
        <f>P1293*Q1293</f>
        <v>0</v>
      </c>
      <c r="S1293" s="19">
        <f>0.034*Q1293</f>
        <v>0</v>
      </c>
      <c r="T1293" s="20">
        <f>0.00003*Q1293</f>
        <v>0</v>
      </c>
      <c r="U1293" s="21"/>
      <c r="V1293" s="22" t="s">
        <v>5455</v>
      </c>
      <c r="W1293" s="22" t="s">
        <v>49</v>
      </c>
      <c r="X1293" s="3"/>
      <c r="Y1293" s="3"/>
      <c r="Z1293" s="3" t="s">
        <v>52</v>
      </c>
      <c r="AA1293" s="3"/>
      <c r="AB1293" s="3"/>
      <c r="AC1293" s="3" t="str">
        <f>HYPERLINK("https://knigipp.ru/api/getInfo/image/844a46ad-5287-11ec-a20f-ac1f6b442185")</f>
        <v>https://knigipp.ru/api/getInfo/image/844a46ad-5287-11ec-a20f-ac1f6b442185</v>
      </c>
      <c r="AD1293" s="32">
        <v>16</v>
      </c>
      <c r="AE1293" s="3"/>
      <c r="AF1293" s="3" t="s">
        <v>136</v>
      </c>
      <c r="AG1293" s="3"/>
      <c r="AH1293" s="3" t="s">
        <v>56</v>
      </c>
      <c r="AI1293" s="3"/>
      <c r="AJ1293" s="3"/>
      <c r="AK1293" s="3" t="str">
        <f>HYPERLINK("https://knigipp.ru/api/getInfo/item/844a46ad-5287-11ec-a20f-ac1f6b442185")</f>
        <v>https://knigipp.ru/api/getInfo/item/844a46ad-5287-11ec-a20f-ac1f6b442185</v>
      </c>
      <c r="AL1293" s="3" t="s">
        <v>5439</v>
      </c>
    </row>
    <row r="1294" spans="1:38" ht="23.1" customHeight="1" outlineLevel="3" x14ac:dyDescent="0.2">
      <c r="A1294" s="48" t="s">
        <v>5456</v>
      </c>
      <c r="B1294" s="48"/>
      <c r="C1294" s="48"/>
      <c r="D1294" s="48"/>
      <c r="E1294" s="48"/>
      <c r="F1294" s="48"/>
    </row>
    <row r="1295" spans="1:38" ht="21" customHeight="1" outlineLevel="4" x14ac:dyDescent="0.2">
      <c r="A1295" s="2">
        <v>972</v>
      </c>
      <c r="B1295" s="3" t="s">
        <v>5457</v>
      </c>
      <c r="C1295" s="49" t="s">
        <v>5458</v>
      </c>
      <c r="D1295" s="49"/>
      <c r="E1295" s="49"/>
      <c r="F1295" s="49"/>
      <c r="G1295" s="4" t="s">
        <v>5459</v>
      </c>
      <c r="H1295" s="8"/>
      <c r="I1295" s="9" t="s">
        <v>5460</v>
      </c>
      <c r="J1295" s="10"/>
      <c r="K1295" s="11">
        <v>50</v>
      </c>
      <c r="L1295" s="10"/>
      <c r="M1295" s="10" t="s">
        <v>304</v>
      </c>
      <c r="N1295" s="10"/>
      <c r="O1295" s="2">
        <v>10</v>
      </c>
      <c r="P1295" s="17">
        <f>60.89*(1-S3/100)</f>
        <v>60.89</v>
      </c>
      <c r="Q1295" s="18"/>
      <c r="R1295" s="10">
        <f>P1295*Q1295</f>
        <v>0</v>
      </c>
      <c r="S1295" s="19">
        <f>0.058*Q1295</f>
        <v>0</v>
      </c>
      <c r="T1295" s="20">
        <f>0.00016*Q1295</f>
        <v>0</v>
      </c>
      <c r="U1295" s="21"/>
      <c r="V1295" s="22" t="s">
        <v>5461</v>
      </c>
      <c r="W1295" s="22" t="s">
        <v>49</v>
      </c>
      <c r="X1295" s="3"/>
      <c r="Y1295" s="3"/>
      <c r="Z1295" s="3" t="s">
        <v>52</v>
      </c>
      <c r="AA1295" s="3"/>
      <c r="AB1295" s="3"/>
      <c r="AC1295" s="3" t="str">
        <f>HYPERLINK("https://knigipp.ru/api/getInfo/image/11e1c48c-177b-11eb-a25d-ac1f6b442184")</f>
        <v>https://knigipp.ru/api/getInfo/image/11e1c48c-177b-11eb-a25d-ac1f6b442184</v>
      </c>
      <c r="AD1295" s="32">
        <v>16</v>
      </c>
      <c r="AE1295" s="3"/>
      <c r="AF1295" s="3" t="s">
        <v>136</v>
      </c>
      <c r="AG1295" s="3"/>
      <c r="AH1295" s="3" t="s">
        <v>56</v>
      </c>
      <c r="AI1295" s="3"/>
      <c r="AJ1295" s="3"/>
      <c r="AK1295" s="3" t="str">
        <f>HYPERLINK("https://knigipp.ru/api/getInfo/item/11e1c48c-177b-11eb-a25d-ac1f6b442184")</f>
        <v>https://knigipp.ru/api/getInfo/item/11e1c48c-177b-11eb-a25d-ac1f6b442184</v>
      </c>
      <c r="AL1295" s="3" t="s">
        <v>1155</v>
      </c>
    </row>
    <row r="1296" spans="1:38" ht="21" customHeight="1" outlineLevel="4" x14ac:dyDescent="0.2">
      <c r="A1296" s="2">
        <v>973</v>
      </c>
      <c r="B1296" s="3" t="s">
        <v>5462</v>
      </c>
      <c r="C1296" s="49" t="s">
        <v>5463</v>
      </c>
      <c r="D1296" s="49"/>
      <c r="E1296" s="49"/>
      <c r="F1296" s="49"/>
      <c r="G1296" s="4" t="s">
        <v>5464</v>
      </c>
      <c r="H1296" s="8"/>
      <c r="I1296" s="9" t="s">
        <v>5460</v>
      </c>
      <c r="J1296" s="10"/>
      <c r="K1296" s="11">
        <v>50</v>
      </c>
      <c r="L1296" s="10"/>
      <c r="M1296" s="10" t="s">
        <v>304</v>
      </c>
      <c r="N1296" s="10"/>
      <c r="O1296" s="2">
        <v>10</v>
      </c>
      <c r="P1296" s="17">
        <f>60.89*(1-S3/100)</f>
        <v>60.89</v>
      </c>
      <c r="Q1296" s="18"/>
      <c r="R1296" s="10">
        <f>P1296*Q1296</f>
        <v>0</v>
      </c>
      <c r="S1296" s="19">
        <f>0.058*Q1296</f>
        <v>0</v>
      </c>
      <c r="T1296" s="20">
        <f>0.00016*Q1296</f>
        <v>0</v>
      </c>
      <c r="U1296" s="21"/>
      <c r="V1296" s="22" t="s">
        <v>5465</v>
      </c>
      <c r="W1296" s="22" t="s">
        <v>49</v>
      </c>
      <c r="X1296" s="3"/>
      <c r="Y1296" s="3"/>
      <c r="Z1296" s="3" t="s">
        <v>52</v>
      </c>
      <c r="AA1296" s="3"/>
      <c r="AB1296" s="3"/>
      <c r="AC1296" s="3" t="str">
        <f>HYPERLINK("https://knigipp.ru/api/getInfo/image/c8a9ee3f-177a-11eb-a25d-ac1f6b442184")</f>
        <v>https://knigipp.ru/api/getInfo/image/c8a9ee3f-177a-11eb-a25d-ac1f6b442184</v>
      </c>
      <c r="AD1296" s="32">
        <v>16</v>
      </c>
      <c r="AE1296" s="3"/>
      <c r="AF1296" s="3" t="s">
        <v>136</v>
      </c>
      <c r="AG1296" s="3"/>
      <c r="AH1296" s="3" t="s">
        <v>56</v>
      </c>
      <c r="AI1296" s="3"/>
      <c r="AJ1296" s="3"/>
      <c r="AK1296" s="3" t="str">
        <f>HYPERLINK("https://knigipp.ru/api/getInfo/item/c8a9ee3f-177a-11eb-a25d-ac1f6b442184")</f>
        <v>https://knigipp.ru/api/getInfo/item/c8a9ee3f-177a-11eb-a25d-ac1f6b442184</v>
      </c>
      <c r="AL1296" s="3" t="s">
        <v>1155</v>
      </c>
    </row>
    <row r="1297" spans="1:38" ht="23.1" customHeight="1" outlineLevel="3" x14ac:dyDescent="0.2">
      <c r="A1297" s="48" t="s">
        <v>5466</v>
      </c>
      <c r="B1297" s="48"/>
      <c r="C1297" s="48"/>
      <c r="D1297" s="48"/>
      <c r="E1297" s="48"/>
      <c r="F1297" s="48"/>
    </row>
    <row r="1298" spans="1:38" ht="21" customHeight="1" outlineLevel="4" x14ac:dyDescent="0.2">
      <c r="A1298" s="2">
        <v>974</v>
      </c>
      <c r="B1298" s="3" t="s">
        <v>5467</v>
      </c>
      <c r="C1298" s="49" t="s">
        <v>5468</v>
      </c>
      <c r="D1298" s="49"/>
      <c r="E1298" s="49"/>
      <c r="F1298" s="49"/>
      <c r="G1298" s="4" t="s">
        <v>5469</v>
      </c>
      <c r="H1298" s="8"/>
      <c r="I1298" s="9" t="s">
        <v>5470</v>
      </c>
      <c r="J1298" s="10"/>
      <c r="K1298" s="11">
        <v>30</v>
      </c>
      <c r="L1298" s="10"/>
      <c r="M1298" s="10" t="s">
        <v>47</v>
      </c>
      <c r="N1298" s="10"/>
      <c r="O1298" s="2">
        <v>7</v>
      </c>
      <c r="P1298" s="17">
        <f>87*(1-S3/100)</f>
        <v>87</v>
      </c>
      <c r="Q1298" s="18"/>
      <c r="R1298" s="10">
        <f>P1298*Q1298</f>
        <v>0</v>
      </c>
      <c r="S1298" s="28">
        <f>0.06*Q1298</f>
        <v>0</v>
      </c>
      <c r="T1298" s="20">
        <f>0.00034*Q1298</f>
        <v>0</v>
      </c>
      <c r="U1298" s="21"/>
      <c r="V1298" s="22" t="s">
        <v>5471</v>
      </c>
      <c r="W1298" s="22" t="s">
        <v>49</v>
      </c>
      <c r="X1298" s="3"/>
      <c r="Y1298" s="3"/>
      <c r="Z1298" s="3" t="s">
        <v>52</v>
      </c>
      <c r="AA1298" s="3" t="s">
        <v>5472</v>
      </c>
      <c r="AB1298" s="3"/>
      <c r="AC1298" s="3" t="str">
        <f>HYPERLINK("https://knigipp.ru/api/getInfo/image/c00810b8-9f35-11ee-a257-00155d82e908")</f>
        <v>https://knigipp.ru/api/getInfo/image/c00810b8-9f35-11ee-a257-00155d82e908</v>
      </c>
      <c r="AD1298" s="32">
        <v>24</v>
      </c>
      <c r="AE1298" s="3" t="s">
        <v>54</v>
      </c>
      <c r="AF1298" s="3" t="s">
        <v>136</v>
      </c>
      <c r="AG1298" s="3"/>
      <c r="AH1298" s="3" t="s">
        <v>56</v>
      </c>
      <c r="AI1298" s="3"/>
      <c r="AJ1298" s="3"/>
      <c r="AK1298" s="3" t="str">
        <f>HYPERLINK("https://knigipp.ru/api/getInfo/item/c00810b8-9f35-11ee-a257-00155d82e908")</f>
        <v>https://knigipp.ru/api/getInfo/item/c00810b8-9f35-11ee-a257-00155d82e908</v>
      </c>
      <c r="AL1298" s="3" t="s">
        <v>5473</v>
      </c>
    </row>
    <row r="1299" spans="1:38" ht="21" customHeight="1" outlineLevel="4" x14ac:dyDescent="0.2">
      <c r="A1299" s="2">
        <v>975</v>
      </c>
      <c r="B1299" s="3" t="s">
        <v>5474</v>
      </c>
      <c r="C1299" s="49" t="s">
        <v>5475</v>
      </c>
      <c r="D1299" s="49"/>
      <c r="E1299" s="49"/>
      <c r="F1299" s="49"/>
      <c r="G1299" s="4" t="s">
        <v>5476</v>
      </c>
      <c r="H1299" s="8"/>
      <c r="I1299" s="9" t="s">
        <v>5470</v>
      </c>
      <c r="J1299" s="10"/>
      <c r="K1299" s="11">
        <v>30</v>
      </c>
      <c r="L1299" s="10"/>
      <c r="M1299" s="10" t="s">
        <v>47</v>
      </c>
      <c r="N1299" s="10"/>
      <c r="O1299" s="2">
        <v>7</v>
      </c>
      <c r="P1299" s="17">
        <f>87*(1-S3/100)</f>
        <v>87</v>
      </c>
      <c r="Q1299" s="18"/>
      <c r="R1299" s="10">
        <f>P1299*Q1299</f>
        <v>0</v>
      </c>
      <c r="S1299" s="19">
        <f>0.052*Q1299</f>
        <v>0</v>
      </c>
      <c r="T1299" s="20">
        <f>0.00009*Q1299</f>
        <v>0</v>
      </c>
      <c r="U1299" s="21"/>
      <c r="V1299" s="22" t="s">
        <v>5477</v>
      </c>
      <c r="W1299" s="22" t="s">
        <v>49</v>
      </c>
      <c r="X1299" s="3"/>
      <c r="Y1299" s="3"/>
      <c r="Z1299" s="3" t="s">
        <v>52</v>
      </c>
      <c r="AA1299" s="3" t="s">
        <v>5472</v>
      </c>
      <c r="AB1299" s="3"/>
      <c r="AC1299" s="3" t="str">
        <f>HYPERLINK("https://knigipp.ru/api/getInfo/image/4a24a78a-9f35-11ee-a257-00155d82e908")</f>
        <v>https://knigipp.ru/api/getInfo/image/4a24a78a-9f35-11ee-a257-00155d82e908</v>
      </c>
      <c r="AD1299" s="32">
        <v>24</v>
      </c>
      <c r="AE1299" s="3" t="s">
        <v>54</v>
      </c>
      <c r="AF1299" s="3" t="s">
        <v>136</v>
      </c>
      <c r="AG1299" s="3"/>
      <c r="AH1299" s="3" t="s">
        <v>56</v>
      </c>
      <c r="AI1299" s="3"/>
      <c r="AJ1299" s="3"/>
      <c r="AK1299" s="3" t="str">
        <f>HYPERLINK("https://knigipp.ru/api/getInfo/item/4a24a78a-9f35-11ee-a257-00155d82e908")</f>
        <v>https://knigipp.ru/api/getInfo/item/4a24a78a-9f35-11ee-a257-00155d82e908</v>
      </c>
      <c r="AL1299" s="3" t="s">
        <v>5473</v>
      </c>
    </row>
    <row r="1300" spans="1:38" ht="21" customHeight="1" outlineLevel="4" x14ac:dyDescent="0.2">
      <c r="A1300" s="2">
        <v>976</v>
      </c>
      <c r="B1300" s="3" t="s">
        <v>5478</v>
      </c>
      <c r="C1300" s="49" t="s">
        <v>5479</v>
      </c>
      <c r="D1300" s="49"/>
      <c r="E1300" s="49"/>
      <c r="F1300" s="49"/>
      <c r="G1300" s="4" t="s">
        <v>5480</v>
      </c>
      <c r="H1300" s="8"/>
      <c r="I1300" s="9" t="s">
        <v>5470</v>
      </c>
      <c r="J1300" s="10"/>
      <c r="K1300" s="11">
        <v>30</v>
      </c>
      <c r="L1300" s="10"/>
      <c r="M1300" s="10" t="s">
        <v>47</v>
      </c>
      <c r="N1300" s="10"/>
      <c r="O1300" s="2">
        <v>7</v>
      </c>
      <c r="P1300" s="17">
        <f>87*(1-S3/100)</f>
        <v>87</v>
      </c>
      <c r="Q1300" s="18"/>
      <c r="R1300" s="10">
        <f>P1300*Q1300</f>
        <v>0</v>
      </c>
      <c r="S1300" s="28">
        <f>0.06*Q1300</f>
        <v>0</v>
      </c>
      <c r="T1300" s="20">
        <f>0.00034*Q1300</f>
        <v>0</v>
      </c>
      <c r="U1300" s="21"/>
      <c r="V1300" s="22" t="s">
        <v>5481</v>
      </c>
      <c r="W1300" s="22" t="s">
        <v>49</v>
      </c>
      <c r="X1300" s="3"/>
      <c r="Y1300" s="3"/>
      <c r="Z1300" s="3" t="s">
        <v>52</v>
      </c>
      <c r="AA1300" s="3" t="s">
        <v>5472</v>
      </c>
      <c r="AB1300" s="3"/>
      <c r="AC1300" s="3" t="str">
        <f>HYPERLINK("https://knigipp.ru/api/getInfo/image/7461137a-9f35-11ee-a257-00155d82e908")</f>
        <v>https://knigipp.ru/api/getInfo/image/7461137a-9f35-11ee-a257-00155d82e908</v>
      </c>
      <c r="AD1300" s="32">
        <v>24</v>
      </c>
      <c r="AE1300" s="3" t="s">
        <v>54</v>
      </c>
      <c r="AF1300" s="3" t="s">
        <v>136</v>
      </c>
      <c r="AG1300" s="3"/>
      <c r="AH1300" s="3" t="s">
        <v>56</v>
      </c>
      <c r="AI1300" s="3"/>
      <c r="AJ1300" s="3"/>
      <c r="AK1300" s="3" t="str">
        <f>HYPERLINK("https://knigipp.ru/api/getInfo/item/7461137a-9f35-11ee-a257-00155d82e908")</f>
        <v>https://knigipp.ru/api/getInfo/item/7461137a-9f35-11ee-a257-00155d82e908</v>
      </c>
      <c r="AL1300" s="3" t="s">
        <v>5473</v>
      </c>
    </row>
    <row r="1301" spans="1:38" ht="21" customHeight="1" outlineLevel="4" x14ac:dyDescent="0.2">
      <c r="A1301" s="2">
        <v>977</v>
      </c>
      <c r="B1301" s="3" t="s">
        <v>5482</v>
      </c>
      <c r="C1301" s="49" t="s">
        <v>5483</v>
      </c>
      <c r="D1301" s="49"/>
      <c r="E1301" s="49"/>
      <c r="F1301" s="49"/>
      <c r="G1301" s="4" t="s">
        <v>5484</v>
      </c>
      <c r="H1301" s="8"/>
      <c r="I1301" s="9" t="s">
        <v>5470</v>
      </c>
      <c r="J1301" s="10"/>
      <c r="K1301" s="11">
        <v>30</v>
      </c>
      <c r="L1301" s="10"/>
      <c r="M1301" s="10" t="s">
        <v>47</v>
      </c>
      <c r="N1301" s="10"/>
      <c r="O1301" s="2">
        <v>7</v>
      </c>
      <c r="P1301" s="17">
        <f>87*(1-S3/100)</f>
        <v>87</v>
      </c>
      <c r="Q1301" s="18"/>
      <c r="R1301" s="10">
        <f>P1301*Q1301</f>
        <v>0</v>
      </c>
      <c r="S1301" s="28">
        <f>0.06*Q1301</f>
        <v>0</v>
      </c>
      <c r="T1301" s="20">
        <f>0.00034*Q1301</f>
        <v>0</v>
      </c>
      <c r="U1301" s="21"/>
      <c r="V1301" s="22" t="s">
        <v>5485</v>
      </c>
      <c r="W1301" s="22" t="s">
        <v>49</v>
      </c>
      <c r="X1301" s="3"/>
      <c r="Y1301" s="3"/>
      <c r="Z1301" s="3" t="s">
        <v>52</v>
      </c>
      <c r="AA1301" s="3" t="s">
        <v>5472</v>
      </c>
      <c r="AB1301" s="3"/>
      <c r="AC1301" s="3" t="str">
        <f>HYPERLINK("https://knigipp.ru/api/getInfo/image/9c7de52d-9f35-11ee-a257-00155d82e908")</f>
        <v>https://knigipp.ru/api/getInfo/image/9c7de52d-9f35-11ee-a257-00155d82e908</v>
      </c>
      <c r="AD1301" s="32">
        <v>24</v>
      </c>
      <c r="AE1301" s="3" t="s">
        <v>54</v>
      </c>
      <c r="AF1301" s="3" t="s">
        <v>136</v>
      </c>
      <c r="AG1301" s="3"/>
      <c r="AH1301" s="3" t="s">
        <v>56</v>
      </c>
      <c r="AI1301" s="3"/>
      <c r="AJ1301" s="3"/>
      <c r="AK1301" s="3" t="str">
        <f>HYPERLINK("https://knigipp.ru/api/getInfo/item/9c7de52d-9f35-11ee-a257-00155d82e908")</f>
        <v>https://knigipp.ru/api/getInfo/item/9c7de52d-9f35-11ee-a257-00155d82e908</v>
      </c>
      <c r="AL1301" s="3" t="s">
        <v>5473</v>
      </c>
    </row>
    <row r="1302" spans="1:38" ht="23.1" customHeight="1" outlineLevel="3" x14ac:dyDescent="0.2">
      <c r="A1302" s="48" t="s">
        <v>5486</v>
      </c>
      <c r="B1302" s="48"/>
      <c r="C1302" s="48"/>
      <c r="D1302" s="48"/>
      <c r="E1302" s="48"/>
      <c r="F1302" s="48"/>
    </row>
    <row r="1303" spans="1:38" ht="21" customHeight="1" outlineLevel="4" x14ac:dyDescent="0.2">
      <c r="A1303" s="2">
        <v>978</v>
      </c>
      <c r="B1303" s="3" t="s">
        <v>5487</v>
      </c>
      <c r="C1303" s="49" t="s">
        <v>5488</v>
      </c>
      <c r="D1303" s="49"/>
      <c r="E1303" s="49"/>
      <c r="F1303" s="49"/>
      <c r="G1303" s="4" t="s">
        <v>5489</v>
      </c>
      <c r="H1303" s="8"/>
      <c r="I1303" s="9" t="s">
        <v>5490</v>
      </c>
      <c r="J1303" s="10"/>
      <c r="K1303" s="11">
        <v>30</v>
      </c>
      <c r="L1303" s="10"/>
      <c r="M1303" s="10" t="s">
        <v>47</v>
      </c>
      <c r="N1303" s="10"/>
      <c r="O1303" s="2">
        <v>10</v>
      </c>
      <c r="P1303" s="17">
        <f>79*(1-S3/100)</f>
        <v>79</v>
      </c>
      <c r="Q1303" s="18"/>
      <c r="R1303" s="10">
        <f>P1303*Q1303</f>
        <v>0</v>
      </c>
      <c r="S1303" s="28">
        <f>0.06*Q1303</f>
        <v>0</v>
      </c>
      <c r="T1303" s="20">
        <f>0.00017*Q1303</f>
        <v>0</v>
      </c>
      <c r="U1303" s="21"/>
      <c r="V1303" s="22" t="s">
        <v>5491</v>
      </c>
      <c r="W1303" s="22" t="s">
        <v>49</v>
      </c>
      <c r="X1303" s="3"/>
      <c r="Y1303" s="3"/>
      <c r="Z1303" s="3" t="s">
        <v>52</v>
      </c>
      <c r="AA1303" s="3"/>
      <c r="AB1303" s="3"/>
      <c r="AC1303" s="3" t="str">
        <f>HYPERLINK("https://knigipp.ru/api/getInfo/image/98df5336-02a8-11ed-a213-ac1f6b442185")</f>
        <v>https://knigipp.ru/api/getInfo/image/98df5336-02a8-11ed-a213-ac1f6b442185</v>
      </c>
      <c r="AD1303" s="32">
        <v>32</v>
      </c>
      <c r="AE1303" s="3"/>
      <c r="AF1303" s="3" t="s">
        <v>136</v>
      </c>
      <c r="AG1303" s="3"/>
      <c r="AH1303" s="3" t="s">
        <v>56</v>
      </c>
      <c r="AI1303" s="3"/>
      <c r="AJ1303" s="3"/>
      <c r="AK1303" s="3" t="str">
        <f>HYPERLINK("https://knigipp.ru/api/getInfo/item/98df5336-02a8-11ed-a213-ac1f6b442185")</f>
        <v>https://knigipp.ru/api/getInfo/item/98df5336-02a8-11ed-a213-ac1f6b442185</v>
      </c>
      <c r="AL1303" s="3" t="s">
        <v>5492</v>
      </c>
    </row>
    <row r="1304" spans="1:38" ht="23.1" customHeight="1" outlineLevel="3" x14ac:dyDescent="0.2">
      <c r="A1304" s="48" t="s">
        <v>5493</v>
      </c>
      <c r="B1304" s="48"/>
      <c r="C1304" s="48"/>
      <c r="D1304" s="48"/>
      <c r="E1304" s="48"/>
      <c r="F1304" s="48"/>
    </row>
    <row r="1305" spans="1:38" ht="21" customHeight="1" outlineLevel="4" x14ac:dyDescent="0.2">
      <c r="A1305" s="2">
        <v>979</v>
      </c>
      <c r="B1305" s="3" t="s">
        <v>5494</v>
      </c>
      <c r="C1305" s="49" t="s">
        <v>5495</v>
      </c>
      <c r="D1305" s="49"/>
      <c r="E1305" s="49"/>
      <c r="F1305" s="49"/>
      <c r="G1305" s="4" t="s">
        <v>5496</v>
      </c>
      <c r="H1305" s="8"/>
      <c r="I1305" s="9" t="s">
        <v>5497</v>
      </c>
      <c r="J1305" s="10"/>
      <c r="K1305" s="11">
        <v>50</v>
      </c>
      <c r="L1305" s="10"/>
      <c r="M1305" s="10" t="s">
        <v>47</v>
      </c>
      <c r="N1305" s="10"/>
      <c r="O1305" s="2">
        <v>15</v>
      </c>
      <c r="P1305" s="17">
        <f>39*(1-S3/100)</f>
        <v>39</v>
      </c>
      <c r="Q1305" s="18"/>
      <c r="R1305" s="10">
        <f t="shared" ref="R1305:R1310" si="52">P1305*Q1305</f>
        <v>0</v>
      </c>
      <c r="S1305" s="19">
        <f t="shared" ref="S1305:S1310" si="53">0.036*Q1305</f>
        <v>0</v>
      </c>
      <c r="T1305" s="20">
        <f>0.00003*Q1305</f>
        <v>0</v>
      </c>
      <c r="U1305" s="21"/>
      <c r="V1305" s="22" t="s">
        <v>5498</v>
      </c>
      <c r="W1305" s="22" t="s">
        <v>49</v>
      </c>
      <c r="X1305" s="3"/>
      <c r="Y1305" s="3"/>
      <c r="Z1305" s="3" t="s">
        <v>52</v>
      </c>
      <c r="AA1305" s="3"/>
      <c r="AB1305" s="3"/>
      <c r="AC1305" s="3" t="str">
        <f>HYPERLINK("https://knigipp.ru/api/getInfo/image/c03a372a-7a89-11eb-a274-ac1f6b442184")</f>
        <v>https://knigipp.ru/api/getInfo/image/c03a372a-7a89-11eb-a274-ac1f6b442184</v>
      </c>
      <c r="AD1305" s="32">
        <v>16</v>
      </c>
      <c r="AE1305" s="3"/>
      <c r="AF1305" s="3" t="s">
        <v>136</v>
      </c>
      <c r="AG1305" s="3"/>
      <c r="AH1305" s="3" t="s">
        <v>56</v>
      </c>
      <c r="AI1305" s="3"/>
      <c r="AJ1305" s="3"/>
      <c r="AK1305" s="3" t="str">
        <f>HYPERLINK("https://knigipp.ru/api/getInfo/item/c03a372a-7a89-11eb-a274-ac1f6b442184")</f>
        <v>https://knigipp.ru/api/getInfo/item/c03a372a-7a89-11eb-a274-ac1f6b442184</v>
      </c>
      <c r="AL1305" s="3" t="s">
        <v>5499</v>
      </c>
    </row>
    <row r="1306" spans="1:38" ht="21" customHeight="1" outlineLevel="4" x14ac:dyDescent="0.2">
      <c r="A1306" s="2">
        <v>980</v>
      </c>
      <c r="B1306" s="3" t="s">
        <v>5500</v>
      </c>
      <c r="C1306" s="49" t="s">
        <v>5501</v>
      </c>
      <c r="D1306" s="49"/>
      <c r="E1306" s="49"/>
      <c r="F1306" s="49"/>
      <c r="G1306" s="4" t="s">
        <v>5502</v>
      </c>
      <c r="H1306" s="8"/>
      <c r="I1306" s="9" t="s">
        <v>5497</v>
      </c>
      <c r="J1306" s="10"/>
      <c r="K1306" s="11">
        <v>50</v>
      </c>
      <c r="L1306" s="10"/>
      <c r="M1306" s="10" t="s">
        <v>47</v>
      </c>
      <c r="N1306" s="10"/>
      <c r="O1306" s="2">
        <v>15</v>
      </c>
      <c r="P1306" s="17">
        <f>39*(1-S3/100)</f>
        <v>39</v>
      </c>
      <c r="Q1306" s="18"/>
      <c r="R1306" s="10">
        <f t="shared" si="52"/>
        <v>0</v>
      </c>
      <c r="S1306" s="19">
        <f t="shared" si="53"/>
        <v>0</v>
      </c>
      <c r="T1306" s="20">
        <f>0.00017*Q1306</f>
        <v>0</v>
      </c>
      <c r="U1306" s="21"/>
      <c r="V1306" s="22" t="s">
        <v>5503</v>
      </c>
      <c r="W1306" s="22" t="s">
        <v>49</v>
      </c>
      <c r="X1306" s="3"/>
      <c r="Y1306" s="3"/>
      <c r="Z1306" s="3" t="s">
        <v>52</v>
      </c>
      <c r="AA1306" s="3"/>
      <c r="AB1306" s="3"/>
      <c r="AC1306" s="3" t="str">
        <f>HYPERLINK("https://knigipp.ru/api/getInfo/image/82830aa7-7a89-11eb-a274-ac1f6b442184")</f>
        <v>https://knigipp.ru/api/getInfo/image/82830aa7-7a89-11eb-a274-ac1f6b442184</v>
      </c>
      <c r="AD1306" s="32">
        <v>16</v>
      </c>
      <c r="AE1306" s="3"/>
      <c r="AF1306" s="3" t="s">
        <v>136</v>
      </c>
      <c r="AG1306" s="3"/>
      <c r="AH1306" s="3" t="s">
        <v>56</v>
      </c>
      <c r="AI1306" s="3"/>
      <c r="AJ1306" s="3"/>
      <c r="AK1306" s="3" t="str">
        <f>HYPERLINK("https://knigipp.ru/api/getInfo/item/82830aa7-7a89-11eb-a274-ac1f6b442184")</f>
        <v>https://knigipp.ru/api/getInfo/item/82830aa7-7a89-11eb-a274-ac1f6b442184</v>
      </c>
      <c r="AL1306" s="3" t="s">
        <v>5499</v>
      </c>
    </row>
    <row r="1307" spans="1:38" ht="21" customHeight="1" outlineLevel="4" x14ac:dyDescent="0.2">
      <c r="A1307" s="2">
        <v>981</v>
      </c>
      <c r="B1307" s="3" t="s">
        <v>5504</v>
      </c>
      <c r="C1307" s="49" t="s">
        <v>5505</v>
      </c>
      <c r="D1307" s="49"/>
      <c r="E1307" s="49"/>
      <c r="F1307" s="49"/>
      <c r="G1307" s="4" t="s">
        <v>5506</v>
      </c>
      <c r="H1307" s="8"/>
      <c r="I1307" s="9" t="s">
        <v>5497</v>
      </c>
      <c r="J1307" s="10"/>
      <c r="K1307" s="11">
        <v>50</v>
      </c>
      <c r="L1307" s="10"/>
      <c r="M1307" s="10" t="s">
        <v>47</v>
      </c>
      <c r="N1307" s="10"/>
      <c r="O1307" s="2">
        <v>15</v>
      </c>
      <c r="P1307" s="17">
        <f>39*(1-S3/100)</f>
        <v>39</v>
      </c>
      <c r="Q1307" s="18"/>
      <c r="R1307" s="10">
        <f t="shared" si="52"/>
        <v>0</v>
      </c>
      <c r="S1307" s="19">
        <f t="shared" si="53"/>
        <v>0</v>
      </c>
      <c r="T1307" s="20">
        <f>0.00003*Q1307</f>
        <v>0</v>
      </c>
      <c r="U1307" s="21"/>
      <c r="V1307" s="22" t="s">
        <v>5507</v>
      </c>
      <c r="W1307" s="22" t="s">
        <v>49</v>
      </c>
      <c r="X1307" s="3"/>
      <c r="Y1307" s="3"/>
      <c r="Z1307" s="3" t="s">
        <v>52</v>
      </c>
      <c r="AA1307" s="3"/>
      <c r="AB1307" s="3"/>
      <c r="AC1307" s="3" t="str">
        <f>HYPERLINK("https://knigipp.ru/api/getInfo/image/24992ec7-7a8b-11eb-a274-ac1f6b442184")</f>
        <v>https://knigipp.ru/api/getInfo/image/24992ec7-7a8b-11eb-a274-ac1f6b442184</v>
      </c>
      <c r="AD1307" s="32">
        <v>16</v>
      </c>
      <c r="AE1307" s="3"/>
      <c r="AF1307" s="3" t="s">
        <v>136</v>
      </c>
      <c r="AG1307" s="3"/>
      <c r="AH1307" s="3" t="s">
        <v>56</v>
      </c>
      <c r="AI1307" s="3"/>
      <c r="AJ1307" s="3"/>
      <c r="AK1307" s="3" t="str">
        <f>HYPERLINK("https://knigipp.ru/api/getInfo/item/24992ec7-7a8b-11eb-a274-ac1f6b442184")</f>
        <v>https://knigipp.ru/api/getInfo/item/24992ec7-7a8b-11eb-a274-ac1f6b442184</v>
      </c>
      <c r="AL1307" s="3" t="s">
        <v>5499</v>
      </c>
    </row>
    <row r="1308" spans="1:38" ht="21" customHeight="1" outlineLevel="4" x14ac:dyDescent="0.2">
      <c r="A1308" s="2">
        <v>982</v>
      </c>
      <c r="B1308" s="3" t="s">
        <v>5508</v>
      </c>
      <c r="C1308" s="49" t="s">
        <v>5509</v>
      </c>
      <c r="D1308" s="49"/>
      <c r="E1308" s="49"/>
      <c r="F1308" s="49"/>
      <c r="G1308" s="4" t="s">
        <v>5510</v>
      </c>
      <c r="H1308" s="8"/>
      <c r="I1308" s="9" t="s">
        <v>5497</v>
      </c>
      <c r="J1308" s="10"/>
      <c r="K1308" s="11">
        <v>50</v>
      </c>
      <c r="L1308" s="10"/>
      <c r="M1308" s="10" t="s">
        <v>47</v>
      </c>
      <c r="N1308" s="10"/>
      <c r="O1308" s="2">
        <v>15</v>
      </c>
      <c r="P1308" s="17">
        <f>39*(1-S3/100)</f>
        <v>39</v>
      </c>
      <c r="Q1308" s="18"/>
      <c r="R1308" s="10">
        <f t="shared" si="52"/>
        <v>0</v>
      </c>
      <c r="S1308" s="19">
        <f t="shared" si="53"/>
        <v>0</v>
      </c>
      <c r="T1308" s="20">
        <f>0.00003*Q1308</f>
        <v>0</v>
      </c>
      <c r="U1308" s="21"/>
      <c r="V1308" s="22" t="s">
        <v>5511</v>
      </c>
      <c r="W1308" s="22" t="s">
        <v>49</v>
      </c>
      <c r="X1308" s="3"/>
      <c r="Y1308" s="3"/>
      <c r="Z1308" s="3" t="s">
        <v>52</v>
      </c>
      <c r="AA1308" s="3"/>
      <c r="AB1308" s="3"/>
      <c r="AC1308" s="3" t="str">
        <f>HYPERLINK("https://knigipp.ru/api/getInfo/image/4c873573-7a8b-11eb-a274-ac1f6b442184")</f>
        <v>https://knigipp.ru/api/getInfo/image/4c873573-7a8b-11eb-a274-ac1f6b442184</v>
      </c>
      <c r="AD1308" s="32">
        <v>16</v>
      </c>
      <c r="AE1308" s="3"/>
      <c r="AF1308" s="3" t="s">
        <v>136</v>
      </c>
      <c r="AG1308" s="3"/>
      <c r="AH1308" s="3" t="s">
        <v>56</v>
      </c>
      <c r="AI1308" s="3"/>
      <c r="AJ1308" s="3"/>
      <c r="AK1308" s="3" t="str">
        <f>HYPERLINK("https://knigipp.ru/api/getInfo/item/4c873573-7a8b-11eb-a274-ac1f6b442184")</f>
        <v>https://knigipp.ru/api/getInfo/item/4c873573-7a8b-11eb-a274-ac1f6b442184</v>
      </c>
      <c r="AL1308" s="3" t="s">
        <v>5499</v>
      </c>
    </row>
    <row r="1309" spans="1:38" ht="21" customHeight="1" outlineLevel="4" x14ac:dyDescent="0.2">
      <c r="A1309" s="2">
        <v>983</v>
      </c>
      <c r="B1309" s="3" t="s">
        <v>5512</v>
      </c>
      <c r="C1309" s="49" t="s">
        <v>5513</v>
      </c>
      <c r="D1309" s="49"/>
      <c r="E1309" s="49"/>
      <c r="F1309" s="49"/>
      <c r="G1309" s="4" t="s">
        <v>5514</v>
      </c>
      <c r="H1309" s="8"/>
      <c r="I1309" s="9" t="s">
        <v>5497</v>
      </c>
      <c r="J1309" s="10"/>
      <c r="K1309" s="11">
        <v>50</v>
      </c>
      <c r="L1309" s="10"/>
      <c r="M1309" s="10" t="s">
        <v>47</v>
      </c>
      <c r="N1309" s="10"/>
      <c r="O1309" s="2">
        <v>15</v>
      </c>
      <c r="P1309" s="17">
        <f>39*(1-S3/100)</f>
        <v>39</v>
      </c>
      <c r="Q1309" s="18"/>
      <c r="R1309" s="10">
        <f t="shared" si="52"/>
        <v>0</v>
      </c>
      <c r="S1309" s="19">
        <f t="shared" si="53"/>
        <v>0</v>
      </c>
      <c r="T1309" s="20">
        <f>0.00003*Q1309</f>
        <v>0</v>
      </c>
      <c r="U1309" s="21"/>
      <c r="V1309" s="22" t="s">
        <v>5515</v>
      </c>
      <c r="W1309" s="22" t="s">
        <v>49</v>
      </c>
      <c r="X1309" s="3"/>
      <c r="Y1309" s="3"/>
      <c r="Z1309" s="3" t="s">
        <v>52</v>
      </c>
      <c r="AA1309" s="3"/>
      <c r="AB1309" s="3"/>
      <c r="AC1309" s="3" t="str">
        <f>HYPERLINK("https://knigipp.ru/api/getInfo/image/7ce0bff5-7a8b-11eb-a274-ac1f6b442184")</f>
        <v>https://knigipp.ru/api/getInfo/image/7ce0bff5-7a8b-11eb-a274-ac1f6b442184</v>
      </c>
      <c r="AD1309" s="32">
        <v>16</v>
      </c>
      <c r="AE1309" s="3"/>
      <c r="AF1309" s="3" t="s">
        <v>136</v>
      </c>
      <c r="AG1309" s="3"/>
      <c r="AH1309" s="3" t="s">
        <v>56</v>
      </c>
      <c r="AI1309" s="3"/>
      <c r="AJ1309" s="3"/>
      <c r="AK1309" s="3" t="str">
        <f>HYPERLINK("https://knigipp.ru/api/getInfo/item/7ce0bff5-7a8b-11eb-a274-ac1f6b442184")</f>
        <v>https://knigipp.ru/api/getInfo/item/7ce0bff5-7a8b-11eb-a274-ac1f6b442184</v>
      </c>
      <c r="AL1309" s="3" t="s">
        <v>5499</v>
      </c>
    </row>
    <row r="1310" spans="1:38" ht="21" customHeight="1" outlineLevel="4" x14ac:dyDescent="0.2">
      <c r="A1310" s="2">
        <v>984</v>
      </c>
      <c r="B1310" s="3" t="s">
        <v>5516</v>
      </c>
      <c r="C1310" s="49" t="s">
        <v>5517</v>
      </c>
      <c r="D1310" s="49"/>
      <c r="E1310" s="49"/>
      <c r="F1310" s="49"/>
      <c r="G1310" s="4" t="s">
        <v>5518</v>
      </c>
      <c r="H1310" s="8"/>
      <c r="I1310" s="9" t="s">
        <v>5497</v>
      </c>
      <c r="J1310" s="10"/>
      <c r="K1310" s="11">
        <v>50</v>
      </c>
      <c r="L1310" s="10"/>
      <c r="M1310" s="10" t="s">
        <v>47</v>
      </c>
      <c r="N1310" s="10"/>
      <c r="O1310" s="2">
        <v>15</v>
      </c>
      <c r="P1310" s="17">
        <f>39*(1-S3/100)</f>
        <v>39</v>
      </c>
      <c r="Q1310" s="18"/>
      <c r="R1310" s="10">
        <f t="shared" si="52"/>
        <v>0</v>
      </c>
      <c r="S1310" s="19">
        <f t="shared" si="53"/>
        <v>0</v>
      </c>
      <c r="T1310" s="20">
        <f>0.00003*Q1310</f>
        <v>0</v>
      </c>
      <c r="U1310" s="21"/>
      <c r="V1310" s="22" t="s">
        <v>5519</v>
      </c>
      <c r="W1310" s="22" t="s">
        <v>49</v>
      </c>
      <c r="X1310" s="3"/>
      <c r="Y1310" s="3"/>
      <c r="Z1310" s="3" t="s">
        <v>52</v>
      </c>
      <c r="AA1310" s="3"/>
      <c r="AB1310" s="3"/>
      <c r="AC1310" s="3" t="str">
        <f>HYPERLINK("https://knigipp.ru/api/getInfo/image/a408dca8-7a8b-11eb-a274-ac1f6b442184")</f>
        <v>https://knigipp.ru/api/getInfo/image/a408dca8-7a8b-11eb-a274-ac1f6b442184</v>
      </c>
      <c r="AD1310" s="32">
        <v>16</v>
      </c>
      <c r="AE1310" s="3"/>
      <c r="AF1310" s="3" t="s">
        <v>136</v>
      </c>
      <c r="AG1310" s="3"/>
      <c r="AH1310" s="3" t="s">
        <v>56</v>
      </c>
      <c r="AI1310" s="3"/>
      <c r="AJ1310" s="3"/>
      <c r="AK1310" s="3" t="str">
        <f>HYPERLINK("https://knigipp.ru/api/getInfo/item/a408dca8-7a8b-11eb-a274-ac1f6b442184")</f>
        <v>https://knigipp.ru/api/getInfo/item/a408dca8-7a8b-11eb-a274-ac1f6b442184</v>
      </c>
      <c r="AL1310" s="3" t="s">
        <v>5499</v>
      </c>
    </row>
    <row r="1311" spans="1:38" ht="23.1" customHeight="1" outlineLevel="3" x14ac:dyDescent="0.2">
      <c r="A1311" s="48" t="s">
        <v>5520</v>
      </c>
      <c r="B1311" s="48"/>
      <c r="C1311" s="48"/>
      <c r="D1311" s="48"/>
      <c r="E1311" s="48"/>
      <c r="F1311" s="48"/>
    </row>
    <row r="1312" spans="1:38" ht="21" customHeight="1" outlineLevel="4" x14ac:dyDescent="0.2">
      <c r="A1312" s="2">
        <v>985</v>
      </c>
      <c r="B1312" s="3" t="s">
        <v>5521</v>
      </c>
      <c r="C1312" s="49" t="s">
        <v>5522</v>
      </c>
      <c r="D1312" s="49"/>
      <c r="E1312" s="49"/>
      <c r="F1312" s="49"/>
      <c r="G1312" s="4" t="s">
        <v>5523</v>
      </c>
      <c r="H1312" s="8"/>
      <c r="I1312" s="9" t="s">
        <v>5524</v>
      </c>
      <c r="J1312" s="10"/>
      <c r="K1312" s="11">
        <v>30</v>
      </c>
      <c r="L1312" s="10"/>
      <c r="M1312" s="10" t="s">
        <v>47</v>
      </c>
      <c r="N1312" s="10"/>
      <c r="O1312" s="2">
        <v>6</v>
      </c>
      <c r="P1312" s="17">
        <f>107*(1-S3/100)</f>
        <v>107</v>
      </c>
      <c r="Q1312" s="18"/>
      <c r="R1312" s="10">
        <f>P1312*Q1312</f>
        <v>0</v>
      </c>
      <c r="S1312" s="19">
        <f>0.071*Q1312</f>
        <v>0</v>
      </c>
      <c r="T1312" s="20">
        <f>0.00023*Q1312</f>
        <v>0</v>
      </c>
      <c r="U1312" s="21"/>
      <c r="V1312" s="22" t="s">
        <v>5525</v>
      </c>
      <c r="W1312" s="22" t="s">
        <v>49</v>
      </c>
      <c r="X1312" s="3"/>
      <c r="Y1312" s="3" t="s">
        <v>5526</v>
      </c>
      <c r="Z1312" s="3" t="s">
        <v>52</v>
      </c>
      <c r="AA1312" s="3"/>
      <c r="AB1312" s="3"/>
      <c r="AC1312" s="3" t="str">
        <f>HYPERLINK("https://knigipp.ru/api/getInfo/image/d84b202e-66aa-11ee-a245-00155d82e902")</f>
        <v>https://knigipp.ru/api/getInfo/image/d84b202e-66aa-11ee-a245-00155d82e902</v>
      </c>
      <c r="AD1312" s="32">
        <v>32</v>
      </c>
      <c r="AE1312" s="3" t="s">
        <v>54</v>
      </c>
      <c r="AF1312" s="3" t="s">
        <v>136</v>
      </c>
      <c r="AG1312" s="3"/>
      <c r="AH1312" s="3" t="s">
        <v>56</v>
      </c>
      <c r="AI1312" s="3"/>
      <c r="AJ1312" s="3"/>
      <c r="AK1312" s="3" t="str">
        <f>HYPERLINK("https://knigipp.ru/api/getInfo/item/d84b202e-66aa-11ee-a245-00155d82e902")</f>
        <v>https://knigipp.ru/api/getInfo/item/d84b202e-66aa-11ee-a245-00155d82e902</v>
      </c>
      <c r="AL1312" s="3" t="s">
        <v>5527</v>
      </c>
    </row>
    <row r="1313" spans="1:38" ht="21" customHeight="1" outlineLevel="4" x14ac:dyDescent="0.2">
      <c r="A1313" s="2">
        <v>986</v>
      </c>
      <c r="B1313" s="3" t="s">
        <v>5528</v>
      </c>
      <c r="C1313" s="49" t="s">
        <v>5529</v>
      </c>
      <c r="D1313" s="49"/>
      <c r="E1313" s="49"/>
      <c r="F1313" s="49"/>
      <c r="G1313" s="4" t="s">
        <v>5530</v>
      </c>
      <c r="H1313" s="8"/>
      <c r="I1313" s="9" t="s">
        <v>5531</v>
      </c>
      <c r="J1313" s="10"/>
      <c r="K1313" s="11">
        <v>30</v>
      </c>
      <c r="L1313" s="10"/>
      <c r="M1313" s="10" t="s">
        <v>47</v>
      </c>
      <c r="N1313" s="10"/>
      <c r="O1313" s="2">
        <v>6</v>
      </c>
      <c r="P1313" s="17">
        <f>107*(1-S3/100)</f>
        <v>107</v>
      </c>
      <c r="Q1313" s="18"/>
      <c r="R1313" s="10">
        <f>P1313*Q1313</f>
        <v>0</v>
      </c>
      <c r="S1313" s="19">
        <f>0.075*Q1313</f>
        <v>0</v>
      </c>
      <c r="T1313" s="20">
        <f>0.00015*Q1313</f>
        <v>0</v>
      </c>
      <c r="U1313" s="21"/>
      <c r="V1313" s="22" t="s">
        <v>5532</v>
      </c>
      <c r="W1313" s="22" t="s">
        <v>49</v>
      </c>
      <c r="X1313" s="3"/>
      <c r="Y1313" s="3" t="s">
        <v>5533</v>
      </c>
      <c r="Z1313" s="3" t="s">
        <v>52</v>
      </c>
      <c r="AA1313" s="3"/>
      <c r="AB1313" s="3"/>
      <c r="AC1313" s="3" t="str">
        <f>HYPERLINK("https://knigipp.ru/api/getInfo/image/00b1dd48-66ab-11ee-a245-00155d82e902")</f>
        <v>https://knigipp.ru/api/getInfo/image/00b1dd48-66ab-11ee-a245-00155d82e902</v>
      </c>
      <c r="AD1313" s="32">
        <v>32</v>
      </c>
      <c r="AE1313" s="3" t="s">
        <v>54</v>
      </c>
      <c r="AF1313" s="3" t="s">
        <v>136</v>
      </c>
      <c r="AG1313" s="3"/>
      <c r="AH1313" s="3" t="s">
        <v>56</v>
      </c>
      <c r="AI1313" s="3"/>
      <c r="AJ1313" s="3"/>
      <c r="AK1313" s="3" t="str">
        <f>HYPERLINK("https://knigipp.ru/api/getInfo/item/00b1dd48-66ab-11ee-a245-00155d82e902")</f>
        <v>https://knigipp.ru/api/getInfo/item/00b1dd48-66ab-11ee-a245-00155d82e902</v>
      </c>
      <c r="AL1313" s="3" t="s">
        <v>5527</v>
      </c>
    </row>
    <row r="1314" spans="1:38" ht="23.1" customHeight="1" outlineLevel="2" x14ac:dyDescent="0.2">
      <c r="A1314" s="47" t="s">
        <v>5534</v>
      </c>
      <c r="B1314" s="47"/>
      <c r="C1314" s="47"/>
      <c r="D1314" s="47"/>
      <c r="E1314" s="47"/>
      <c r="F1314" s="47"/>
    </row>
    <row r="1315" spans="1:38" ht="23.1" customHeight="1" outlineLevel="3" x14ac:dyDescent="0.2">
      <c r="A1315" s="48" t="s">
        <v>5535</v>
      </c>
      <c r="B1315" s="48"/>
      <c r="C1315" s="48"/>
      <c r="D1315" s="48"/>
      <c r="E1315" s="48"/>
      <c r="F1315" s="48"/>
    </row>
    <row r="1316" spans="1:38" ht="21" customHeight="1" outlineLevel="4" x14ac:dyDescent="0.2">
      <c r="A1316" s="2">
        <v>987</v>
      </c>
      <c r="B1316" s="3" t="s">
        <v>5536</v>
      </c>
      <c r="C1316" s="49" t="s">
        <v>5537</v>
      </c>
      <c r="D1316" s="49"/>
      <c r="E1316" s="49"/>
      <c r="F1316" s="49"/>
      <c r="G1316" s="4" t="s">
        <v>5538</v>
      </c>
      <c r="H1316" s="8"/>
      <c r="I1316" s="9" t="s">
        <v>5539</v>
      </c>
      <c r="J1316" s="10"/>
      <c r="K1316" s="11">
        <v>20</v>
      </c>
      <c r="L1316" s="10"/>
      <c r="M1316" s="10" t="s">
        <v>47</v>
      </c>
      <c r="N1316" s="10"/>
      <c r="O1316" s="2">
        <v>2</v>
      </c>
      <c r="P1316" s="17">
        <f>397*(1-S3/100)</f>
        <v>397</v>
      </c>
      <c r="Q1316" s="18"/>
      <c r="R1316" s="10">
        <f>P1316*Q1316</f>
        <v>0</v>
      </c>
      <c r="S1316" s="19">
        <f>0.197*Q1316</f>
        <v>0</v>
      </c>
      <c r="T1316" s="20">
        <f>0.00046*Q1316</f>
        <v>0</v>
      </c>
      <c r="U1316" s="21"/>
      <c r="V1316" s="22" t="s">
        <v>5540</v>
      </c>
      <c r="W1316" s="22" t="s">
        <v>49</v>
      </c>
      <c r="X1316" s="3"/>
      <c r="Y1316" s="3" t="s">
        <v>5541</v>
      </c>
      <c r="Z1316" s="3" t="s">
        <v>52</v>
      </c>
      <c r="AA1316" s="3"/>
      <c r="AB1316" s="3"/>
      <c r="AC1316" s="3" t="str">
        <f>HYPERLINK("https://knigipp.ru/api/getInfo/image/f7b168f4-7fee-11ef-a265-00155d82e908")</f>
        <v>https://knigipp.ru/api/getInfo/image/f7b168f4-7fee-11ef-a265-00155d82e908</v>
      </c>
      <c r="AD1316" s="32">
        <v>64</v>
      </c>
      <c r="AE1316" s="3"/>
      <c r="AF1316" s="3" t="s">
        <v>136</v>
      </c>
      <c r="AG1316" s="3"/>
      <c r="AH1316" s="3" t="s">
        <v>56</v>
      </c>
      <c r="AI1316" s="3"/>
      <c r="AJ1316" s="3"/>
      <c r="AK1316" s="3" t="str">
        <f>HYPERLINK("https://knigipp.ru/api/getInfo/item/f7b168f4-7fee-11ef-a265-00155d82e908")</f>
        <v>https://knigipp.ru/api/getInfo/item/f7b168f4-7fee-11ef-a265-00155d82e908</v>
      </c>
      <c r="AL1316" s="3" t="s">
        <v>5542</v>
      </c>
    </row>
    <row r="1317" spans="1:38" ht="23.1" customHeight="1" outlineLevel="3" x14ac:dyDescent="0.2">
      <c r="A1317" s="48" t="s">
        <v>5543</v>
      </c>
      <c r="B1317" s="48"/>
      <c r="C1317" s="48"/>
      <c r="D1317" s="48"/>
      <c r="E1317" s="48"/>
      <c r="F1317" s="48"/>
    </row>
    <row r="1318" spans="1:38" ht="21" customHeight="1" outlineLevel="4" x14ac:dyDescent="0.2">
      <c r="A1318" s="2">
        <v>988</v>
      </c>
      <c r="B1318" s="3" t="s">
        <v>5544</v>
      </c>
      <c r="C1318" s="49" t="s">
        <v>5545</v>
      </c>
      <c r="D1318" s="49"/>
      <c r="E1318" s="49"/>
      <c r="F1318" s="49"/>
      <c r="G1318" s="4" t="s">
        <v>5546</v>
      </c>
      <c r="H1318" s="8"/>
      <c r="I1318" s="9" t="s">
        <v>5547</v>
      </c>
      <c r="J1318" s="10"/>
      <c r="K1318" s="11">
        <v>30</v>
      </c>
      <c r="L1318" s="10"/>
      <c r="M1318" s="10" t="s">
        <v>304</v>
      </c>
      <c r="N1318" s="10"/>
      <c r="O1318" s="2">
        <v>7</v>
      </c>
      <c r="P1318" s="17">
        <f>99*(1-S3/100)</f>
        <v>99</v>
      </c>
      <c r="Q1318" s="18"/>
      <c r="R1318" s="10">
        <f>P1318*Q1318</f>
        <v>0</v>
      </c>
      <c r="S1318" s="35">
        <f>0.4*Q1318</f>
        <v>0</v>
      </c>
      <c r="T1318" s="20">
        <f>0.00007*Q1318</f>
        <v>0</v>
      </c>
      <c r="U1318" s="21"/>
      <c r="V1318" s="22" t="s">
        <v>5548</v>
      </c>
      <c r="W1318" s="22" t="s">
        <v>49</v>
      </c>
      <c r="X1318" s="3"/>
      <c r="Y1318" s="3" t="s">
        <v>5549</v>
      </c>
      <c r="Z1318" s="3" t="s">
        <v>52</v>
      </c>
      <c r="AA1318" s="3"/>
      <c r="AB1318" s="3"/>
      <c r="AC1318" s="3" t="str">
        <f>HYPERLINK("https://knigipp.ru/api/getInfo/image/48ba4014-046a-11ef-a25d-00155d82e908")</f>
        <v>https://knigipp.ru/api/getInfo/image/48ba4014-046a-11ef-a25d-00155d82e908</v>
      </c>
      <c r="AD1318" s="32">
        <v>24</v>
      </c>
      <c r="AE1318" s="3"/>
      <c r="AF1318" s="3" t="s">
        <v>136</v>
      </c>
      <c r="AG1318" s="3"/>
      <c r="AH1318" s="3" t="s">
        <v>56</v>
      </c>
      <c r="AI1318" s="3"/>
      <c r="AJ1318" s="3"/>
      <c r="AK1318" s="3" t="str">
        <f>HYPERLINK("https://knigipp.ru/api/getInfo/item/48ba4014-046a-11ef-a25d-00155d82e908")</f>
        <v>https://knigipp.ru/api/getInfo/item/48ba4014-046a-11ef-a25d-00155d82e908</v>
      </c>
      <c r="AL1318" s="3" t="s">
        <v>5550</v>
      </c>
    </row>
    <row r="1319" spans="1:38" ht="21" customHeight="1" outlineLevel="4" x14ac:dyDescent="0.2">
      <c r="A1319" s="2">
        <v>989</v>
      </c>
      <c r="B1319" s="3" t="s">
        <v>5551</v>
      </c>
      <c r="C1319" s="49" t="s">
        <v>5552</v>
      </c>
      <c r="D1319" s="49"/>
      <c r="E1319" s="49"/>
      <c r="F1319" s="49"/>
      <c r="G1319" s="4" t="s">
        <v>5553</v>
      </c>
      <c r="H1319" s="8"/>
      <c r="I1319" s="9" t="s">
        <v>5547</v>
      </c>
      <c r="J1319" s="10"/>
      <c r="K1319" s="11">
        <v>30</v>
      </c>
      <c r="L1319" s="10"/>
      <c r="M1319" s="10" t="s">
        <v>304</v>
      </c>
      <c r="N1319" s="10"/>
      <c r="O1319" s="2">
        <v>7</v>
      </c>
      <c r="P1319" s="17">
        <f>99*(1-S3/100)</f>
        <v>99</v>
      </c>
      <c r="Q1319" s="18"/>
      <c r="R1319" s="10">
        <f>P1319*Q1319</f>
        <v>0</v>
      </c>
      <c r="S1319" s="28">
        <f>0.04*Q1319</f>
        <v>0</v>
      </c>
      <c r="T1319" s="20">
        <f>0.00007*Q1319</f>
        <v>0</v>
      </c>
      <c r="U1319" s="21"/>
      <c r="V1319" s="22" t="s">
        <v>5554</v>
      </c>
      <c r="W1319" s="22" t="s">
        <v>49</v>
      </c>
      <c r="X1319" s="3"/>
      <c r="Y1319" s="3" t="s">
        <v>5555</v>
      </c>
      <c r="Z1319" s="3" t="s">
        <v>52</v>
      </c>
      <c r="AA1319" s="3"/>
      <c r="AB1319" s="3"/>
      <c r="AC1319" s="3" t="str">
        <f>HYPERLINK("https://knigipp.ru/api/getInfo/image/be68f48f-046a-11ef-a25d-00155d82e908")</f>
        <v>https://knigipp.ru/api/getInfo/image/be68f48f-046a-11ef-a25d-00155d82e908</v>
      </c>
      <c r="AD1319" s="32">
        <v>24</v>
      </c>
      <c r="AE1319" s="3"/>
      <c r="AF1319" s="3" t="s">
        <v>136</v>
      </c>
      <c r="AG1319" s="3"/>
      <c r="AH1319" s="3" t="s">
        <v>56</v>
      </c>
      <c r="AI1319" s="3"/>
      <c r="AJ1319" s="3"/>
      <c r="AK1319" s="3" t="str">
        <f>HYPERLINK("https://knigipp.ru/api/getInfo/item/be68f48f-046a-11ef-a25d-00155d82e908")</f>
        <v>https://knigipp.ru/api/getInfo/item/be68f48f-046a-11ef-a25d-00155d82e908</v>
      </c>
      <c r="AL1319" s="3" t="s">
        <v>5550</v>
      </c>
    </row>
    <row r="1320" spans="1:38" ht="21" customHeight="1" outlineLevel="4" x14ac:dyDescent="0.2">
      <c r="A1320" s="2">
        <v>990</v>
      </c>
      <c r="B1320" s="3" t="s">
        <v>5556</v>
      </c>
      <c r="C1320" s="49" t="s">
        <v>5557</v>
      </c>
      <c r="D1320" s="49"/>
      <c r="E1320" s="49"/>
      <c r="F1320" s="49"/>
      <c r="G1320" s="4" t="s">
        <v>5558</v>
      </c>
      <c r="H1320" s="8"/>
      <c r="I1320" s="9" t="s">
        <v>5547</v>
      </c>
      <c r="J1320" s="10"/>
      <c r="K1320" s="11">
        <v>30</v>
      </c>
      <c r="L1320" s="10"/>
      <c r="M1320" s="10" t="s">
        <v>304</v>
      </c>
      <c r="N1320" s="10"/>
      <c r="O1320" s="2">
        <v>7</v>
      </c>
      <c r="P1320" s="17">
        <f>99*(1-S3/100)</f>
        <v>99</v>
      </c>
      <c r="Q1320" s="18"/>
      <c r="R1320" s="10">
        <f>P1320*Q1320</f>
        <v>0</v>
      </c>
      <c r="S1320" s="28">
        <f>0.04*Q1320</f>
        <v>0</v>
      </c>
      <c r="T1320" s="20">
        <f>0.00007*Q1320</f>
        <v>0</v>
      </c>
      <c r="U1320" s="21"/>
      <c r="V1320" s="22" t="s">
        <v>5559</v>
      </c>
      <c r="W1320" s="22" t="s">
        <v>49</v>
      </c>
      <c r="X1320" s="3"/>
      <c r="Y1320" s="3" t="s">
        <v>5560</v>
      </c>
      <c r="Z1320" s="3" t="s">
        <v>52</v>
      </c>
      <c r="AA1320" s="3"/>
      <c r="AB1320" s="3"/>
      <c r="AC1320" s="3" t="str">
        <f>HYPERLINK("https://knigipp.ru/api/getInfo/image/e2a84446-046a-11ef-a25d-00155d82e908")</f>
        <v>https://knigipp.ru/api/getInfo/image/e2a84446-046a-11ef-a25d-00155d82e908</v>
      </c>
      <c r="AD1320" s="32">
        <v>24</v>
      </c>
      <c r="AE1320" s="3"/>
      <c r="AF1320" s="3" t="s">
        <v>136</v>
      </c>
      <c r="AG1320" s="3"/>
      <c r="AH1320" s="3" t="s">
        <v>56</v>
      </c>
      <c r="AI1320" s="3"/>
      <c r="AJ1320" s="3"/>
      <c r="AK1320" s="3" t="str">
        <f>HYPERLINK("https://knigipp.ru/api/getInfo/item/e2a84446-046a-11ef-a25d-00155d82e908")</f>
        <v>https://knigipp.ru/api/getInfo/item/e2a84446-046a-11ef-a25d-00155d82e908</v>
      </c>
      <c r="AL1320" s="3" t="s">
        <v>5550</v>
      </c>
    </row>
    <row r="1321" spans="1:38" ht="23.1" customHeight="1" outlineLevel="3" x14ac:dyDescent="0.2">
      <c r="A1321" s="48" t="s">
        <v>5561</v>
      </c>
      <c r="B1321" s="48"/>
      <c r="C1321" s="48"/>
      <c r="D1321" s="48"/>
      <c r="E1321" s="48"/>
      <c r="F1321" s="48"/>
    </row>
    <row r="1322" spans="1:38" ht="21" customHeight="1" outlineLevel="4" x14ac:dyDescent="0.2">
      <c r="A1322" s="2">
        <v>991</v>
      </c>
      <c r="B1322" s="3" t="s">
        <v>5562</v>
      </c>
      <c r="C1322" s="49" t="s">
        <v>5563</v>
      </c>
      <c r="D1322" s="49"/>
      <c r="E1322" s="49"/>
      <c r="F1322" s="49"/>
      <c r="G1322" s="4" t="s">
        <v>5564</v>
      </c>
      <c r="H1322" s="8"/>
      <c r="I1322" s="9" t="s">
        <v>5565</v>
      </c>
      <c r="J1322" s="10"/>
      <c r="K1322" s="11">
        <v>20</v>
      </c>
      <c r="L1322" s="10"/>
      <c r="M1322" s="10" t="s">
        <v>47</v>
      </c>
      <c r="N1322" s="10"/>
      <c r="O1322" s="2">
        <v>2</v>
      </c>
      <c r="P1322" s="17">
        <f>447*(1-S3/100)</f>
        <v>447</v>
      </c>
      <c r="Q1322" s="18"/>
      <c r="R1322" s="10">
        <f>P1322*Q1322</f>
        <v>0</v>
      </c>
      <c r="S1322" s="19">
        <f>0.184*Q1322</f>
        <v>0</v>
      </c>
      <c r="T1322" s="20">
        <f>0.00076*Q1322</f>
        <v>0</v>
      </c>
      <c r="U1322" s="21"/>
      <c r="V1322" s="22" t="s">
        <v>5566</v>
      </c>
      <c r="W1322" s="22" t="s">
        <v>49</v>
      </c>
      <c r="X1322" s="3"/>
      <c r="Y1322" s="3" t="s">
        <v>5567</v>
      </c>
      <c r="Z1322" s="3" t="s">
        <v>52</v>
      </c>
      <c r="AA1322" s="3"/>
      <c r="AB1322" s="3"/>
      <c r="AC1322" s="3" t="str">
        <f>HYPERLINK("https://knigipp.ru/api/getInfo/image/41bd0910-354b-11ef-a261-00155d82e908")</f>
        <v>https://knigipp.ru/api/getInfo/image/41bd0910-354b-11ef-a261-00155d82e908</v>
      </c>
      <c r="AD1322" s="32">
        <v>32</v>
      </c>
      <c r="AE1322" s="3" t="s">
        <v>54</v>
      </c>
      <c r="AF1322" s="3" t="s">
        <v>5568</v>
      </c>
      <c r="AG1322" s="3"/>
      <c r="AH1322" s="3" t="s">
        <v>56</v>
      </c>
      <c r="AI1322" s="3"/>
      <c r="AJ1322" s="3"/>
      <c r="AK1322" s="3" t="str">
        <f>HYPERLINK("https://knigipp.ru/api/getInfo/item/41bd0910-354b-11ef-a261-00155d82e908")</f>
        <v>https://knigipp.ru/api/getInfo/item/41bd0910-354b-11ef-a261-00155d82e908</v>
      </c>
      <c r="AL1322" s="3" t="s">
        <v>5569</v>
      </c>
    </row>
    <row r="1323" spans="1:38" ht="21" customHeight="1" outlineLevel="4" x14ac:dyDescent="0.2">
      <c r="A1323" s="2">
        <v>992</v>
      </c>
      <c r="B1323" s="3" t="s">
        <v>5570</v>
      </c>
      <c r="C1323" s="49" t="s">
        <v>5571</v>
      </c>
      <c r="D1323" s="49"/>
      <c r="E1323" s="49"/>
      <c r="F1323" s="49"/>
      <c r="G1323" s="4" t="s">
        <v>5572</v>
      </c>
      <c r="H1323" s="8"/>
      <c r="I1323" s="9" t="s">
        <v>5565</v>
      </c>
      <c r="J1323" s="10"/>
      <c r="K1323" s="11">
        <v>20</v>
      </c>
      <c r="L1323" s="10"/>
      <c r="M1323" s="10" t="s">
        <v>47</v>
      </c>
      <c r="N1323" s="10"/>
      <c r="O1323" s="2">
        <v>2</v>
      </c>
      <c r="P1323" s="17">
        <f>447*(1-S3/100)</f>
        <v>447</v>
      </c>
      <c r="Q1323" s="18"/>
      <c r="R1323" s="10">
        <f>P1323*Q1323</f>
        <v>0</v>
      </c>
      <c r="S1323" s="19">
        <f>0.177*Q1323</f>
        <v>0</v>
      </c>
      <c r="T1323" s="20">
        <f>0.00108*Q1323</f>
        <v>0</v>
      </c>
      <c r="U1323" s="21"/>
      <c r="V1323" s="22" t="s">
        <v>5573</v>
      </c>
      <c r="W1323" s="22" t="s">
        <v>49</v>
      </c>
      <c r="X1323" s="3"/>
      <c r="Y1323" s="3" t="s">
        <v>5574</v>
      </c>
      <c r="Z1323" s="3" t="s">
        <v>52</v>
      </c>
      <c r="AA1323" s="3"/>
      <c r="AB1323" s="3"/>
      <c r="AC1323" s="3" t="str">
        <f>HYPERLINK("https://knigipp.ru/api/getInfo/image/20383d5b-354b-11ef-a261-00155d82e908")</f>
        <v>https://knigipp.ru/api/getInfo/image/20383d5b-354b-11ef-a261-00155d82e908</v>
      </c>
      <c r="AD1323" s="32">
        <v>32</v>
      </c>
      <c r="AE1323" s="3" t="s">
        <v>54</v>
      </c>
      <c r="AF1323" s="3" t="s">
        <v>5568</v>
      </c>
      <c r="AG1323" s="3"/>
      <c r="AH1323" s="3" t="s">
        <v>56</v>
      </c>
      <c r="AI1323" s="3"/>
      <c r="AJ1323" s="3"/>
      <c r="AK1323" s="3" t="str">
        <f>HYPERLINK("https://knigipp.ru/api/getInfo/item/20383d5b-354b-11ef-a261-00155d82e908")</f>
        <v>https://knigipp.ru/api/getInfo/item/20383d5b-354b-11ef-a261-00155d82e908</v>
      </c>
      <c r="AL1323" s="3" t="s">
        <v>5569</v>
      </c>
    </row>
    <row r="1324" spans="1:38" ht="23.1" customHeight="1" outlineLevel="3" x14ac:dyDescent="0.2">
      <c r="A1324" s="48" t="s">
        <v>5575</v>
      </c>
      <c r="B1324" s="48"/>
      <c r="C1324" s="48"/>
      <c r="D1324" s="48"/>
      <c r="E1324" s="48"/>
      <c r="F1324" s="48"/>
    </row>
    <row r="1325" spans="1:38" ht="21" customHeight="1" outlineLevel="4" x14ac:dyDescent="0.2">
      <c r="A1325" s="2">
        <v>993</v>
      </c>
      <c r="B1325" s="3" t="s">
        <v>5576</v>
      </c>
      <c r="C1325" s="49" t="s">
        <v>5577</v>
      </c>
      <c r="D1325" s="49"/>
      <c r="E1325" s="49"/>
      <c r="F1325" s="49"/>
      <c r="G1325" s="4" t="s">
        <v>5578</v>
      </c>
      <c r="H1325" s="8"/>
      <c r="I1325" s="9" t="s">
        <v>5579</v>
      </c>
      <c r="J1325" s="10"/>
      <c r="K1325" s="11">
        <v>20</v>
      </c>
      <c r="L1325" s="10"/>
      <c r="M1325" s="10" t="s">
        <v>47</v>
      </c>
      <c r="N1325" s="10"/>
      <c r="O1325" s="2">
        <v>3</v>
      </c>
      <c r="P1325" s="17">
        <f>249*(1-S3/100)</f>
        <v>249</v>
      </c>
      <c r="Q1325" s="18"/>
      <c r="R1325" s="10">
        <f>P1325*Q1325</f>
        <v>0</v>
      </c>
      <c r="S1325" s="19">
        <f>0.283*Q1325</f>
        <v>0</v>
      </c>
      <c r="T1325" s="20">
        <f>0.00034*Q1325</f>
        <v>0</v>
      </c>
      <c r="U1325" s="21"/>
      <c r="V1325" s="22" t="s">
        <v>5580</v>
      </c>
      <c r="W1325" s="22" t="s">
        <v>49</v>
      </c>
      <c r="X1325" s="3"/>
      <c r="Y1325" s="3"/>
      <c r="Z1325" s="3" t="s">
        <v>52</v>
      </c>
      <c r="AA1325" s="3"/>
      <c r="AB1325" s="3"/>
      <c r="AC1325" s="3" t="str">
        <f>HYPERLINK("https://knigipp.ru/api/getInfo/image/9e58d5e1-4a21-11ed-a216-ac1f6b442185")</f>
        <v>https://knigipp.ru/api/getInfo/image/9e58d5e1-4a21-11ed-a216-ac1f6b442185</v>
      </c>
      <c r="AD1325" s="32">
        <v>48</v>
      </c>
      <c r="AE1325" s="3"/>
      <c r="AF1325" s="3" t="s">
        <v>55</v>
      </c>
      <c r="AG1325" s="3"/>
      <c r="AH1325" s="3" t="s">
        <v>56</v>
      </c>
      <c r="AI1325" s="3"/>
      <c r="AJ1325" s="3"/>
      <c r="AK1325" s="3" t="str">
        <f>HYPERLINK("https://knigipp.ru/api/getInfo/item/9e58d5e1-4a21-11ed-a216-ac1f6b442185")</f>
        <v>https://knigipp.ru/api/getInfo/item/9e58d5e1-4a21-11ed-a216-ac1f6b442185</v>
      </c>
      <c r="AL1325" s="3" t="s">
        <v>5581</v>
      </c>
    </row>
    <row r="1326" spans="1:38" ht="21" customHeight="1" outlineLevel="4" x14ac:dyDescent="0.2">
      <c r="A1326" s="2">
        <v>994</v>
      </c>
      <c r="B1326" s="3" t="s">
        <v>5582</v>
      </c>
      <c r="C1326" s="49" t="s">
        <v>5583</v>
      </c>
      <c r="D1326" s="49"/>
      <c r="E1326" s="49"/>
      <c r="F1326" s="49"/>
      <c r="G1326" s="4" t="s">
        <v>5584</v>
      </c>
      <c r="H1326" s="8"/>
      <c r="I1326" s="9" t="s">
        <v>5579</v>
      </c>
      <c r="J1326" s="10"/>
      <c r="K1326" s="11">
        <v>20</v>
      </c>
      <c r="L1326" s="10"/>
      <c r="M1326" s="10" t="s">
        <v>47</v>
      </c>
      <c r="N1326" s="10"/>
      <c r="O1326" s="2">
        <v>3</v>
      </c>
      <c r="P1326" s="17">
        <f>249*(1-S3/100)</f>
        <v>249</v>
      </c>
      <c r="Q1326" s="18"/>
      <c r="R1326" s="10">
        <f>P1326*Q1326</f>
        <v>0</v>
      </c>
      <c r="S1326" s="19">
        <f>0.283*Q1326</f>
        <v>0</v>
      </c>
      <c r="T1326" s="20">
        <f>0.00034*Q1326</f>
        <v>0</v>
      </c>
      <c r="U1326" s="21"/>
      <c r="V1326" s="22" t="s">
        <v>5585</v>
      </c>
      <c r="W1326" s="22" t="s">
        <v>49</v>
      </c>
      <c r="X1326" s="3"/>
      <c r="Y1326" s="3"/>
      <c r="Z1326" s="3" t="s">
        <v>52</v>
      </c>
      <c r="AA1326" s="3"/>
      <c r="AB1326" s="3"/>
      <c r="AC1326" s="3" t="str">
        <f>HYPERLINK("https://knigipp.ru/api/getInfo/image/f928cf6d-4a21-11ed-a216-ac1f6b442185")</f>
        <v>https://knigipp.ru/api/getInfo/image/f928cf6d-4a21-11ed-a216-ac1f6b442185</v>
      </c>
      <c r="AD1326" s="32">
        <v>48</v>
      </c>
      <c r="AE1326" s="3"/>
      <c r="AF1326" s="3" t="s">
        <v>55</v>
      </c>
      <c r="AG1326" s="3"/>
      <c r="AH1326" s="3" t="s">
        <v>56</v>
      </c>
      <c r="AI1326" s="3"/>
      <c r="AJ1326" s="3"/>
      <c r="AK1326" s="3" t="str">
        <f>HYPERLINK("https://knigipp.ru/api/getInfo/item/f928cf6d-4a21-11ed-a216-ac1f6b442185")</f>
        <v>https://knigipp.ru/api/getInfo/item/f928cf6d-4a21-11ed-a216-ac1f6b442185</v>
      </c>
      <c r="AL1326" s="3" t="s">
        <v>5581</v>
      </c>
    </row>
    <row r="1327" spans="1:38" ht="21" customHeight="1" outlineLevel="4" x14ac:dyDescent="0.2">
      <c r="A1327" s="2">
        <v>995</v>
      </c>
      <c r="B1327" s="3" t="s">
        <v>5586</v>
      </c>
      <c r="C1327" s="49" t="s">
        <v>5587</v>
      </c>
      <c r="D1327" s="49"/>
      <c r="E1327" s="49"/>
      <c r="F1327" s="49"/>
      <c r="G1327" s="4" t="s">
        <v>5588</v>
      </c>
      <c r="H1327" s="8"/>
      <c r="I1327" s="9" t="s">
        <v>5579</v>
      </c>
      <c r="J1327" s="10"/>
      <c r="K1327" s="11">
        <v>20</v>
      </c>
      <c r="L1327" s="10"/>
      <c r="M1327" s="10" t="s">
        <v>47</v>
      </c>
      <c r="N1327" s="10"/>
      <c r="O1327" s="2">
        <v>3</v>
      </c>
      <c r="P1327" s="17">
        <f>249*(1-S3/100)</f>
        <v>249</v>
      </c>
      <c r="Q1327" s="18"/>
      <c r="R1327" s="10">
        <f>P1327*Q1327</f>
        <v>0</v>
      </c>
      <c r="S1327" s="19">
        <f>0.283*Q1327</f>
        <v>0</v>
      </c>
      <c r="T1327" s="20">
        <f>0.00034*Q1327</f>
        <v>0</v>
      </c>
      <c r="U1327" s="21"/>
      <c r="V1327" s="22" t="s">
        <v>5589</v>
      </c>
      <c r="W1327" s="22" t="s">
        <v>49</v>
      </c>
      <c r="X1327" s="3"/>
      <c r="Y1327" s="3"/>
      <c r="Z1327" s="3" t="s">
        <v>52</v>
      </c>
      <c r="AA1327" s="3"/>
      <c r="AB1327" s="3"/>
      <c r="AC1327" s="3" t="str">
        <f>HYPERLINK("https://knigipp.ru/api/getInfo/image/4ef5f751-4a22-11ed-a216-ac1f6b442185")</f>
        <v>https://knigipp.ru/api/getInfo/image/4ef5f751-4a22-11ed-a216-ac1f6b442185</v>
      </c>
      <c r="AD1327" s="32">
        <v>48</v>
      </c>
      <c r="AE1327" s="3"/>
      <c r="AF1327" s="3" t="s">
        <v>55</v>
      </c>
      <c r="AG1327" s="3"/>
      <c r="AH1327" s="3" t="s">
        <v>56</v>
      </c>
      <c r="AI1327" s="3"/>
      <c r="AJ1327" s="3"/>
      <c r="AK1327" s="3" t="str">
        <f>HYPERLINK("https://knigipp.ru/api/getInfo/item/4ef5f751-4a22-11ed-a216-ac1f6b442185")</f>
        <v>https://knigipp.ru/api/getInfo/item/4ef5f751-4a22-11ed-a216-ac1f6b442185</v>
      </c>
      <c r="AL1327" s="3" t="s">
        <v>5581</v>
      </c>
    </row>
    <row r="1328" spans="1:38" ht="21" customHeight="1" outlineLevel="4" x14ac:dyDescent="0.2">
      <c r="A1328" s="2">
        <v>996</v>
      </c>
      <c r="B1328" s="3" t="s">
        <v>5590</v>
      </c>
      <c r="C1328" s="49" t="s">
        <v>5591</v>
      </c>
      <c r="D1328" s="49"/>
      <c r="E1328" s="49"/>
      <c r="F1328" s="49"/>
      <c r="G1328" s="4" t="s">
        <v>5592</v>
      </c>
      <c r="H1328" s="8"/>
      <c r="I1328" s="9" t="s">
        <v>5579</v>
      </c>
      <c r="J1328" s="10"/>
      <c r="K1328" s="11">
        <v>20</v>
      </c>
      <c r="L1328" s="10"/>
      <c r="M1328" s="10" t="s">
        <v>47</v>
      </c>
      <c r="N1328" s="10"/>
      <c r="O1328" s="2">
        <v>3</v>
      </c>
      <c r="P1328" s="17">
        <f>249*(1-S3/100)</f>
        <v>249</v>
      </c>
      <c r="Q1328" s="18"/>
      <c r="R1328" s="10">
        <f>P1328*Q1328</f>
        <v>0</v>
      </c>
      <c r="S1328" s="19">
        <f>0.283*Q1328</f>
        <v>0</v>
      </c>
      <c r="T1328" s="20">
        <f>0.00034*Q1328</f>
        <v>0</v>
      </c>
      <c r="U1328" s="21"/>
      <c r="V1328" s="22" t="s">
        <v>5593</v>
      </c>
      <c r="W1328" s="22" t="s">
        <v>49</v>
      </c>
      <c r="X1328" s="3"/>
      <c r="Y1328" s="3"/>
      <c r="Z1328" s="3" t="s">
        <v>52</v>
      </c>
      <c r="AA1328" s="3"/>
      <c r="AB1328" s="3"/>
      <c r="AC1328" s="3" t="str">
        <f>HYPERLINK("https://knigipp.ru/api/getInfo/image/94042190-4a22-11ed-a216-ac1f6b442185")</f>
        <v>https://knigipp.ru/api/getInfo/image/94042190-4a22-11ed-a216-ac1f6b442185</v>
      </c>
      <c r="AD1328" s="32">
        <v>48</v>
      </c>
      <c r="AE1328" s="3"/>
      <c r="AF1328" s="3" t="s">
        <v>55</v>
      </c>
      <c r="AG1328" s="3"/>
      <c r="AH1328" s="3" t="s">
        <v>56</v>
      </c>
      <c r="AI1328" s="3"/>
      <c r="AJ1328" s="3"/>
      <c r="AK1328" s="3" t="str">
        <f>HYPERLINK("https://knigipp.ru/api/getInfo/item/94042190-4a22-11ed-a216-ac1f6b442185")</f>
        <v>https://knigipp.ru/api/getInfo/item/94042190-4a22-11ed-a216-ac1f6b442185</v>
      </c>
      <c r="AL1328" s="3" t="s">
        <v>5581</v>
      </c>
    </row>
    <row r="1329" spans="1:38" ht="23.1" customHeight="1" outlineLevel="3" x14ac:dyDescent="0.2">
      <c r="A1329" s="48" t="s">
        <v>5594</v>
      </c>
      <c r="B1329" s="48"/>
      <c r="C1329" s="48"/>
      <c r="D1329" s="48"/>
      <c r="E1329" s="48"/>
      <c r="F1329" s="48"/>
    </row>
    <row r="1330" spans="1:38" ht="21" customHeight="1" outlineLevel="4" x14ac:dyDescent="0.2">
      <c r="A1330" s="2">
        <v>997</v>
      </c>
      <c r="B1330" s="3" t="s">
        <v>5595</v>
      </c>
      <c r="C1330" s="49" t="s">
        <v>5596</v>
      </c>
      <c r="D1330" s="49"/>
      <c r="E1330" s="49"/>
      <c r="F1330" s="49"/>
      <c r="G1330" s="4" t="s">
        <v>5597</v>
      </c>
      <c r="H1330" s="8"/>
      <c r="I1330" s="9" t="s">
        <v>5598</v>
      </c>
      <c r="J1330" s="10"/>
      <c r="K1330" s="11">
        <v>25</v>
      </c>
      <c r="L1330" s="10"/>
      <c r="M1330" s="10" t="s">
        <v>47</v>
      </c>
      <c r="N1330" s="10"/>
      <c r="O1330" s="2">
        <v>3</v>
      </c>
      <c r="P1330" s="17">
        <f>267*(1-S3/100)</f>
        <v>267</v>
      </c>
      <c r="Q1330" s="18"/>
      <c r="R1330" s="10">
        <f t="shared" ref="R1330:R1335" si="54">P1330*Q1330</f>
        <v>0</v>
      </c>
      <c r="S1330" s="19">
        <f>0.142*Q1330</f>
        <v>0</v>
      </c>
      <c r="T1330" s="20">
        <f>0.00027*Q1330</f>
        <v>0</v>
      </c>
      <c r="U1330" s="21"/>
      <c r="V1330" s="22" t="s">
        <v>5599</v>
      </c>
      <c r="W1330" s="22" t="s">
        <v>49</v>
      </c>
      <c r="X1330" s="3"/>
      <c r="Y1330" s="3" t="s">
        <v>5600</v>
      </c>
      <c r="Z1330" s="3" t="s">
        <v>52</v>
      </c>
      <c r="AA1330" s="3"/>
      <c r="AB1330" s="3"/>
      <c r="AC1330" s="3" t="str">
        <f>HYPERLINK("https://knigipp.ru/api/getInfo/image/7dd5f8f7-9783-11ef-a267-00155d82e908")</f>
        <v>https://knigipp.ru/api/getInfo/image/7dd5f8f7-9783-11ef-a267-00155d82e908</v>
      </c>
      <c r="AD1330" s="32">
        <v>48</v>
      </c>
      <c r="AE1330" s="3"/>
      <c r="AF1330" s="3" t="s">
        <v>55</v>
      </c>
      <c r="AG1330" s="3"/>
      <c r="AH1330" s="3" t="s">
        <v>56</v>
      </c>
      <c r="AI1330" s="3"/>
      <c r="AJ1330" s="3" t="s">
        <v>5601</v>
      </c>
      <c r="AK1330" s="3" t="str">
        <f>HYPERLINK("https://knigipp.ru/api/getInfo/item/7dd5f8f7-9783-11ef-a267-00155d82e908")</f>
        <v>https://knigipp.ru/api/getInfo/item/7dd5f8f7-9783-11ef-a267-00155d82e908</v>
      </c>
      <c r="AL1330" s="3" t="s">
        <v>432</v>
      </c>
    </row>
    <row r="1331" spans="1:38" ht="21" customHeight="1" outlineLevel="4" x14ac:dyDescent="0.2">
      <c r="A1331" s="2">
        <v>998</v>
      </c>
      <c r="B1331" s="3" t="s">
        <v>5602</v>
      </c>
      <c r="C1331" s="49" t="s">
        <v>5603</v>
      </c>
      <c r="D1331" s="49"/>
      <c r="E1331" s="49"/>
      <c r="F1331" s="49"/>
      <c r="G1331" s="4" t="s">
        <v>5604</v>
      </c>
      <c r="H1331" s="8"/>
      <c r="I1331" s="9" t="s">
        <v>5605</v>
      </c>
      <c r="J1331" s="10"/>
      <c r="K1331" s="11">
        <v>25</v>
      </c>
      <c r="L1331" s="10"/>
      <c r="M1331" s="10" t="s">
        <v>47</v>
      </c>
      <c r="N1331" s="10"/>
      <c r="O1331" s="2">
        <v>3</v>
      </c>
      <c r="P1331" s="17">
        <f>267*(1-S3/100)</f>
        <v>267</v>
      </c>
      <c r="Q1331" s="18"/>
      <c r="R1331" s="10">
        <f t="shared" si="54"/>
        <v>0</v>
      </c>
      <c r="S1331" s="19">
        <f>0.148*Q1331</f>
        <v>0</v>
      </c>
      <c r="T1331" s="20">
        <f>0.00026*Q1331</f>
        <v>0</v>
      </c>
      <c r="U1331" s="21"/>
      <c r="V1331" s="22" t="s">
        <v>5606</v>
      </c>
      <c r="W1331" s="22" t="s">
        <v>49</v>
      </c>
      <c r="X1331" s="3"/>
      <c r="Y1331" s="3" t="s">
        <v>5607</v>
      </c>
      <c r="Z1331" s="3" t="s">
        <v>52</v>
      </c>
      <c r="AA1331" s="3" t="s">
        <v>3262</v>
      </c>
      <c r="AB1331" s="3"/>
      <c r="AC1331" s="3" t="str">
        <f>HYPERLINK("https://knigipp.ru/api/getInfo/image/bebeae17-4a87-11e6-9636-5cf3fc4a2490")</f>
        <v>https://knigipp.ru/api/getInfo/image/bebeae17-4a87-11e6-9636-5cf3fc4a2490</v>
      </c>
      <c r="AD1331" s="32">
        <v>48</v>
      </c>
      <c r="AE1331" s="3"/>
      <c r="AF1331" s="3" t="s">
        <v>55</v>
      </c>
      <c r="AG1331" s="3"/>
      <c r="AH1331" s="3" t="s">
        <v>56</v>
      </c>
      <c r="AI1331" s="3"/>
      <c r="AJ1331" s="3" t="s">
        <v>5601</v>
      </c>
      <c r="AK1331" s="3" t="str">
        <f>HYPERLINK("https://knigipp.ru/api/getInfo/item/bebeae17-4a87-11e6-9636-5cf3fc4a2490")</f>
        <v>https://knigipp.ru/api/getInfo/item/bebeae17-4a87-11e6-9636-5cf3fc4a2490</v>
      </c>
      <c r="AL1331" s="3" t="s">
        <v>432</v>
      </c>
    </row>
    <row r="1332" spans="1:38" ht="21" customHeight="1" outlineLevel="4" x14ac:dyDescent="0.2">
      <c r="A1332" s="2">
        <v>999</v>
      </c>
      <c r="B1332" s="3" t="s">
        <v>5608</v>
      </c>
      <c r="C1332" s="49" t="s">
        <v>5609</v>
      </c>
      <c r="D1332" s="49"/>
      <c r="E1332" s="49"/>
      <c r="F1332" s="49"/>
      <c r="G1332" s="4" t="s">
        <v>5610</v>
      </c>
      <c r="H1332" s="8"/>
      <c r="I1332" s="9" t="s">
        <v>5605</v>
      </c>
      <c r="J1332" s="10"/>
      <c r="K1332" s="11">
        <v>25</v>
      </c>
      <c r="L1332" s="10"/>
      <c r="M1332" s="10" t="s">
        <v>47</v>
      </c>
      <c r="N1332" s="10"/>
      <c r="O1332" s="2">
        <v>3</v>
      </c>
      <c r="P1332" s="17">
        <f>267*(1-S3/100)</f>
        <v>267</v>
      </c>
      <c r="Q1332" s="18"/>
      <c r="R1332" s="10">
        <f t="shared" si="54"/>
        <v>0</v>
      </c>
      <c r="S1332" s="19">
        <f>0.142*Q1332</f>
        <v>0</v>
      </c>
      <c r="T1332" s="20">
        <f>0.00037*Q1332</f>
        <v>0</v>
      </c>
      <c r="U1332" s="21"/>
      <c r="V1332" s="22" t="s">
        <v>5611</v>
      </c>
      <c r="W1332" s="22" t="s">
        <v>49</v>
      </c>
      <c r="X1332" s="3"/>
      <c r="Y1332" s="3" t="s">
        <v>5612</v>
      </c>
      <c r="Z1332" s="3" t="s">
        <v>52</v>
      </c>
      <c r="AA1332" s="3" t="s">
        <v>3262</v>
      </c>
      <c r="AB1332" s="3"/>
      <c r="AC1332" s="3" t="str">
        <f>HYPERLINK("https://knigipp.ru/api/getInfo/image/c9d41517-4a87-11e6-9636-5cf3fc4a2490")</f>
        <v>https://knigipp.ru/api/getInfo/image/c9d41517-4a87-11e6-9636-5cf3fc4a2490</v>
      </c>
      <c r="AD1332" s="32">
        <v>48</v>
      </c>
      <c r="AE1332" s="3"/>
      <c r="AF1332" s="3" t="s">
        <v>55</v>
      </c>
      <c r="AG1332" s="3"/>
      <c r="AH1332" s="3" t="s">
        <v>56</v>
      </c>
      <c r="AI1332" s="3"/>
      <c r="AJ1332" s="3" t="s">
        <v>5601</v>
      </c>
      <c r="AK1332" s="3" t="str">
        <f>HYPERLINK("https://knigipp.ru/api/getInfo/item/c9d41517-4a87-11e6-9636-5cf3fc4a2490")</f>
        <v>https://knigipp.ru/api/getInfo/item/c9d41517-4a87-11e6-9636-5cf3fc4a2490</v>
      </c>
      <c r="AL1332" s="3" t="s">
        <v>432</v>
      </c>
    </row>
    <row r="1333" spans="1:38" ht="21" customHeight="1" outlineLevel="4" x14ac:dyDescent="0.2">
      <c r="A1333" s="39">
        <v>1000</v>
      </c>
      <c r="B1333" s="3" t="s">
        <v>5613</v>
      </c>
      <c r="C1333" s="49" t="s">
        <v>5614</v>
      </c>
      <c r="D1333" s="49"/>
      <c r="E1333" s="49"/>
      <c r="F1333" s="49"/>
      <c r="G1333" s="4" t="s">
        <v>5615</v>
      </c>
      <c r="H1333" s="8"/>
      <c r="I1333" s="9" t="s">
        <v>5616</v>
      </c>
      <c r="J1333" s="10"/>
      <c r="K1333" s="11">
        <v>25</v>
      </c>
      <c r="L1333" s="10"/>
      <c r="M1333" s="10" t="s">
        <v>78</v>
      </c>
      <c r="N1333" s="10"/>
      <c r="O1333" s="2">
        <v>3</v>
      </c>
      <c r="P1333" s="17">
        <f>267*(1-S3/100)</f>
        <v>267</v>
      </c>
      <c r="Q1333" s="18"/>
      <c r="R1333" s="10">
        <f t="shared" si="54"/>
        <v>0</v>
      </c>
      <c r="S1333" s="19">
        <f>0.106*Q1333</f>
        <v>0</v>
      </c>
      <c r="T1333" s="20">
        <f>0.00029*Q1333</f>
        <v>0</v>
      </c>
      <c r="U1333" s="21"/>
      <c r="V1333" s="22" t="s">
        <v>5617</v>
      </c>
      <c r="W1333" s="22" t="s">
        <v>49</v>
      </c>
      <c r="X1333" s="3"/>
      <c r="Y1333" s="3" t="s">
        <v>5618</v>
      </c>
      <c r="Z1333" s="3" t="s">
        <v>52</v>
      </c>
      <c r="AA1333" s="3"/>
      <c r="AB1333" s="3"/>
      <c r="AC1333" s="3" t="str">
        <f>HYPERLINK("https://knigipp.ru/api/getInfo/image/5edf3a7a-6037-11ed-a229-00155d82e902")</f>
        <v>https://knigipp.ru/api/getInfo/image/5edf3a7a-6037-11ed-a229-00155d82e902</v>
      </c>
      <c r="AD1333" s="32">
        <v>48</v>
      </c>
      <c r="AE1333" s="3" t="s">
        <v>54</v>
      </c>
      <c r="AF1333" s="3" t="s">
        <v>55</v>
      </c>
      <c r="AG1333" s="3"/>
      <c r="AH1333" s="3" t="s">
        <v>56</v>
      </c>
      <c r="AI1333" s="3"/>
      <c r="AJ1333" s="3" t="s">
        <v>5601</v>
      </c>
      <c r="AK1333" s="3" t="str">
        <f>HYPERLINK("https://knigipp.ru/api/getInfo/item/5edf3a7a-6037-11ed-a229-00155d82e902")</f>
        <v>https://knigipp.ru/api/getInfo/item/5edf3a7a-6037-11ed-a229-00155d82e902</v>
      </c>
      <c r="AL1333" s="3" t="s">
        <v>432</v>
      </c>
    </row>
    <row r="1334" spans="1:38" ht="21" customHeight="1" outlineLevel="4" x14ac:dyDescent="0.2">
      <c r="A1334" s="39">
        <v>1001</v>
      </c>
      <c r="B1334" s="3" t="s">
        <v>5619</v>
      </c>
      <c r="C1334" s="49" t="s">
        <v>5620</v>
      </c>
      <c r="D1334" s="49"/>
      <c r="E1334" s="49"/>
      <c r="F1334" s="49"/>
      <c r="G1334" s="4" t="s">
        <v>5621</v>
      </c>
      <c r="H1334" s="8"/>
      <c r="I1334" s="9" t="s">
        <v>5622</v>
      </c>
      <c r="J1334" s="10"/>
      <c r="K1334" s="11">
        <v>25</v>
      </c>
      <c r="L1334" s="10"/>
      <c r="M1334" s="10" t="s">
        <v>47</v>
      </c>
      <c r="N1334" s="10"/>
      <c r="O1334" s="2">
        <v>3</v>
      </c>
      <c r="P1334" s="17">
        <f>267*(1-S3/100)</f>
        <v>267</v>
      </c>
      <c r="Q1334" s="18"/>
      <c r="R1334" s="10">
        <f t="shared" si="54"/>
        <v>0</v>
      </c>
      <c r="S1334" s="19">
        <f>0.143*Q1334</f>
        <v>0</v>
      </c>
      <c r="T1334" s="20">
        <f>0.00026*Q1334</f>
        <v>0</v>
      </c>
      <c r="U1334" s="21"/>
      <c r="V1334" s="22" t="s">
        <v>5623</v>
      </c>
      <c r="W1334" s="22" t="s">
        <v>49</v>
      </c>
      <c r="X1334" s="3"/>
      <c r="Y1334" s="3" t="s">
        <v>5624</v>
      </c>
      <c r="Z1334" s="3" t="s">
        <v>52</v>
      </c>
      <c r="AA1334" s="3"/>
      <c r="AB1334" s="3"/>
      <c r="AC1334" s="3" t="str">
        <f>HYPERLINK("https://knigipp.ru/api/getInfo/image/61aceff7-ae4c-11ef-a267-00155d82e908")</f>
        <v>https://knigipp.ru/api/getInfo/image/61aceff7-ae4c-11ef-a267-00155d82e908</v>
      </c>
      <c r="AD1334" s="32">
        <v>48</v>
      </c>
      <c r="AE1334" s="3"/>
      <c r="AF1334" s="3" t="s">
        <v>55</v>
      </c>
      <c r="AG1334" s="3"/>
      <c r="AH1334" s="3" t="s">
        <v>56</v>
      </c>
      <c r="AI1334" s="3"/>
      <c r="AJ1334" s="3" t="s">
        <v>5601</v>
      </c>
      <c r="AK1334" s="3" t="str">
        <f>HYPERLINK("https://knigipp.ru/api/getInfo/item/61aceff7-ae4c-11ef-a267-00155d82e908")</f>
        <v>https://knigipp.ru/api/getInfo/item/61aceff7-ae4c-11ef-a267-00155d82e908</v>
      </c>
      <c r="AL1334" s="3" t="s">
        <v>432</v>
      </c>
    </row>
    <row r="1335" spans="1:38" ht="21" customHeight="1" outlineLevel="4" x14ac:dyDescent="0.2">
      <c r="A1335" s="39">
        <v>1002</v>
      </c>
      <c r="B1335" s="3" t="s">
        <v>5625</v>
      </c>
      <c r="C1335" s="49" t="s">
        <v>5626</v>
      </c>
      <c r="D1335" s="49"/>
      <c r="E1335" s="49"/>
      <c r="F1335" s="49"/>
      <c r="G1335" s="4" t="s">
        <v>5627</v>
      </c>
      <c r="H1335" s="8"/>
      <c r="I1335" s="9" t="s">
        <v>5628</v>
      </c>
      <c r="J1335" s="10"/>
      <c r="K1335" s="11">
        <v>25</v>
      </c>
      <c r="L1335" s="10"/>
      <c r="M1335" s="10" t="s">
        <v>47</v>
      </c>
      <c r="N1335" s="10"/>
      <c r="O1335" s="2">
        <v>3</v>
      </c>
      <c r="P1335" s="17">
        <f>267*(1-S3/100)</f>
        <v>267</v>
      </c>
      <c r="Q1335" s="18"/>
      <c r="R1335" s="10">
        <f t="shared" si="54"/>
        <v>0</v>
      </c>
      <c r="S1335" s="19">
        <f>0.146*Q1335</f>
        <v>0</v>
      </c>
      <c r="T1335" s="20">
        <f>0.00021*Q1335</f>
        <v>0</v>
      </c>
      <c r="U1335" s="21"/>
      <c r="V1335" s="22" t="s">
        <v>5629</v>
      </c>
      <c r="W1335" s="22" t="s">
        <v>49</v>
      </c>
      <c r="X1335" s="3"/>
      <c r="Y1335" s="3" t="s">
        <v>5630</v>
      </c>
      <c r="Z1335" s="3" t="s">
        <v>52</v>
      </c>
      <c r="AA1335" s="3"/>
      <c r="AB1335" s="3"/>
      <c r="AC1335" s="3" t="str">
        <f>HYPERLINK("https://knigipp.ru/api/getInfo/image/384e2d96-6037-11ed-a229-00155d82e902")</f>
        <v>https://knigipp.ru/api/getInfo/image/384e2d96-6037-11ed-a229-00155d82e902</v>
      </c>
      <c r="AD1335" s="32">
        <v>48</v>
      </c>
      <c r="AE1335" s="3"/>
      <c r="AF1335" s="3" t="s">
        <v>55</v>
      </c>
      <c r="AG1335" s="3"/>
      <c r="AH1335" s="3" t="s">
        <v>56</v>
      </c>
      <c r="AI1335" s="3"/>
      <c r="AJ1335" s="3" t="s">
        <v>5601</v>
      </c>
      <c r="AK1335" s="3" t="str">
        <f>HYPERLINK("https://knigipp.ru/api/getInfo/item/384e2d96-6037-11ed-a229-00155d82e902")</f>
        <v>https://knigipp.ru/api/getInfo/item/384e2d96-6037-11ed-a229-00155d82e902</v>
      </c>
      <c r="AL1335" s="3" t="s">
        <v>432</v>
      </c>
    </row>
    <row r="1336" spans="1:38" ht="23.1" customHeight="1" outlineLevel="3" x14ac:dyDescent="0.2">
      <c r="A1336" s="48" t="s">
        <v>5631</v>
      </c>
      <c r="B1336" s="48"/>
      <c r="C1336" s="48"/>
      <c r="D1336" s="48"/>
      <c r="E1336" s="48"/>
      <c r="F1336" s="48"/>
    </row>
    <row r="1337" spans="1:38" ht="21" customHeight="1" outlineLevel="4" x14ac:dyDescent="0.2">
      <c r="A1337" s="39">
        <v>1003</v>
      </c>
      <c r="B1337" s="3" t="s">
        <v>5632</v>
      </c>
      <c r="C1337" s="49" t="s">
        <v>5633</v>
      </c>
      <c r="D1337" s="49"/>
      <c r="E1337" s="49"/>
      <c r="F1337" s="49"/>
      <c r="G1337" s="4" t="s">
        <v>5634</v>
      </c>
      <c r="H1337" s="8"/>
      <c r="I1337" s="9" t="s">
        <v>5635</v>
      </c>
      <c r="J1337" s="10"/>
      <c r="K1337" s="11">
        <v>10</v>
      </c>
      <c r="L1337" s="10"/>
      <c r="M1337" s="10" t="s">
        <v>47</v>
      </c>
      <c r="N1337" s="10"/>
      <c r="O1337" s="2">
        <v>4</v>
      </c>
      <c r="P1337" s="17">
        <f>149*(1-S3/100)</f>
        <v>149</v>
      </c>
      <c r="Q1337" s="18"/>
      <c r="R1337" s="10">
        <f>P1337*Q1337</f>
        <v>0</v>
      </c>
      <c r="S1337" s="19">
        <f>0.159*Q1337</f>
        <v>0</v>
      </c>
      <c r="T1337" s="20">
        <f>0.00035*Q1337</f>
        <v>0</v>
      </c>
      <c r="U1337" s="21"/>
      <c r="V1337" s="22" t="s">
        <v>5636</v>
      </c>
      <c r="W1337" s="22" t="s">
        <v>49</v>
      </c>
      <c r="X1337" s="3" t="s">
        <v>5637</v>
      </c>
      <c r="Y1337" s="3" t="s">
        <v>5638</v>
      </c>
      <c r="Z1337" s="3" t="s">
        <v>52</v>
      </c>
      <c r="AA1337" s="3"/>
      <c r="AB1337" s="3"/>
      <c r="AC1337" s="3" t="str">
        <f>HYPERLINK("https://knigipp.ru/api/getInfo/image/10dd204d-c330-11ed-a230-00155d82e902")</f>
        <v>https://knigipp.ru/api/getInfo/image/10dd204d-c330-11ed-a230-00155d82e902</v>
      </c>
      <c r="AD1337" s="32">
        <v>80</v>
      </c>
      <c r="AE1337" s="3" t="s">
        <v>54</v>
      </c>
      <c r="AF1337" s="3" t="s">
        <v>55</v>
      </c>
      <c r="AG1337" s="3"/>
      <c r="AH1337" s="3" t="s">
        <v>56</v>
      </c>
      <c r="AI1337" s="3"/>
      <c r="AJ1337" s="3"/>
      <c r="AK1337" s="3" t="str">
        <f>HYPERLINK("https://knigipp.ru/api/getInfo/item/10dd204d-c330-11ed-a230-00155d82e902")</f>
        <v>https://knigipp.ru/api/getInfo/item/10dd204d-c330-11ed-a230-00155d82e902</v>
      </c>
      <c r="AL1337" s="3" t="s">
        <v>5639</v>
      </c>
    </row>
    <row r="1338" spans="1:38" ht="21" customHeight="1" outlineLevel="4" x14ac:dyDescent="0.2">
      <c r="A1338" s="39">
        <v>1004</v>
      </c>
      <c r="B1338" s="3" t="s">
        <v>5640</v>
      </c>
      <c r="C1338" s="49" t="s">
        <v>5641</v>
      </c>
      <c r="D1338" s="49"/>
      <c r="E1338" s="49"/>
      <c r="F1338" s="49"/>
      <c r="G1338" s="4" t="s">
        <v>5642</v>
      </c>
      <c r="H1338" s="8"/>
      <c r="I1338" s="9" t="s">
        <v>5635</v>
      </c>
      <c r="J1338" s="10"/>
      <c r="K1338" s="11">
        <v>10</v>
      </c>
      <c r="L1338" s="10"/>
      <c r="M1338" s="10" t="s">
        <v>47</v>
      </c>
      <c r="N1338" s="10"/>
      <c r="O1338" s="2">
        <v>4</v>
      </c>
      <c r="P1338" s="17">
        <f>149*(1-S3/100)</f>
        <v>149</v>
      </c>
      <c r="Q1338" s="18"/>
      <c r="R1338" s="10">
        <f>P1338*Q1338</f>
        <v>0</v>
      </c>
      <c r="S1338" s="19">
        <f>0.159*Q1338</f>
        <v>0</v>
      </c>
      <c r="T1338" s="20">
        <f>0.00035*Q1338</f>
        <v>0</v>
      </c>
      <c r="U1338" s="21"/>
      <c r="V1338" s="22" t="s">
        <v>5643</v>
      </c>
      <c r="W1338" s="22" t="s">
        <v>49</v>
      </c>
      <c r="X1338" s="3"/>
      <c r="Y1338" s="3" t="s">
        <v>5644</v>
      </c>
      <c r="Z1338" s="3" t="s">
        <v>52</v>
      </c>
      <c r="AA1338" s="3"/>
      <c r="AB1338" s="3"/>
      <c r="AC1338" s="3" t="str">
        <f>HYPERLINK("https://knigipp.ru/api/getInfo/image/880bbe59-c330-11ed-a230-00155d82e902")</f>
        <v>https://knigipp.ru/api/getInfo/image/880bbe59-c330-11ed-a230-00155d82e902</v>
      </c>
      <c r="AD1338" s="32">
        <v>80</v>
      </c>
      <c r="AE1338" s="3" t="s">
        <v>54</v>
      </c>
      <c r="AF1338" s="3" t="s">
        <v>55</v>
      </c>
      <c r="AG1338" s="3"/>
      <c r="AH1338" s="3" t="s">
        <v>56</v>
      </c>
      <c r="AI1338" s="3"/>
      <c r="AJ1338" s="3"/>
      <c r="AK1338" s="3" t="str">
        <f>HYPERLINK("https://knigipp.ru/api/getInfo/item/880bbe59-c330-11ed-a230-00155d82e902")</f>
        <v>https://knigipp.ru/api/getInfo/item/880bbe59-c330-11ed-a230-00155d82e902</v>
      </c>
      <c r="AL1338" s="3" t="s">
        <v>5639</v>
      </c>
    </row>
    <row r="1339" spans="1:38" ht="23.1" customHeight="1" outlineLevel="3" x14ac:dyDescent="0.2">
      <c r="A1339" s="48" t="s">
        <v>5645</v>
      </c>
      <c r="B1339" s="48"/>
      <c r="C1339" s="48"/>
      <c r="D1339" s="48"/>
      <c r="E1339" s="48"/>
      <c r="F1339" s="48"/>
    </row>
    <row r="1340" spans="1:38" ht="21" customHeight="1" outlineLevel="4" x14ac:dyDescent="0.2">
      <c r="A1340" s="39">
        <v>1005</v>
      </c>
      <c r="B1340" s="3" t="s">
        <v>5646</v>
      </c>
      <c r="C1340" s="49" t="s">
        <v>5647</v>
      </c>
      <c r="D1340" s="49"/>
      <c r="E1340" s="49"/>
      <c r="F1340" s="49"/>
      <c r="G1340" s="4" t="s">
        <v>5648</v>
      </c>
      <c r="H1340" s="8"/>
      <c r="I1340" s="9" t="s">
        <v>5649</v>
      </c>
      <c r="J1340" s="10"/>
      <c r="K1340" s="11">
        <v>50</v>
      </c>
      <c r="L1340" s="10"/>
      <c r="M1340" s="10" t="s">
        <v>304</v>
      </c>
      <c r="N1340" s="10"/>
      <c r="O1340" s="2">
        <v>3</v>
      </c>
      <c r="P1340" s="17">
        <f>217*(1-S3/100)</f>
        <v>217</v>
      </c>
      <c r="Q1340" s="18"/>
      <c r="R1340" s="10">
        <f>P1340*Q1340</f>
        <v>0</v>
      </c>
      <c r="S1340" s="10">
        <v>0</v>
      </c>
      <c r="T1340" s="10">
        <v>0</v>
      </c>
      <c r="U1340" s="21"/>
      <c r="V1340" s="22" t="s">
        <v>5650</v>
      </c>
      <c r="W1340" s="22" t="s">
        <v>49</v>
      </c>
      <c r="X1340" s="3"/>
      <c r="Y1340" s="3" t="s">
        <v>5651</v>
      </c>
      <c r="Z1340" s="3" t="s">
        <v>52</v>
      </c>
      <c r="AA1340" s="3"/>
      <c r="AB1340" s="3"/>
      <c r="AC1340" s="3" t="str">
        <f>HYPERLINK("https://knigipp.ru/api/getInfo/image/afda2511-d6d1-11ee-a25a-00155d82e908")</f>
        <v>https://knigipp.ru/api/getInfo/image/afda2511-d6d1-11ee-a25a-00155d82e908</v>
      </c>
      <c r="AD1340" s="32">
        <v>24</v>
      </c>
      <c r="AE1340" s="3" t="s">
        <v>54</v>
      </c>
      <c r="AF1340" s="3" t="s">
        <v>136</v>
      </c>
      <c r="AG1340" s="3"/>
      <c r="AH1340" s="3" t="s">
        <v>56</v>
      </c>
      <c r="AI1340" s="3"/>
      <c r="AJ1340" s="3"/>
      <c r="AK1340" s="3" t="str">
        <f>HYPERLINK("https://knigipp.ru/api/getInfo/item/afda2511-d6d1-11ee-a25a-00155d82e908")</f>
        <v>https://knigipp.ru/api/getInfo/item/afda2511-d6d1-11ee-a25a-00155d82e908</v>
      </c>
      <c r="AL1340" s="3" t="s">
        <v>5652</v>
      </c>
    </row>
    <row r="1341" spans="1:38" ht="23.1" customHeight="1" outlineLevel="3" x14ac:dyDescent="0.2">
      <c r="A1341" s="48" t="s">
        <v>5653</v>
      </c>
      <c r="B1341" s="48"/>
      <c r="C1341" s="48"/>
      <c r="D1341" s="48"/>
      <c r="E1341" s="48"/>
      <c r="F1341" s="48"/>
    </row>
    <row r="1342" spans="1:38" ht="21" customHeight="1" outlineLevel="4" x14ac:dyDescent="0.2">
      <c r="A1342" s="39">
        <v>1006</v>
      </c>
      <c r="B1342" s="3" t="s">
        <v>5654</v>
      </c>
      <c r="C1342" s="49" t="s">
        <v>5655</v>
      </c>
      <c r="D1342" s="49"/>
      <c r="E1342" s="49"/>
      <c r="F1342" s="49"/>
      <c r="G1342" s="4" t="s">
        <v>5656</v>
      </c>
      <c r="H1342" s="8"/>
      <c r="I1342" s="9" t="s">
        <v>5657</v>
      </c>
      <c r="J1342" s="10"/>
      <c r="K1342" s="11">
        <v>20</v>
      </c>
      <c r="L1342" s="10"/>
      <c r="M1342" s="10" t="s">
        <v>47</v>
      </c>
      <c r="N1342" s="10"/>
      <c r="O1342" s="2">
        <v>3</v>
      </c>
      <c r="P1342" s="17">
        <f>197*(1-S3/100)</f>
        <v>197</v>
      </c>
      <c r="Q1342" s="18"/>
      <c r="R1342" s="10">
        <f>P1342*Q1342</f>
        <v>0</v>
      </c>
      <c r="S1342" s="19">
        <f>0.202*Q1342</f>
        <v>0</v>
      </c>
      <c r="T1342" s="20">
        <f>0.00059*Q1342</f>
        <v>0</v>
      </c>
      <c r="U1342" s="21"/>
      <c r="V1342" s="22" t="s">
        <v>5658</v>
      </c>
      <c r="W1342" s="22" t="s">
        <v>49</v>
      </c>
      <c r="X1342" s="3"/>
      <c r="Y1342" s="3"/>
      <c r="Z1342" s="3" t="s">
        <v>52</v>
      </c>
      <c r="AA1342" s="3"/>
      <c r="AB1342" s="3"/>
      <c r="AC1342" s="3" t="str">
        <f>HYPERLINK("https://knigipp.ru/api/getInfo/image/48e95715-2aad-11ed-a216-ac1f6b442185")</f>
        <v>https://knigipp.ru/api/getInfo/image/48e95715-2aad-11ed-a216-ac1f6b442185</v>
      </c>
      <c r="AD1342" s="32">
        <v>80</v>
      </c>
      <c r="AE1342" s="3" t="s">
        <v>54</v>
      </c>
      <c r="AF1342" s="3" t="s">
        <v>55</v>
      </c>
      <c r="AG1342" s="3"/>
      <c r="AH1342" s="3" t="s">
        <v>56</v>
      </c>
      <c r="AI1342" s="3"/>
      <c r="AJ1342" s="3"/>
      <c r="AK1342" s="3" t="str">
        <f>HYPERLINK("https://knigipp.ru/api/getInfo/item/48e95715-2aad-11ed-a216-ac1f6b442185")</f>
        <v>https://knigipp.ru/api/getInfo/item/48e95715-2aad-11ed-a216-ac1f6b442185</v>
      </c>
      <c r="AL1342" s="3" t="s">
        <v>5659</v>
      </c>
    </row>
    <row r="1343" spans="1:38" ht="23.1" customHeight="1" outlineLevel="3" x14ac:dyDescent="0.2">
      <c r="A1343" s="48" t="s">
        <v>5660</v>
      </c>
      <c r="B1343" s="48"/>
      <c r="C1343" s="48"/>
      <c r="D1343" s="48"/>
      <c r="E1343" s="48"/>
      <c r="F1343" s="48"/>
    </row>
    <row r="1344" spans="1:38" ht="21" customHeight="1" outlineLevel="4" x14ac:dyDescent="0.2">
      <c r="A1344" s="39">
        <v>1007</v>
      </c>
      <c r="B1344" s="3" t="s">
        <v>5661</v>
      </c>
      <c r="C1344" s="49" t="s">
        <v>5662</v>
      </c>
      <c r="D1344" s="49"/>
      <c r="E1344" s="49"/>
      <c r="F1344" s="49"/>
      <c r="G1344" s="4" t="s">
        <v>5663</v>
      </c>
      <c r="H1344" s="8"/>
      <c r="I1344" s="9" t="s">
        <v>5664</v>
      </c>
      <c r="J1344" s="10"/>
      <c r="K1344" s="11">
        <v>20</v>
      </c>
      <c r="L1344" s="10"/>
      <c r="M1344" s="10" t="s">
        <v>78</v>
      </c>
      <c r="N1344" s="10"/>
      <c r="O1344" s="2">
        <v>2</v>
      </c>
      <c r="P1344" s="17">
        <f>319*(1-S3/100)</f>
        <v>319</v>
      </c>
      <c r="Q1344" s="18"/>
      <c r="R1344" s="10">
        <f>P1344*Q1344</f>
        <v>0</v>
      </c>
      <c r="S1344" s="19">
        <f>0.301*Q1344</f>
        <v>0</v>
      </c>
      <c r="T1344" s="20">
        <f>0.00122*Q1344</f>
        <v>0</v>
      </c>
      <c r="U1344" s="21"/>
      <c r="V1344" s="22" t="s">
        <v>5665</v>
      </c>
      <c r="W1344" s="22" t="s">
        <v>49</v>
      </c>
      <c r="X1344" s="3"/>
      <c r="Y1344" s="3"/>
      <c r="Z1344" s="3" t="s">
        <v>460</v>
      </c>
      <c r="AA1344" s="3"/>
      <c r="AB1344" s="3"/>
      <c r="AC1344" s="3" t="str">
        <f>HYPERLINK("https://knigipp.ru/api/getInfo/image/07fa11e3-792a-11ec-a211-ac1f6b442185")</f>
        <v>https://knigipp.ru/api/getInfo/image/07fa11e3-792a-11ec-a211-ac1f6b442185</v>
      </c>
      <c r="AD1344" s="32">
        <v>96</v>
      </c>
      <c r="AE1344" s="3"/>
      <c r="AF1344" s="3" t="s">
        <v>55</v>
      </c>
      <c r="AG1344" s="3"/>
      <c r="AH1344" s="3" t="s">
        <v>56</v>
      </c>
      <c r="AI1344" s="3"/>
      <c r="AJ1344" s="3"/>
      <c r="AK1344" s="3" t="str">
        <f>HYPERLINK("https://knigipp.ru/api/getInfo/item/07fa11e3-792a-11ec-a211-ac1f6b442185")</f>
        <v>https://knigipp.ru/api/getInfo/item/07fa11e3-792a-11ec-a211-ac1f6b442185</v>
      </c>
      <c r="AL1344" s="3" t="s">
        <v>5666</v>
      </c>
    </row>
    <row r="1345" spans="1:38" ht="21" customHeight="1" outlineLevel="4" x14ac:dyDescent="0.2">
      <c r="A1345" s="39">
        <v>1008</v>
      </c>
      <c r="B1345" s="3" t="s">
        <v>5667</v>
      </c>
      <c r="C1345" s="49" t="s">
        <v>5668</v>
      </c>
      <c r="D1345" s="49"/>
      <c r="E1345" s="49"/>
      <c r="F1345" s="49"/>
      <c r="G1345" s="4" t="s">
        <v>5669</v>
      </c>
      <c r="H1345" s="8"/>
      <c r="I1345" s="9" t="s">
        <v>5664</v>
      </c>
      <c r="J1345" s="10"/>
      <c r="K1345" s="11">
        <v>20</v>
      </c>
      <c r="L1345" s="10"/>
      <c r="M1345" s="10" t="s">
        <v>78</v>
      </c>
      <c r="N1345" s="10"/>
      <c r="O1345" s="2">
        <v>2</v>
      </c>
      <c r="P1345" s="17">
        <f>319*(1-S3/100)</f>
        <v>319</v>
      </c>
      <c r="Q1345" s="18"/>
      <c r="R1345" s="10">
        <f>P1345*Q1345</f>
        <v>0</v>
      </c>
      <c r="S1345" s="19">
        <f>0.301*Q1345</f>
        <v>0</v>
      </c>
      <c r="T1345" s="20">
        <f>0.00126*Q1345</f>
        <v>0</v>
      </c>
      <c r="U1345" s="21"/>
      <c r="V1345" s="22" t="s">
        <v>5670</v>
      </c>
      <c r="W1345" s="22" t="s">
        <v>49</v>
      </c>
      <c r="X1345" s="3"/>
      <c r="Y1345" s="3"/>
      <c r="Z1345" s="3" t="s">
        <v>460</v>
      </c>
      <c r="AA1345" s="3"/>
      <c r="AB1345" s="3"/>
      <c r="AC1345" s="3" t="str">
        <f>HYPERLINK("https://knigipp.ru/api/getInfo/image/378db7e6-792a-11ec-a211-ac1f6b442185")</f>
        <v>https://knigipp.ru/api/getInfo/image/378db7e6-792a-11ec-a211-ac1f6b442185</v>
      </c>
      <c r="AD1345" s="32">
        <v>96</v>
      </c>
      <c r="AE1345" s="3"/>
      <c r="AF1345" s="3" t="s">
        <v>55</v>
      </c>
      <c r="AG1345" s="3"/>
      <c r="AH1345" s="3" t="s">
        <v>56</v>
      </c>
      <c r="AI1345" s="3"/>
      <c r="AJ1345" s="3"/>
      <c r="AK1345" s="3" t="str">
        <f>HYPERLINK("https://knigipp.ru/api/getInfo/item/378db7e6-792a-11ec-a211-ac1f6b442185")</f>
        <v>https://knigipp.ru/api/getInfo/item/378db7e6-792a-11ec-a211-ac1f6b442185</v>
      </c>
      <c r="AL1345" s="3" t="s">
        <v>5666</v>
      </c>
    </row>
    <row r="1346" spans="1:38" ht="21" customHeight="1" outlineLevel="4" x14ac:dyDescent="0.2">
      <c r="A1346" s="39">
        <v>1009</v>
      </c>
      <c r="B1346" s="3" t="s">
        <v>5671</v>
      </c>
      <c r="C1346" s="49" t="s">
        <v>5672</v>
      </c>
      <c r="D1346" s="49"/>
      <c r="E1346" s="49"/>
      <c r="F1346" s="49"/>
      <c r="G1346" s="4" t="s">
        <v>5673</v>
      </c>
      <c r="H1346" s="8"/>
      <c r="I1346" s="9" t="s">
        <v>5664</v>
      </c>
      <c r="J1346" s="10"/>
      <c r="K1346" s="11">
        <v>20</v>
      </c>
      <c r="L1346" s="10"/>
      <c r="M1346" s="10" t="s">
        <v>78</v>
      </c>
      <c r="N1346" s="10"/>
      <c r="O1346" s="2">
        <v>2</v>
      </c>
      <c r="P1346" s="17">
        <f>319*(1-S3/100)</f>
        <v>319</v>
      </c>
      <c r="Q1346" s="18"/>
      <c r="R1346" s="10">
        <f>P1346*Q1346</f>
        <v>0</v>
      </c>
      <c r="S1346" s="35">
        <f>0.3*Q1346</f>
        <v>0</v>
      </c>
      <c r="T1346" s="20">
        <f>0.00054*Q1346</f>
        <v>0</v>
      </c>
      <c r="U1346" s="21"/>
      <c r="V1346" s="22" t="s">
        <v>5674</v>
      </c>
      <c r="W1346" s="22" t="s">
        <v>49</v>
      </c>
      <c r="X1346" s="3"/>
      <c r="Y1346" s="3"/>
      <c r="Z1346" s="3" t="s">
        <v>460</v>
      </c>
      <c r="AA1346" s="3"/>
      <c r="AB1346" s="3"/>
      <c r="AC1346" s="3" t="str">
        <f>HYPERLINK("https://knigipp.ru/api/getInfo/image/666c2622-792a-11ec-a211-ac1f6b442185")</f>
        <v>https://knigipp.ru/api/getInfo/image/666c2622-792a-11ec-a211-ac1f6b442185</v>
      </c>
      <c r="AD1346" s="32">
        <v>96</v>
      </c>
      <c r="AE1346" s="3"/>
      <c r="AF1346" s="3" t="s">
        <v>55</v>
      </c>
      <c r="AG1346" s="3"/>
      <c r="AH1346" s="3" t="s">
        <v>56</v>
      </c>
      <c r="AI1346" s="3"/>
      <c r="AJ1346" s="3"/>
      <c r="AK1346" s="3" t="str">
        <f>HYPERLINK("https://knigipp.ru/api/getInfo/item/666c2622-792a-11ec-a211-ac1f6b442185")</f>
        <v>https://knigipp.ru/api/getInfo/item/666c2622-792a-11ec-a211-ac1f6b442185</v>
      </c>
      <c r="AL1346" s="3" t="s">
        <v>5666</v>
      </c>
    </row>
    <row r="1347" spans="1:38" ht="21" customHeight="1" outlineLevel="4" x14ac:dyDescent="0.2">
      <c r="A1347" s="39">
        <v>1010</v>
      </c>
      <c r="B1347" s="3" t="s">
        <v>5675</v>
      </c>
      <c r="C1347" s="49" t="s">
        <v>5676</v>
      </c>
      <c r="D1347" s="49"/>
      <c r="E1347" s="49"/>
      <c r="F1347" s="49"/>
      <c r="G1347" s="4" t="s">
        <v>5677</v>
      </c>
      <c r="H1347" s="8"/>
      <c r="I1347" s="9" t="s">
        <v>5664</v>
      </c>
      <c r="J1347" s="10"/>
      <c r="K1347" s="11">
        <v>20</v>
      </c>
      <c r="L1347" s="10"/>
      <c r="M1347" s="10" t="s">
        <v>304</v>
      </c>
      <c r="N1347" s="10"/>
      <c r="O1347" s="2">
        <v>2</v>
      </c>
      <c r="P1347" s="17">
        <f>319*(1-S3/100)</f>
        <v>319</v>
      </c>
      <c r="Q1347" s="18"/>
      <c r="R1347" s="10">
        <f>P1347*Q1347</f>
        <v>0</v>
      </c>
      <c r="S1347" s="19">
        <f>0.301*Q1347</f>
        <v>0</v>
      </c>
      <c r="T1347" s="20">
        <f>0.00054*Q1347</f>
        <v>0</v>
      </c>
      <c r="U1347" s="21"/>
      <c r="V1347" s="22" t="s">
        <v>5678</v>
      </c>
      <c r="W1347" s="22" t="s">
        <v>49</v>
      </c>
      <c r="X1347" s="3"/>
      <c r="Y1347" s="3"/>
      <c r="Z1347" s="3" t="s">
        <v>460</v>
      </c>
      <c r="AA1347" s="3"/>
      <c r="AB1347" s="3"/>
      <c r="AC1347" s="3" t="str">
        <f>HYPERLINK("https://knigipp.ru/api/getInfo/image/ac390986-792a-11ec-a211-ac1f6b442185")</f>
        <v>https://knigipp.ru/api/getInfo/image/ac390986-792a-11ec-a211-ac1f6b442185</v>
      </c>
      <c r="AD1347" s="32">
        <v>96</v>
      </c>
      <c r="AE1347" s="3"/>
      <c r="AF1347" s="3" t="s">
        <v>55</v>
      </c>
      <c r="AG1347" s="3"/>
      <c r="AH1347" s="3" t="s">
        <v>56</v>
      </c>
      <c r="AI1347" s="3"/>
      <c r="AJ1347" s="3"/>
      <c r="AK1347" s="3" t="str">
        <f>HYPERLINK("https://knigipp.ru/api/getInfo/item/ac390986-792a-11ec-a211-ac1f6b442185")</f>
        <v>https://knigipp.ru/api/getInfo/item/ac390986-792a-11ec-a211-ac1f6b442185</v>
      </c>
      <c r="AL1347" s="3" t="s">
        <v>5666</v>
      </c>
    </row>
    <row r="1348" spans="1:38" ht="23.1" customHeight="1" outlineLevel="3" x14ac:dyDescent="0.2">
      <c r="A1348" s="48" t="s">
        <v>5679</v>
      </c>
      <c r="B1348" s="48"/>
      <c r="C1348" s="48"/>
      <c r="D1348" s="48"/>
      <c r="E1348" s="48"/>
      <c r="F1348" s="48"/>
    </row>
    <row r="1349" spans="1:38" ht="21" customHeight="1" outlineLevel="4" x14ac:dyDescent="0.2">
      <c r="A1349" s="39">
        <v>1011</v>
      </c>
      <c r="B1349" s="3" t="s">
        <v>5680</v>
      </c>
      <c r="C1349" s="49" t="s">
        <v>5681</v>
      </c>
      <c r="D1349" s="49"/>
      <c r="E1349" s="49"/>
      <c r="F1349" s="49"/>
      <c r="G1349" s="4" t="s">
        <v>5682</v>
      </c>
      <c r="H1349" s="8"/>
      <c r="I1349" s="9" t="s">
        <v>5683</v>
      </c>
      <c r="J1349" s="10"/>
      <c r="K1349" s="11">
        <v>50</v>
      </c>
      <c r="L1349" s="10"/>
      <c r="M1349" s="10" t="s">
        <v>47</v>
      </c>
      <c r="N1349" s="10"/>
      <c r="O1349" s="2">
        <v>5</v>
      </c>
      <c r="P1349" s="17">
        <f>117*(1-S3/100)</f>
        <v>117</v>
      </c>
      <c r="Q1349" s="18"/>
      <c r="R1349" s="10">
        <f>P1349*Q1349</f>
        <v>0</v>
      </c>
      <c r="S1349" s="19">
        <f>0.059*Q1349</f>
        <v>0</v>
      </c>
      <c r="T1349" s="20">
        <f>0.00011*Q1349</f>
        <v>0</v>
      </c>
      <c r="U1349" s="21"/>
      <c r="V1349" s="22" t="s">
        <v>5684</v>
      </c>
      <c r="W1349" s="22" t="s">
        <v>49</v>
      </c>
      <c r="X1349" s="3"/>
      <c r="Y1349" s="3" t="s">
        <v>5685</v>
      </c>
      <c r="Z1349" s="3" t="s">
        <v>52</v>
      </c>
      <c r="AA1349" s="3"/>
      <c r="AB1349" s="3"/>
      <c r="AC1349" s="3" t="str">
        <f>HYPERLINK("https://knigipp.ru/api/getInfo/image/1e270764-354d-11ef-a261-00155d82e908")</f>
        <v>https://knigipp.ru/api/getInfo/image/1e270764-354d-11ef-a261-00155d82e908</v>
      </c>
      <c r="AD1349" s="32">
        <v>16</v>
      </c>
      <c r="AE1349" s="3" t="s">
        <v>54</v>
      </c>
      <c r="AF1349" s="3" t="s">
        <v>136</v>
      </c>
      <c r="AG1349" s="3"/>
      <c r="AH1349" s="3" t="s">
        <v>56</v>
      </c>
      <c r="AI1349" s="3"/>
      <c r="AJ1349" s="3"/>
      <c r="AK1349" s="3" t="str">
        <f>HYPERLINK("https://knigipp.ru/api/getInfo/item/1e270764-354d-11ef-a261-00155d82e908")</f>
        <v>https://knigipp.ru/api/getInfo/item/1e270764-354d-11ef-a261-00155d82e908</v>
      </c>
      <c r="AL1349" s="3" t="s">
        <v>5686</v>
      </c>
    </row>
    <row r="1350" spans="1:38" ht="23.1" customHeight="1" outlineLevel="3" x14ac:dyDescent="0.2">
      <c r="A1350" s="48" t="s">
        <v>5687</v>
      </c>
      <c r="B1350" s="48"/>
      <c r="C1350" s="48"/>
      <c r="D1350" s="48"/>
      <c r="E1350" s="48"/>
      <c r="F1350" s="48"/>
    </row>
    <row r="1351" spans="1:38" ht="21" customHeight="1" outlineLevel="4" x14ac:dyDescent="0.2">
      <c r="A1351" s="39">
        <v>1012</v>
      </c>
      <c r="B1351" s="3" t="s">
        <v>5688</v>
      </c>
      <c r="C1351" s="49" t="s">
        <v>5689</v>
      </c>
      <c r="D1351" s="49"/>
      <c r="E1351" s="49"/>
      <c r="F1351" s="49"/>
      <c r="G1351" s="4" t="s">
        <v>5690</v>
      </c>
      <c r="H1351" s="8"/>
      <c r="I1351" s="9" t="s">
        <v>5691</v>
      </c>
      <c r="J1351" s="10"/>
      <c r="K1351" s="11">
        <v>50</v>
      </c>
      <c r="L1351" s="10"/>
      <c r="M1351" s="10" t="s">
        <v>47</v>
      </c>
      <c r="N1351" s="10"/>
      <c r="O1351" s="2">
        <v>12</v>
      </c>
      <c r="P1351" s="17">
        <f>57*(1-S3/100)</f>
        <v>57</v>
      </c>
      <c r="Q1351" s="18"/>
      <c r="R1351" s="10">
        <f>P1351*Q1351</f>
        <v>0</v>
      </c>
      <c r="S1351" s="19">
        <f>0.038*Q1351</f>
        <v>0</v>
      </c>
      <c r="T1351" s="20">
        <f>0.00008*Q1351</f>
        <v>0</v>
      </c>
      <c r="U1351" s="21"/>
      <c r="V1351" s="22" t="s">
        <v>5692</v>
      </c>
      <c r="W1351" s="22" t="s">
        <v>49</v>
      </c>
      <c r="X1351" s="3"/>
      <c r="Y1351" s="3" t="s">
        <v>5693</v>
      </c>
      <c r="Z1351" s="3" t="s">
        <v>52</v>
      </c>
      <c r="AA1351" s="3"/>
      <c r="AB1351" s="3"/>
      <c r="AC1351" s="3" t="str">
        <f>HYPERLINK("https://knigipp.ru/api/getInfo/image/3617607f-edda-11ee-a25b-00155d82e908")</f>
        <v>https://knigipp.ru/api/getInfo/image/3617607f-edda-11ee-a25b-00155d82e908</v>
      </c>
      <c r="AD1351" s="32">
        <v>16</v>
      </c>
      <c r="AE1351" s="3"/>
      <c r="AF1351" s="3" t="s">
        <v>136</v>
      </c>
      <c r="AG1351" s="3"/>
      <c r="AH1351" s="3" t="s">
        <v>56</v>
      </c>
      <c r="AI1351" s="3"/>
      <c r="AJ1351" s="3"/>
      <c r="AK1351" s="3" t="str">
        <f>HYPERLINK("https://knigipp.ru/api/getInfo/item/3617607f-edda-11ee-a25b-00155d82e908")</f>
        <v>https://knigipp.ru/api/getInfo/item/3617607f-edda-11ee-a25b-00155d82e908</v>
      </c>
      <c r="AL1351" s="3" t="s">
        <v>5694</v>
      </c>
    </row>
    <row r="1352" spans="1:38" ht="21" customHeight="1" outlineLevel="4" x14ac:dyDescent="0.2">
      <c r="A1352" s="39">
        <v>1013</v>
      </c>
      <c r="B1352" s="3" t="s">
        <v>5695</v>
      </c>
      <c r="C1352" s="49" t="s">
        <v>5696</v>
      </c>
      <c r="D1352" s="49"/>
      <c r="E1352" s="49"/>
      <c r="F1352" s="49"/>
      <c r="G1352" s="4" t="s">
        <v>5697</v>
      </c>
      <c r="H1352" s="8"/>
      <c r="I1352" s="9" t="s">
        <v>5691</v>
      </c>
      <c r="J1352" s="10"/>
      <c r="K1352" s="11">
        <v>50</v>
      </c>
      <c r="L1352" s="10"/>
      <c r="M1352" s="10" t="s">
        <v>47</v>
      </c>
      <c r="N1352" s="10"/>
      <c r="O1352" s="2">
        <v>12</v>
      </c>
      <c r="P1352" s="17">
        <f>57*(1-S3/100)</f>
        <v>57</v>
      </c>
      <c r="Q1352" s="18"/>
      <c r="R1352" s="10">
        <f>P1352*Q1352</f>
        <v>0</v>
      </c>
      <c r="S1352" s="19">
        <f>0.041*Q1352</f>
        <v>0</v>
      </c>
      <c r="T1352" s="20">
        <f>0.00016*Q1352</f>
        <v>0</v>
      </c>
      <c r="U1352" s="21"/>
      <c r="V1352" s="22" t="s">
        <v>5698</v>
      </c>
      <c r="W1352" s="22" t="s">
        <v>49</v>
      </c>
      <c r="X1352" s="3"/>
      <c r="Y1352" s="3" t="s">
        <v>5699</v>
      </c>
      <c r="Z1352" s="3" t="s">
        <v>52</v>
      </c>
      <c r="AA1352" s="3"/>
      <c r="AB1352" s="3"/>
      <c r="AC1352" s="3" t="str">
        <f>HYPERLINK("https://knigipp.ru/api/getInfo/image/5ba92edb-edda-11ee-a25b-00155d82e908")</f>
        <v>https://knigipp.ru/api/getInfo/image/5ba92edb-edda-11ee-a25b-00155d82e908</v>
      </c>
      <c r="AD1352" s="32">
        <v>16</v>
      </c>
      <c r="AE1352" s="3"/>
      <c r="AF1352" s="3" t="s">
        <v>136</v>
      </c>
      <c r="AG1352" s="3"/>
      <c r="AH1352" s="3" t="s">
        <v>56</v>
      </c>
      <c r="AI1352" s="3"/>
      <c r="AJ1352" s="3"/>
      <c r="AK1352" s="3" t="str">
        <f>HYPERLINK("https://knigipp.ru/api/getInfo/item/5ba92edb-edda-11ee-a25b-00155d82e908")</f>
        <v>https://knigipp.ru/api/getInfo/item/5ba92edb-edda-11ee-a25b-00155d82e908</v>
      </c>
      <c r="AL1352" s="3" t="s">
        <v>5694</v>
      </c>
    </row>
    <row r="1353" spans="1:38" ht="21" customHeight="1" outlineLevel="4" x14ac:dyDescent="0.2">
      <c r="A1353" s="39">
        <v>1014</v>
      </c>
      <c r="B1353" s="3" t="s">
        <v>5700</v>
      </c>
      <c r="C1353" s="49" t="s">
        <v>5701</v>
      </c>
      <c r="D1353" s="49"/>
      <c r="E1353" s="49"/>
      <c r="F1353" s="49"/>
      <c r="G1353" s="4" t="s">
        <v>5702</v>
      </c>
      <c r="H1353" s="8"/>
      <c r="I1353" s="9" t="s">
        <v>5691</v>
      </c>
      <c r="J1353" s="10"/>
      <c r="K1353" s="11">
        <v>50</v>
      </c>
      <c r="L1353" s="10"/>
      <c r="M1353" s="10" t="s">
        <v>47</v>
      </c>
      <c r="N1353" s="10"/>
      <c r="O1353" s="2">
        <v>12</v>
      </c>
      <c r="P1353" s="17">
        <f>57*(1-S3/100)</f>
        <v>57</v>
      </c>
      <c r="Q1353" s="18"/>
      <c r="R1353" s="10">
        <f>P1353*Q1353</f>
        <v>0</v>
      </c>
      <c r="S1353" s="19">
        <f>0.041*Q1353</f>
        <v>0</v>
      </c>
      <c r="T1353" s="20">
        <f>0.00012*Q1353</f>
        <v>0</v>
      </c>
      <c r="U1353" s="21"/>
      <c r="V1353" s="22" t="s">
        <v>5703</v>
      </c>
      <c r="W1353" s="22" t="s">
        <v>49</v>
      </c>
      <c r="X1353" s="3"/>
      <c r="Y1353" s="3" t="s">
        <v>5704</v>
      </c>
      <c r="Z1353" s="3" t="s">
        <v>52</v>
      </c>
      <c r="AA1353" s="3"/>
      <c r="AB1353" s="3"/>
      <c r="AC1353" s="3" t="str">
        <f>HYPERLINK("https://knigipp.ru/api/getInfo/image/a4956db2-edda-11ee-a25b-00155d82e908")</f>
        <v>https://knigipp.ru/api/getInfo/image/a4956db2-edda-11ee-a25b-00155d82e908</v>
      </c>
      <c r="AD1353" s="32">
        <v>16</v>
      </c>
      <c r="AE1353" s="3"/>
      <c r="AF1353" s="3" t="s">
        <v>136</v>
      </c>
      <c r="AG1353" s="3"/>
      <c r="AH1353" s="3" t="s">
        <v>56</v>
      </c>
      <c r="AI1353" s="3"/>
      <c r="AJ1353" s="3"/>
      <c r="AK1353" s="3" t="str">
        <f>HYPERLINK("https://knigipp.ru/api/getInfo/item/a4956db2-edda-11ee-a25b-00155d82e908")</f>
        <v>https://knigipp.ru/api/getInfo/item/a4956db2-edda-11ee-a25b-00155d82e908</v>
      </c>
      <c r="AL1353" s="3" t="s">
        <v>5694</v>
      </c>
    </row>
    <row r="1354" spans="1:38" ht="21" customHeight="1" outlineLevel="4" x14ac:dyDescent="0.2">
      <c r="A1354" s="39">
        <v>1015</v>
      </c>
      <c r="B1354" s="3" t="s">
        <v>5705</v>
      </c>
      <c r="C1354" s="49" t="s">
        <v>5706</v>
      </c>
      <c r="D1354" s="49"/>
      <c r="E1354" s="49"/>
      <c r="F1354" s="49"/>
      <c r="G1354" s="4" t="s">
        <v>5707</v>
      </c>
      <c r="H1354" s="8"/>
      <c r="I1354" s="9" t="s">
        <v>5691</v>
      </c>
      <c r="J1354" s="10"/>
      <c r="K1354" s="11">
        <v>50</v>
      </c>
      <c r="L1354" s="10"/>
      <c r="M1354" s="10" t="s">
        <v>47</v>
      </c>
      <c r="N1354" s="10"/>
      <c r="O1354" s="2">
        <v>12</v>
      </c>
      <c r="P1354" s="17">
        <f>57*(1-S3/100)</f>
        <v>57</v>
      </c>
      <c r="Q1354" s="18"/>
      <c r="R1354" s="10">
        <f>P1354*Q1354</f>
        <v>0</v>
      </c>
      <c r="S1354" s="19">
        <f>0.038*Q1354</f>
        <v>0</v>
      </c>
      <c r="T1354" s="20">
        <f>0.00008*Q1354</f>
        <v>0</v>
      </c>
      <c r="U1354" s="21"/>
      <c r="V1354" s="22" t="s">
        <v>5708</v>
      </c>
      <c r="W1354" s="22" t="s">
        <v>49</v>
      </c>
      <c r="X1354" s="3"/>
      <c r="Y1354" s="3" t="s">
        <v>5709</v>
      </c>
      <c r="Z1354" s="3" t="s">
        <v>52</v>
      </c>
      <c r="AA1354" s="3"/>
      <c r="AB1354" s="3"/>
      <c r="AC1354" s="3" t="str">
        <f>HYPERLINK("https://knigipp.ru/api/getInfo/image/876a1c97-edda-11ee-a25b-00155d82e908")</f>
        <v>https://knigipp.ru/api/getInfo/image/876a1c97-edda-11ee-a25b-00155d82e908</v>
      </c>
      <c r="AD1354" s="32">
        <v>16</v>
      </c>
      <c r="AE1354" s="3"/>
      <c r="AF1354" s="3" t="s">
        <v>136</v>
      </c>
      <c r="AG1354" s="3"/>
      <c r="AH1354" s="3" t="s">
        <v>56</v>
      </c>
      <c r="AI1354" s="3"/>
      <c r="AJ1354" s="3"/>
      <c r="AK1354" s="3" t="str">
        <f>HYPERLINK("https://knigipp.ru/api/getInfo/item/876a1c97-edda-11ee-a25b-00155d82e908")</f>
        <v>https://knigipp.ru/api/getInfo/item/876a1c97-edda-11ee-a25b-00155d82e908</v>
      </c>
      <c r="AL1354" s="3" t="s">
        <v>5694</v>
      </c>
    </row>
    <row r="1355" spans="1:38" ht="23.1" customHeight="1" outlineLevel="3" x14ac:dyDescent="0.2">
      <c r="A1355" s="48" t="s">
        <v>5710</v>
      </c>
      <c r="B1355" s="48"/>
      <c r="C1355" s="48"/>
      <c r="D1355" s="48"/>
      <c r="E1355" s="48"/>
      <c r="F1355" s="48"/>
    </row>
    <row r="1356" spans="1:38" ht="21" customHeight="1" outlineLevel="4" x14ac:dyDescent="0.2">
      <c r="A1356" s="39">
        <v>1016</v>
      </c>
      <c r="B1356" s="3" t="s">
        <v>5711</v>
      </c>
      <c r="C1356" s="49" t="s">
        <v>5712</v>
      </c>
      <c r="D1356" s="49"/>
      <c r="E1356" s="49"/>
      <c r="F1356" s="49"/>
      <c r="G1356" s="4" t="s">
        <v>5713</v>
      </c>
      <c r="H1356" s="8"/>
      <c r="I1356" s="9" t="s">
        <v>5714</v>
      </c>
      <c r="J1356" s="10"/>
      <c r="K1356" s="11">
        <v>15</v>
      </c>
      <c r="L1356" s="10"/>
      <c r="M1356" s="10" t="s">
        <v>78</v>
      </c>
      <c r="N1356" s="10"/>
      <c r="O1356" s="2">
        <v>3</v>
      </c>
      <c r="P1356" s="17">
        <f>247*(1-S3/100)</f>
        <v>247</v>
      </c>
      <c r="Q1356" s="18"/>
      <c r="R1356" s="10">
        <f>P1356*Q1356</f>
        <v>0</v>
      </c>
      <c r="S1356" s="19">
        <f>0.196*Q1356</f>
        <v>0</v>
      </c>
      <c r="T1356" s="20">
        <f>0.00109*Q1356</f>
        <v>0</v>
      </c>
      <c r="U1356" s="21"/>
      <c r="V1356" s="22" t="s">
        <v>5715</v>
      </c>
      <c r="W1356" s="22" t="s">
        <v>49</v>
      </c>
      <c r="X1356" s="3" t="s">
        <v>5716</v>
      </c>
      <c r="Y1356" s="3" t="s">
        <v>5717</v>
      </c>
      <c r="Z1356" s="3" t="s">
        <v>384</v>
      </c>
      <c r="AA1356" s="3"/>
      <c r="AB1356" s="3"/>
      <c r="AC1356" s="3" t="str">
        <f>HYPERLINK("https://knigipp.ru/api/getInfo/image/3fe078fa-2cf6-11f1-a292-00155d82e908")</f>
        <v>https://knigipp.ru/api/getInfo/image/3fe078fa-2cf6-11f1-a292-00155d82e908</v>
      </c>
      <c r="AD1356" s="32">
        <v>64</v>
      </c>
      <c r="AE1356" s="3" t="s">
        <v>54</v>
      </c>
      <c r="AF1356" s="3" t="s">
        <v>136</v>
      </c>
      <c r="AG1356" s="3"/>
      <c r="AH1356" s="3" t="s">
        <v>56</v>
      </c>
      <c r="AI1356" s="3"/>
      <c r="AJ1356" s="3"/>
      <c r="AK1356" s="3" t="str">
        <f>HYPERLINK("https://knigipp.ru/api/getInfo/item/3fe078fa-2cf6-11f1-a292-00155d82e908")</f>
        <v>https://knigipp.ru/api/getInfo/item/3fe078fa-2cf6-11f1-a292-00155d82e908</v>
      </c>
      <c r="AL1356" s="3" t="s">
        <v>5718</v>
      </c>
    </row>
    <row r="1357" spans="1:38" ht="21" customHeight="1" outlineLevel="4" x14ac:dyDescent="0.2">
      <c r="A1357" s="39">
        <v>1017</v>
      </c>
      <c r="B1357" s="3" t="s">
        <v>5719</v>
      </c>
      <c r="C1357" s="49" t="s">
        <v>5720</v>
      </c>
      <c r="D1357" s="49"/>
      <c r="E1357" s="49"/>
      <c r="F1357" s="49"/>
      <c r="G1357" s="4" t="s">
        <v>5721</v>
      </c>
      <c r="H1357" s="8"/>
      <c r="I1357" s="9" t="s">
        <v>5714</v>
      </c>
      <c r="J1357" s="10"/>
      <c r="K1357" s="11">
        <v>15</v>
      </c>
      <c r="L1357" s="10"/>
      <c r="M1357" s="10" t="s">
        <v>78</v>
      </c>
      <c r="N1357" s="10"/>
      <c r="O1357" s="2">
        <v>3</v>
      </c>
      <c r="P1357" s="17">
        <f>247*(1-S3/100)</f>
        <v>247</v>
      </c>
      <c r="Q1357" s="18"/>
      <c r="R1357" s="10">
        <f>P1357*Q1357</f>
        <v>0</v>
      </c>
      <c r="S1357" s="19">
        <f>0.197*Q1357</f>
        <v>0</v>
      </c>
      <c r="T1357" s="20">
        <f>0.00064*Q1357</f>
        <v>0</v>
      </c>
      <c r="U1357" s="21"/>
      <c r="V1357" s="22" t="s">
        <v>5722</v>
      </c>
      <c r="W1357" s="22" t="s">
        <v>49</v>
      </c>
      <c r="X1357" s="3" t="s">
        <v>5723</v>
      </c>
      <c r="Y1357" s="3" t="s">
        <v>5717</v>
      </c>
      <c r="Z1357" s="3" t="s">
        <v>384</v>
      </c>
      <c r="AA1357" s="3"/>
      <c r="AB1357" s="3"/>
      <c r="AC1357" s="3" t="str">
        <f>HYPERLINK("https://knigipp.ru/api/getInfo/image/630283ed-2cf6-11f1-a292-00155d82e908")</f>
        <v>https://knigipp.ru/api/getInfo/image/630283ed-2cf6-11f1-a292-00155d82e908</v>
      </c>
      <c r="AD1357" s="32">
        <v>64</v>
      </c>
      <c r="AE1357" s="3" t="s">
        <v>54</v>
      </c>
      <c r="AF1357" s="3" t="s">
        <v>136</v>
      </c>
      <c r="AG1357" s="3"/>
      <c r="AH1357" s="3" t="s">
        <v>56</v>
      </c>
      <c r="AI1357" s="3"/>
      <c r="AJ1357" s="3"/>
      <c r="AK1357" s="3" t="str">
        <f>HYPERLINK("https://knigipp.ru/api/getInfo/item/630283ed-2cf6-11f1-a292-00155d82e908")</f>
        <v>https://knigipp.ru/api/getInfo/item/630283ed-2cf6-11f1-a292-00155d82e908</v>
      </c>
      <c r="AL1357" s="3" t="s">
        <v>5718</v>
      </c>
    </row>
    <row r="1358" spans="1:38" ht="21" customHeight="1" outlineLevel="4" x14ac:dyDescent="0.2">
      <c r="A1358" s="39">
        <v>1018</v>
      </c>
      <c r="B1358" s="3" t="s">
        <v>5724</v>
      </c>
      <c r="C1358" s="49" t="s">
        <v>5725</v>
      </c>
      <c r="D1358" s="49"/>
      <c r="E1358" s="49"/>
      <c r="F1358" s="49"/>
      <c r="G1358" s="4" t="s">
        <v>5726</v>
      </c>
      <c r="H1358" s="8"/>
      <c r="I1358" s="9" t="s">
        <v>5727</v>
      </c>
      <c r="J1358" s="10"/>
      <c r="K1358" s="11">
        <v>15</v>
      </c>
      <c r="L1358" s="10"/>
      <c r="M1358" s="10" t="s">
        <v>78</v>
      </c>
      <c r="N1358" s="10"/>
      <c r="O1358" s="2">
        <v>3</v>
      </c>
      <c r="P1358" s="17">
        <f>247*(1-S3/100)</f>
        <v>247</v>
      </c>
      <c r="Q1358" s="18"/>
      <c r="R1358" s="10">
        <f>P1358*Q1358</f>
        <v>0</v>
      </c>
      <c r="S1358" s="19">
        <f>0.198*Q1358</f>
        <v>0</v>
      </c>
      <c r="T1358" s="20">
        <f>0.00046*Q1358</f>
        <v>0</v>
      </c>
      <c r="U1358" s="21"/>
      <c r="V1358" s="22" t="s">
        <v>5728</v>
      </c>
      <c r="W1358" s="22" t="s">
        <v>49</v>
      </c>
      <c r="X1358" s="3" t="s">
        <v>5723</v>
      </c>
      <c r="Y1358" s="3" t="s">
        <v>5717</v>
      </c>
      <c r="Z1358" s="3" t="s">
        <v>384</v>
      </c>
      <c r="AA1358" s="3"/>
      <c r="AB1358" s="3"/>
      <c r="AC1358" s="3" t="str">
        <f>HYPERLINK("https://knigipp.ru/api/getInfo/image/86f01d21-2cf6-11f1-a292-00155d82e908")</f>
        <v>https://knigipp.ru/api/getInfo/image/86f01d21-2cf6-11f1-a292-00155d82e908</v>
      </c>
      <c r="AD1358" s="32">
        <v>64</v>
      </c>
      <c r="AE1358" s="3" t="s">
        <v>54</v>
      </c>
      <c r="AF1358" s="3" t="s">
        <v>136</v>
      </c>
      <c r="AG1358" s="3"/>
      <c r="AH1358" s="3" t="s">
        <v>56</v>
      </c>
      <c r="AI1358" s="3"/>
      <c r="AJ1358" s="3"/>
      <c r="AK1358" s="3" t="str">
        <f>HYPERLINK("https://knigipp.ru/api/getInfo/item/86f01d21-2cf6-11f1-a292-00155d82e908")</f>
        <v>https://knigipp.ru/api/getInfo/item/86f01d21-2cf6-11f1-a292-00155d82e908</v>
      </c>
      <c r="AL1358" s="3" t="s">
        <v>5718</v>
      </c>
    </row>
    <row r="1359" spans="1:38" ht="21" customHeight="1" outlineLevel="4" x14ac:dyDescent="0.2">
      <c r="A1359" s="39">
        <v>1019</v>
      </c>
      <c r="B1359" s="3" t="s">
        <v>5729</v>
      </c>
      <c r="C1359" s="49" t="s">
        <v>5730</v>
      </c>
      <c r="D1359" s="49"/>
      <c r="E1359" s="49"/>
      <c r="F1359" s="49"/>
      <c r="G1359" s="4" t="s">
        <v>5731</v>
      </c>
      <c r="H1359" s="8"/>
      <c r="I1359" s="9" t="s">
        <v>5727</v>
      </c>
      <c r="J1359" s="10"/>
      <c r="K1359" s="11">
        <v>15</v>
      </c>
      <c r="L1359" s="10"/>
      <c r="M1359" s="10" t="s">
        <v>47</v>
      </c>
      <c r="N1359" s="10"/>
      <c r="O1359" s="2">
        <v>3</v>
      </c>
      <c r="P1359" s="17">
        <f>247*(1-S3/100)</f>
        <v>247</v>
      </c>
      <c r="Q1359" s="18"/>
      <c r="R1359" s="10">
        <f>P1359*Q1359</f>
        <v>0</v>
      </c>
      <c r="S1359" s="19">
        <f>0.209*Q1359</f>
        <v>0</v>
      </c>
      <c r="T1359" s="20">
        <f>0.00053*Q1359</f>
        <v>0</v>
      </c>
      <c r="U1359" s="21"/>
      <c r="V1359" s="22" t="s">
        <v>5732</v>
      </c>
      <c r="W1359" s="22" t="s">
        <v>49</v>
      </c>
      <c r="X1359" s="3" t="s">
        <v>5716</v>
      </c>
      <c r="Y1359" s="3" t="s">
        <v>5717</v>
      </c>
      <c r="Z1359" s="3" t="s">
        <v>384</v>
      </c>
      <c r="AA1359" s="3"/>
      <c r="AB1359" s="3"/>
      <c r="AC1359" s="3" t="str">
        <f>HYPERLINK("https://knigipp.ru/api/getInfo/image/15c219a9-2cf6-11f1-a292-00155d82e908")</f>
        <v>https://knigipp.ru/api/getInfo/image/15c219a9-2cf6-11f1-a292-00155d82e908</v>
      </c>
      <c r="AD1359" s="32">
        <v>64</v>
      </c>
      <c r="AE1359" s="3" t="s">
        <v>54</v>
      </c>
      <c r="AF1359" s="3" t="s">
        <v>136</v>
      </c>
      <c r="AG1359" s="3"/>
      <c r="AH1359" s="3" t="s">
        <v>56</v>
      </c>
      <c r="AI1359" s="3"/>
      <c r="AJ1359" s="3"/>
      <c r="AK1359" s="3" t="str">
        <f>HYPERLINK("https://knigipp.ru/api/getInfo/item/15c219a9-2cf6-11f1-a292-00155d82e908")</f>
        <v>https://knigipp.ru/api/getInfo/item/15c219a9-2cf6-11f1-a292-00155d82e908</v>
      </c>
      <c r="AL1359" s="3" t="s">
        <v>5718</v>
      </c>
    </row>
    <row r="1360" spans="1:38" ht="23.1" customHeight="1" outlineLevel="3" x14ac:dyDescent="0.2">
      <c r="A1360" s="48" t="s">
        <v>5733</v>
      </c>
      <c r="B1360" s="48"/>
      <c r="C1360" s="48"/>
      <c r="D1360" s="48"/>
      <c r="E1360" s="48"/>
      <c r="F1360" s="48"/>
    </row>
    <row r="1361" spans="1:38" ht="21" customHeight="1" outlineLevel="4" x14ac:dyDescent="0.2">
      <c r="A1361" s="39">
        <v>1020</v>
      </c>
      <c r="B1361" s="3" t="s">
        <v>5734</v>
      </c>
      <c r="C1361" s="49" t="s">
        <v>5735</v>
      </c>
      <c r="D1361" s="49"/>
      <c r="E1361" s="49"/>
      <c r="F1361" s="49"/>
      <c r="G1361" s="4" t="s">
        <v>5736</v>
      </c>
      <c r="H1361" s="8"/>
      <c r="I1361" s="9" t="s">
        <v>5737</v>
      </c>
      <c r="J1361" s="10"/>
      <c r="K1361" s="11">
        <v>50</v>
      </c>
      <c r="L1361" s="11">
        <v>10</v>
      </c>
      <c r="M1361" s="10" t="s">
        <v>47</v>
      </c>
      <c r="N1361" s="10"/>
      <c r="O1361" s="2">
        <v>10</v>
      </c>
      <c r="P1361" s="17">
        <f>77*(1-S3/100)</f>
        <v>77</v>
      </c>
      <c r="Q1361" s="18"/>
      <c r="R1361" s="10">
        <f>P1361*Q1361</f>
        <v>0</v>
      </c>
      <c r="S1361" s="19">
        <f>0.038*Q1361</f>
        <v>0</v>
      </c>
      <c r="T1361" s="20">
        <f>0.00012*Q1361</f>
        <v>0</v>
      </c>
      <c r="U1361" s="21"/>
      <c r="V1361" s="22" t="s">
        <v>5738</v>
      </c>
      <c r="W1361" s="22" t="s">
        <v>49</v>
      </c>
      <c r="X1361" s="3"/>
      <c r="Y1361" s="3" t="s">
        <v>5739</v>
      </c>
      <c r="Z1361" s="3" t="s">
        <v>52</v>
      </c>
      <c r="AA1361" s="3"/>
      <c r="AB1361" s="3"/>
      <c r="AC1361" s="3" t="str">
        <f>HYPERLINK("https://knigipp.ru/api/getInfo/image/8f36fdbf-7fc2-11ef-a265-00155d82e908")</f>
        <v>https://knigipp.ru/api/getInfo/image/8f36fdbf-7fc2-11ef-a265-00155d82e908</v>
      </c>
      <c r="AD1361" s="32">
        <v>16</v>
      </c>
      <c r="AE1361" s="3"/>
      <c r="AF1361" s="3" t="s">
        <v>136</v>
      </c>
      <c r="AG1361" s="3"/>
      <c r="AH1361" s="3" t="s">
        <v>56</v>
      </c>
      <c r="AI1361" s="3"/>
      <c r="AJ1361" s="3"/>
      <c r="AK1361" s="3" t="str">
        <f>HYPERLINK("https://knigipp.ru/api/getInfo/item/8f36fdbf-7fc2-11ef-a265-00155d82e908")</f>
        <v>https://knigipp.ru/api/getInfo/item/8f36fdbf-7fc2-11ef-a265-00155d82e908</v>
      </c>
      <c r="AL1361" s="3" t="s">
        <v>5740</v>
      </c>
    </row>
    <row r="1362" spans="1:38" ht="21" customHeight="1" outlineLevel="4" x14ac:dyDescent="0.2">
      <c r="A1362" s="39">
        <v>1021</v>
      </c>
      <c r="B1362" s="3" t="s">
        <v>5741</v>
      </c>
      <c r="C1362" s="49" t="s">
        <v>5742</v>
      </c>
      <c r="D1362" s="49"/>
      <c r="E1362" s="49"/>
      <c r="F1362" s="49"/>
      <c r="G1362" s="4" t="s">
        <v>5743</v>
      </c>
      <c r="H1362" s="8"/>
      <c r="I1362" s="9" t="s">
        <v>5737</v>
      </c>
      <c r="J1362" s="10"/>
      <c r="K1362" s="11">
        <v>50</v>
      </c>
      <c r="L1362" s="11">
        <v>10</v>
      </c>
      <c r="M1362" s="10" t="s">
        <v>47</v>
      </c>
      <c r="N1362" s="10"/>
      <c r="O1362" s="2">
        <v>10</v>
      </c>
      <c r="P1362" s="17">
        <f>77*(1-S3/100)</f>
        <v>77</v>
      </c>
      <c r="Q1362" s="18"/>
      <c r="R1362" s="10">
        <f>P1362*Q1362</f>
        <v>0</v>
      </c>
      <c r="S1362" s="19">
        <f>0.038*Q1362</f>
        <v>0</v>
      </c>
      <c r="T1362" s="20">
        <f>0.00012*Q1362</f>
        <v>0</v>
      </c>
      <c r="U1362" s="21"/>
      <c r="V1362" s="22" t="s">
        <v>5744</v>
      </c>
      <c r="W1362" s="22" t="s">
        <v>49</v>
      </c>
      <c r="X1362" s="3"/>
      <c r="Y1362" s="3" t="s">
        <v>5745</v>
      </c>
      <c r="Z1362" s="3" t="s">
        <v>52</v>
      </c>
      <c r="AA1362" s="3"/>
      <c r="AB1362" s="3"/>
      <c r="AC1362" s="3" t="str">
        <f>HYPERLINK("https://knigipp.ru/api/getInfo/image/bebe6825-7fc2-11ef-a265-00155d82e908")</f>
        <v>https://knigipp.ru/api/getInfo/image/bebe6825-7fc2-11ef-a265-00155d82e908</v>
      </c>
      <c r="AD1362" s="32">
        <v>16</v>
      </c>
      <c r="AE1362" s="3"/>
      <c r="AF1362" s="3" t="s">
        <v>136</v>
      </c>
      <c r="AG1362" s="3"/>
      <c r="AH1362" s="3" t="s">
        <v>56</v>
      </c>
      <c r="AI1362" s="3"/>
      <c r="AJ1362" s="3"/>
      <c r="AK1362" s="3" t="str">
        <f>HYPERLINK("https://knigipp.ru/api/getInfo/item/bebe6825-7fc2-11ef-a265-00155d82e908")</f>
        <v>https://knigipp.ru/api/getInfo/item/bebe6825-7fc2-11ef-a265-00155d82e908</v>
      </c>
      <c r="AL1362" s="3" t="s">
        <v>5740</v>
      </c>
    </row>
    <row r="1363" spans="1:38" ht="21" customHeight="1" outlineLevel="4" x14ac:dyDescent="0.2">
      <c r="A1363" s="39">
        <v>1022</v>
      </c>
      <c r="B1363" s="3" t="s">
        <v>5746</v>
      </c>
      <c r="C1363" s="49" t="s">
        <v>5747</v>
      </c>
      <c r="D1363" s="49"/>
      <c r="E1363" s="49"/>
      <c r="F1363" s="49"/>
      <c r="G1363" s="4" t="s">
        <v>5748</v>
      </c>
      <c r="H1363" s="8"/>
      <c r="I1363" s="9" t="s">
        <v>5737</v>
      </c>
      <c r="J1363" s="10"/>
      <c r="K1363" s="11">
        <v>50</v>
      </c>
      <c r="L1363" s="11">
        <v>10</v>
      </c>
      <c r="M1363" s="10" t="s">
        <v>47</v>
      </c>
      <c r="N1363" s="10"/>
      <c r="O1363" s="2">
        <v>10</v>
      </c>
      <c r="P1363" s="17">
        <f>77*(1-S3/100)</f>
        <v>77</v>
      </c>
      <c r="Q1363" s="18"/>
      <c r="R1363" s="10">
        <f>P1363*Q1363</f>
        <v>0</v>
      </c>
      <c r="S1363" s="19">
        <f>0.038*Q1363</f>
        <v>0</v>
      </c>
      <c r="T1363" s="20">
        <f>0.00012*Q1363</f>
        <v>0</v>
      </c>
      <c r="U1363" s="21"/>
      <c r="V1363" s="22" t="s">
        <v>5749</v>
      </c>
      <c r="W1363" s="22" t="s">
        <v>49</v>
      </c>
      <c r="X1363" s="3"/>
      <c r="Y1363" s="3" t="s">
        <v>5750</v>
      </c>
      <c r="Z1363" s="3" t="s">
        <v>52</v>
      </c>
      <c r="AA1363" s="3"/>
      <c r="AB1363" s="3"/>
      <c r="AC1363" s="3" t="str">
        <f>HYPERLINK("https://knigipp.ru/api/getInfo/image/37623e1f-7fc3-11ef-a265-00155d82e908")</f>
        <v>https://knigipp.ru/api/getInfo/image/37623e1f-7fc3-11ef-a265-00155d82e908</v>
      </c>
      <c r="AD1363" s="32">
        <v>16</v>
      </c>
      <c r="AE1363" s="3"/>
      <c r="AF1363" s="3" t="s">
        <v>136</v>
      </c>
      <c r="AG1363" s="3"/>
      <c r="AH1363" s="3" t="s">
        <v>56</v>
      </c>
      <c r="AI1363" s="3"/>
      <c r="AJ1363" s="3"/>
      <c r="AK1363" s="3" t="str">
        <f>HYPERLINK("https://knigipp.ru/api/getInfo/item/37623e1f-7fc3-11ef-a265-00155d82e908")</f>
        <v>https://knigipp.ru/api/getInfo/item/37623e1f-7fc3-11ef-a265-00155d82e908</v>
      </c>
      <c r="AL1363" s="3" t="s">
        <v>5740</v>
      </c>
    </row>
    <row r="1364" spans="1:38" ht="21" customHeight="1" outlineLevel="4" x14ac:dyDescent="0.2">
      <c r="A1364" s="39">
        <v>1023</v>
      </c>
      <c r="B1364" s="3" t="s">
        <v>5751</v>
      </c>
      <c r="C1364" s="49" t="s">
        <v>5752</v>
      </c>
      <c r="D1364" s="49"/>
      <c r="E1364" s="49"/>
      <c r="F1364" s="49"/>
      <c r="G1364" s="4" t="s">
        <v>5753</v>
      </c>
      <c r="H1364" s="8"/>
      <c r="I1364" s="9" t="s">
        <v>5737</v>
      </c>
      <c r="J1364" s="10"/>
      <c r="K1364" s="11">
        <v>50</v>
      </c>
      <c r="L1364" s="11">
        <v>10</v>
      </c>
      <c r="M1364" s="10" t="s">
        <v>47</v>
      </c>
      <c r="N1364" s="10"/>
      <c r="O1364" s="2">
        <v>10</v>
      </c>
      <c r="P1364" s="17">
        <f>77*(1-S3/100)</f>
        <v>77</v>
      </c>
      <c r="Q1364" s="18"/>
      <c r="R1364" s="10">
        <f>P1364*Q1364</f>
        <v>0</v>
      </c>
      <c r="S1364" s="19">
        <f>0.038*Q1364</f>
        <v>0</v>
      </c>
      <c r="T1364" s="20">
        <f>0.00008*Q1364</f>
        <v>0</v>
      </c>
      <c r="U1364" s="21"/>
      <c r="V1364" s="22" t="s">
        <v>5754</v>
      </c>
      <c r="W1364" s="22" t="s">
        <v>49</v>
      </c>
      <c r="X1364" s="3"/>
      <c r="Y1364" s="3" t="s">
        <v>5755</v>
      </c>
      <c r="Z1364" s="3" t="s">
        <v>52</v>
      </c>
      <c r="AA1364" s="3"/>
      <c r="AB1364" s="3"/>
      <c r="AC1364" s="3" t="str">
        <f>HYPERLINK("https://knigipp.ru/api/getInfo/image/07aa2135-7fc3-11ef-a265-00155d82e908")</f>
        <v>https://knigipp.ru/api/getInfo/image/07aa2135-7fc3-11ef-a265-00155d82e908</v>
      </c>
      <c r="AD1364" s="32">
        <v>16</v>
      </c>
      <c r="AE1364" s="3"/>
      <c r="AF1364" s="3" t="s">
        <v>136</v>
      </c>
      <c r="AG1364" s="3"/>
      <c r="AH1364" s="3" t="s">
        <v>56</v>
      </c>
      <c r="AI1364" s="3"/>
      <c r="AJ1364" s="3"/>
      <c r="AK1364" s="3" t="str">
        <f>HYPERLINK("https://knigipp.ru/api/getInfo/item/07aa2135-7fc3-11ef-a265-00155d82e908")</f>
        <v>https://knigipp.ru/api/getInfo/item/07aa2135-7fc3-11ef-a265-00155d82e908</v>
      </c>
      <c r="AL1364" s="3" t="s">
        <v>5740</v>
      </c>
    </row>
    <row r="1365" spans="1:38" ht="23.1" customHeight="1" outlineLevel="3" x14ac:dyDescent="0.2">
      <c r="A1365" s="48" t="s">
        <v>5756</v>
      </c>
      <c r="B1365" s="48"/>
      <c r="C1365" s="48"/>
      <c r="D1365" s="48"/>
      <c r="E1365" s="48"/>
      <c r="F1365" s="48"/>
    </row>
    <row r="1366" spans="1:38" ht="21" customHeight="1" outlineLevel="4" x14ac:dyDescent="0.2">
      <c r="A1366" s="39">
        <v>1024</v>
      </c>
      <c r="B1366" s="3" t="s">
        <v>5757</v>
      </c>
      <c r="C1366" s="49" t="s">
        <v>5758</v>
      </c>
      <c r="D1366" s="49"/>
      <c r="E1366" s="49"/>
      <c r="F1366" s="49"/>
      <c r="G1366" s="4" t="s">
        <v>5759</v>
      </c>
      <c r="H1366" s="8"/>
      <c r="I1366" s="9" t="s">
        <v>5760</v>
      </c>
      <c r="J1366" s="10"/>
      <c r="K1366" s="11">
        <v>20</v>
      </c>
      <c r="L1366" s="10"/>
      <c r="M1366" s="10" t="s">
        <v>304</v>
      </c>
      <c r="N1366" s="10"/>
      <c r="O1366" s="2">
        <v>3</v>
      </c>
      <c r="P1366" s="17">
        <f>209*(1-S3/100)</f>
        <v>209</v>
      </c>
      <c r="Q1366" s="18"/>
      <c r="R1366" s="10">
        <f>P1366*Q1366</f>
        <v>0</v>
      </c>
      <c r="S1366" s="10">
        <v>0</v>
      </c>
      <c r="T1366" s="10">
        <v>0</v>
      </c>
      <c r="U1366" s="21"/>
      <c r="V1366" s="22" t="s">
        <v>5761</v>
      </c>
      <c r="W1366" s="22" t="s">
        <v>49</v>
      </c>
      <c r="X1366" s="3"/>
      <c r="Y1366" s="3"/>
      <c r="Z1366" s="3" t="s">
        <v>52</v>
      </c>
      <c r="AA1366" s="3"/>
      <c r="AB1366" s="3"/>
      <c r="AC1366" s="3" t="str">
        <f>HYPERLINK("https://knigipp.ru/api/getInfo/image/e72e7abd-918c-11ed-a22c-00155d82e902")</f>
        <v>https://knigipp.ru/api/getInfo/image/e72e7abd-918c-11ed-a22c-00155d82e902</v>
      </c>
      <c r="AD1366" s="32">
        <v>32</v>
      </c>
      <c r="AE1366" s="3"/>
      <c r="AF1366" s="3" t="s">
        <v>55</v>
      </c>
      <c r="AG1366" s="3"/>
      <c r="AH1366" s="3" t="s">
        <v>56</v>
      </c>
      <c r="AI1366" s="3"/>
      <c r="AJ1366" s="3"/>
      <c r="AK1366" s="3" t="str">
        <f>HYPERLINK("https://knigipp.ru/api/getInfo/item/e72e7abd-918c-11ed-a22c-00155d82e902")</f>
        <v>https://knigipp.ru/api/getInfo/item/e72e7abd-918c-11ed-a22c-00155d82e902</v>
      </c>
      <c r="AL1366" s="3" t="s">
        <v>5762</v>
      </c>
    </row>
    <row r="1367" spans="1:38" ht="23.1" customHeight="1" outlineLevel="3" x14ac:dyDescent="0.2">
      <c r="A1367" s="48" t="s">
        <v>5763</v>
      </c>
      <c r="B1367" s="48"/>
      <c r="C1367" s="48"/>
      <c r="D1367" s="48"/>
      <c r="E1367" s="48"/>
      <c r="F1367" s="48"/>
    </row>
    <row r="1368" spans="1:38" ht="21" customHeight="1" outlineLevel="4" x14ac:dyDescent="0.2">
      <c r="A1368" s="39">
        <v>1025</v>
      </c>
      <c r="B1368" s="3" t="s">
        <v>5764</v>
      </c>
      <c r="C1368" s="49" t="s">
        <v>5765</v>
      </c>
      <c r="D1368" s="49"/>
      <c r="E1368" s="49"/>
      <c r="F1368" s="49"/>
      <c r="G1368" s="4" t="s">
        <v>5766</v>
      </c>
      <c r="H1368" s="8"/>
      <c r="I1368" s="9" t="s">
        <v>5767</v>
      </c>
      <c r="J1368" s="10"/>
      <c r="K1368" s="11">
        <v>40</v>
      </c>
      <c r="L1368" s="10"/>
      <c r="M1368" s="10" t="s">
        <v>47</v>
      </c>
      <c r="N1368" s="10"/>
      <c r="O1368" s="2">
        <v>2</v>
      </c>
      <c r="P1368" s="17">
        <f>439*(1-S3/100)</f>
        <v>439</v>
      </c>
      <c r="Q1368" s="18"/>
      <c r="R1368" s="10">
        <f>P1368*Q1368</f>
        <v>0</v>
      </c>
      <c r="S1368" s="28">
        <f>0.22*Q1368</f>
        <v>0</v>
      </c>
      <c r="T1368" s="20">
        <f>0.00006*Q1368</f>
        <v>0</v>
      </c>
      <c r="U1368" s="21"/>
      <c r="V1368" s="22" t="s">
        <v>5768</v>
      </c>
      <c r="W1368" s="22" t="s">
        <v>49</v>
      </c>
      <c r="X1368" s="3"/>
      <c r="Y1368" s="3" t="s">
        <v>5769</v>
      </c>
      <c r="Z1368" s="3" t="s">
        <v>450</v>
      </c>
      <c r="AA1368" s="3"/>
      <c r="AB1368" s="3"/>
      <c r="AC1368" s="3" t="str">
        <f>HYPERLINK("https://knigipp.ru/api/getInfo/image/35311e89-ae56-11ef-a267-00155d82e908")</f>
        <v>https://knigipp.ru/api/getInfo/image/35311e89-ae56-11ef-a267-00155d82e908</v>
      </c>
      <c r="AD1368" s="32">
        <v>30</v>
      </c>
      <c r="AE1368" s="3" t="s">
        <v>54</v>
      </c>
      <c r="AF1368" s="3" t="s">
        <v>741</v>
      </c>
      <c r="AG1368" s="3"/>
      <c r="AH1368" s="3" t="s">
        <v>56</v>
      </c>
      <c r="AI1368" s="3"/>
      <c r="AJ1368" s="3"/>
      <c r="AK1368" s="3" t="str">
        <f>HYPERLINK("https://knigipp.ru/api/getInfo/item/35311e89-ae56-11ef-a267-00155d82e908")</f>
        <v>https://knigipp.ru/api/getInfo/item/35311e89-ae56-11ef-a267-00155d82e908</v>
      </c>
      <c r="AL1368" s="3" t="s">
        <v>5770</v>
      </c>
    </row>
    <row r="1369" spans="1:38" ht="23.1" customHeight="1" outlineLevel="3" x14ac:dyDescent="0.2">
      <c r="A1369" s="48" t="s">
        <v>5771</v>
      </c>
      <c r="B1369" s="48"/>
      <c r="C1369" s="48"/>
      <c r="D1369" s="48"/>
      <c r="E1369" s="48"/>
      <c r="F1369" s="48"/>
    </row>
    <row r="1370" spans="1:38" ht="21" customHeight="1" outlineLevel="4" x14ac:dyDescent="0.2">
      <c r="A1370" s="39">
        <v>1026</v>
      </c>
      <c r="B1370" s="3" t="s">
        <v>5772</v>
      </c>
      <c r="C1370" s="49" t="s">
        <v>5773</v>
      </c>
      <c r="D1370" s="49"/>
      <c r="E1370" s="49"/>
      <c r="F1370" s="49"/>
      <c r="G1370" s="4" t="s">
        <v>5774</v>
      </c>
      <c r="H1370" s="8"/>
      <c r="I1370" s="9" t="s">
        <v>5775</v>
      </c>
      <c r="J1370" s="10"/>
      <c r="K1370" s="11">
        <v>20</v>
      </c>
      <c r="L1370" s="10"/>
      <c r="M1370" s="10" t="s">
        <v>78</v>
      </c>
      <c r="N1370" s="10"/>
      <c r="O1370" s="2">
        <v>5</v>
      </c>
      <c r="P1370" s="17">
        <f>162.29*(1-S3/100)</f>
        <v>162.29</v>
      </c>
      <c r="Q1370" s="18"/>
      <c r="R1370" s="10">
        <f>P1370*Q1370</f>
        <v>0</v>
      </c>
      <c r="S1370" s="28">
        <f>0.15*Q1370</f>
        <v>0</v>
      </c>
      <c r="T1370" s="20">
        <f>0.00036*Q1370</f>
        <v>0</v>
      </c>
      <c r="U1370" s="21"/>
      <c r="V1370" s="22" t="s">
        <v>5776</v>
      </c>
      <c r="W1370" s="22" t="s">
        <v>49</v>
      </c>
      <c r="X1370" s="3"/>
      <c r="Y1370" s="3"/>
      <c r="Z1370" s="3" t="s">
        <v>52</v>
      </c>
      <c r="AA1370" s="3" t="s">
        <v>5777</v>
      </c>
      <c r="AB1370" s="3"/>
      <c r="AC1370" s="3" t="str">
        <f>HYPERLINK("https://knigipp.ru/api/getInfo/image/2e0fe804-75f8-11e7-a17c-5cf3fc4a2490")</f>
        <v>https://knigipp.ru/api/getInfo/image/2e0fe804-75f8-11e7-a17c-5cf3fc4a2490</v>
      </c>
      <c r="AD1370" s="3"/>
      <c r="AE1370" s="3"/>
      <c r="AF1370" s="3" t="s">
        <v>452</v>
      </c>
      <c r="AG1370" s="3"/>
      <c r="AH1370" s="3" t="s">
        <v>56</v>
      </c>
      <c r="AI1370" s="3"/>
      <c r="AJ1370" s="3" t="s">
        <v>5778</v>
      </c>
      <c r="AK1370" s="3" t="str">
        <f>HYPERLINK("https://knigipp.ru/api/getInfo/item/2e0fe804-75f8-11e7-a17c-5cf3fc4a2490")</f>
        <v>https://knigipp.ru/api/getInfo/item/2e0fe804-75f8-11e7-a17c-5cf3fc4a2490</v>
      </c>
      <c r="AL1370" s="3" t="s">
        <v>5779</v>
      </c>
    </row>
    <row r="1371" spans="1:38" ht="23.1" customHeight="1" outlineLevel="3" x14ac:dyDescent="0.2">
      <c r="A1371" s="48" t="s">
        <v>5780</v>
      </c>
      <c r="B1371" s="48"/>
      <c r="C1371" s="48"/>
      <c r="D1371" s="48"/>
      <c r="E1371" s="48"/>
      <c r="F1371" s="48"/>
    </row>
    <row r="1372" spans="1:38" ht="21" customHeight="1" outlineLevel="4" x14ac:dyDescent="0.2">
      <c r="A1372" s="39">
        <v>1027</v>
      </c>
      <c r="B1372" s="3" t="s">
        <v>5781</v>
      </c>
      <c r="C1372" s="49" t="s">
        <v>5782</v>
      </c>
      <c r="D1372" s="49"/>
      <c r="E1372" s="49"/>
      <c r="F1372" s="49"/>
      <c r="G1372" s="4" t="s">
        <v>5783</v>
      </c>
      <c r="H1372" s="8"/>
      <c r="I1372" s="9" t="s">
        <v>5784</v>
      </c>
      <c r="J1372" s="10"/>
      <c r="K1372" s="11">
        <v>50</v>
      </c>
      <c r="L1372" s="10"/>
      <c r="M1372" s="10" t="s">
        <v>304</v>
      </c>
      <c r="N1372" s="10"/>
      <c r="O1372" s="2">
        <v>4</v>
      </c>
      <c r="P1372" s="17">
        <f>173.88*(1-S3/100)</f>
        <v>173.88</v>
      </c>
      <c r="Q1372" s="18"/>
      <c r="R1372" s="10">
        <f>P1372*Q1372</f>
        <v>0</v>
      </c>
      <c r="S1372" s="19">
        <f>0.144*Q1372</f>
        <v>0</v>
      </c>
      <c r="T1372" s="20">
        <f>0.00012*Q1372</f>
        <v>0</v>
      </c>
      <c r="U1372" s="21"/>
      <c r="V1372" s="22" t="s">
        <v>5785</v>
      </c>
      <c r="W1372" s="22" t="s">
        <v>191</v>
      </c>
      <c r="X1372" s="3"/>
      <c r="Y1372" s="3"/>
      <c r="Z1372" s="3" t="s">
        <v>52</v>
      </c>
      <c r="AA1372" s="3"/>
      <c r="AB1372" s="3"/>
      <c r="AC1372" s="3" t="str">
        <f>HYPERLINK("https://knigipp.ru/api/getInfo/image/3961d69a-d94f-11e9-a234-ac1f6b442184")</f>
        <v>https://knigipp.ru/api/getInfo/image/3961d69a-d94f-11e9-a234-ac1f6b442184</v>
      </c>
      <c r="AD1372" s="3"/>
      <c r="AE1372" s="3"/>
      <c r="AF1372" s="3" t="s">
        <v>584</v>
      </c>
      <c r="AG1372" s="3"/>
      <c r="AH1372" s="3" t="s">
        <v>56</v>
      </c>
      <c r="AI1372" s="3"/>
      <c r="AJ1372" s="3" t="s">
        <v>5786</v>
      </c>
      <c r="AK1372" s="3" t="str">
        <f>HYPERLINK("https://knigipp.ru/api/getInfo/item/3961d69a-d94f-11e9-a234-ac1f6b442184")</f>
        <v>https://knigipp.ru/api/getInfo/item/3961d69a-d94f-11e9-a234-ac1f6b442184</v>
      </c>
      <c r="AL1372" s="3" t="s">
        <v>5787</v>
      </c>
    </row>
    <row r="1373" spans="1:38" ht="23.1" customHeight="1" outlineLevel="3" x14ac:dyDescent="0.2">
      <c r="A1373" s="48" t="s">
        <v>5788</v>
      </c>
      <c r="B1373" s="48"/>
      <c r="C1373" s="48"/>
      <c r="D1373" s="48"/>
      <c r="E1373" s="48"/>
      <c r="F1373" s="48"/>
    </row>
    <row r="1374" spans="1:38" ht="21" customHeight="1" outlineLevel="4" x14ac:dyDescent="0.2">
      <c r="A1374" s="39">
        <v>1028</v>
      </c>
      <c r="B1374" s="3" t="s">
        <v>5789</v>
      </c>
      <c r="C1374" s="49" t="s">
        <v>5790</v>
      </c>
      <c r="D1374" s="49"/>
      <c r="E1374" s="49"/>
      <c r="F1374" s="49"/>
      <c r="G1374" s="4" t="s">
        <v>5791</v>
      </c>
      <c r="H1374" s="8"/>
      <c r="I1374" s="9" t="s">
        <v>5792</v>
      </c>
      <c r="J1374" s="10"/>
      <c r="K1374" s="11">
        <v>20</v>
      </c>
      <c r="L1374" s="10"/>
      <c r="M1374" s="10" t="s">
        <v>47</v>
      </c>
      <c r="N1374" s="10"/>
      <c r="O1374" s="2">
        <v>4</v>
      </c>
      <c r="P1374" s="17">
        <f>179*(1-S3/100)</f>
        <v>179</v>
      </c>
      <c r="Q1374" s="18"/>
      <c r="R1374" s="10">
        <f>P1374*Q1374</f>
        <v>0</v>
      </c>
      <c r="S1374" s="19">
        <f>0.115*Q1374</f>
        <v>0</v>
      </c>
      <c r="T1374" s="20">
        <f>0.00041*Q1374</f>
        <v>0</v>
      </c>
      <c r="U1374" s="21"/>
      <c r="V1374" s="22" t="s">
        <v>5793</v>
      </c>
      <c r="W1374" s="22" t="s">
        <v>49</v>
      </c>
      <c r="X1374" s="3"/>
      <c r="Y1374" s="3" t="s">
        <v>5794</v>
      </c>
      <c r="Z1374" s="3" t="s">
        <v>52</v>
      </c>
      <c r="AA1374" s="3"/>
      <c r="AB1374" s="3"/>
      <c r="AC1374" s="3" t="str">
        <f>HYPERLINK("https://knigipp.ru/api/getInfo/image/256db2ae-612a-11ee-a245-00155d82e902")</f>
        <v>https://knigipp.ru/api/getInfo/image/256db2ae-612a-11ee-a245-00155d82e902</v>
      </c>
      <c r="AD1374" s="32">
        <v>32</v>
      </c>
      <c r="AE1374" s="3" t="s">
        <v>54</v>
      </c>
      <c r="AF1374" s="3" t="s">
        <v>55</v>
      </c>
      <c r="AG1374" s="3"/>
      <c r="AH1374" s="3" t="s">
        <v>56</v>
      </c>
      <c r="AI1374" s="3"/>
      <c r="AJ1374" s="3"/>
      <c r="AK1374" s="3" t="str">
        <f>HYPERLINK("https://knigipp.ru/api/getInfo/item/256db2ae-612a-11ee-a245-00155d82e902")</f>
        <v>https://knigipp.ru/api/getInfo/item/256db2ae-612a-11ee-a245-00155d82e902</v>
      </c>
      <c r="AL1374" s="3" t="s">
        <v>5795</v>
      </c>
    </row>
    <row r="1375" spans="1:38" ht="23.1" customHeight="1" outlineLevel="3" x14ac:dyDescent="0.2">
      <c r="A1375" s="48" t="s">
        <v>5796</v>
      </c>
      <c r="B1375" s="48"/>
      <c r="C1375" s="48"/>
      <c r="D1375" s="48"/>
      <c r="E1375" s="48"/>
      <c r="F1375" s="48"/>
    </row>
    <row r="1376" spans="1:38" ht="21" customHeight="1" outlineLevel="4" x14ac:dyDescent="0.2">
      <c r="A1376" s="39">
        <v>1029</v>
      </c>
      <c r="B1376" s="3" t="s">
        <v>5797</v>
      </c>
      <c r="C1376" s="49" t="s">
        <v>5798</v>
      </c>
      <c r="D1376" s="49"/>
      <c r="E1376" s="49"/>
      <c r="F1376" s="49"/>
      <c r="G1376" s="4" t="s">
        <v>5799</v>
      </c>
      <c r="H1376" s="8"/>
      <c r="I1376" s="9" t="s">
        <v>5800</v>
      </c>
      <c r="J1376" s="10"/>
      <c r="K1376" s="11">
        <v>50</v>
      </c>
      <c r="L1376" s="10"/>
      <c r="M1376" s="10" t="s">
        <v>47</v>
      </c>
      <c r="N1376" s="10"/>
      <c r="O1376" s="2">
        <v>10</v>
      </c>
      <c r="P1376" s="17">
        <f>67*(1-S3/100)</f>
        <v>67</v>
      </c>
      <c r="Q1376" s="18"/>
      <c r="R1376" s="10">
        <f>P1376*Q1376</f>
        <v>0</v>
      </c>
      <c r="S1376" s="19">
        <f>0.034*Q1376</f>
        <v>0</v>
      </c>
      <c r="T1376" s="20">
        <f>0.00072*Q1376</f>
        <v>0</v>
      </c>
      <c r="U1376" s="21"/>
      <c r="V1376" s="22" t="s">
        <v>5801</v>
      </c>
      <c r="W1376" s="22" t="s">
        <v>49</v>
      </c>
      <c r="X1376" s="3"/>
      <c r="Y1376" s="3"/>
      <c r="Z1376" s="3" t="s">
        <v>52</v>
      </c>
      <c r="AA1376" s="3"/>
      <c r="AB1376" s="3"/>
      <c r="AC1376" s="3" t="str">
        <f>HYPERLINK("https://knigipp.ru/api/getInfo/image/cf65b73d-7245-11ed-a22a-00155d82e902")</f>
        <v>https://knigipp.ru/api/getInfo/image/cf65b73d-7245-11ed-a22a-00155d82e902</v>
      </c>
      <c r="AD1376" s="32">
        <v>14</v>
      </c>
      <c r="AE1376" s="3"/>
      <c r="AF1376" s="3" t="s">
        <v>136</v>
      </c>
      <c r="AG1376" s="3"/>
      <c r="AH1376" s="3" t="s">
        <v>56</v>
      </c>
      <c r="AI1376" s="3"/>
      <c r="AJ1376" s="3"/>
      <c r="AK1376" s="3" t="str">
        <f>HYPERLINK("https://knigipp.ru/api/getInfo/item/cf65b73d-7245-11ed-a22a-00155d82e902")</f>
        <v>https://knigipp.ru/api/getInfo/item/cf65b73d-7245-11ed-a22a-00155d82e902</v>
      </c>
      <c r="AL1376" s="3" t="s">
        <v>5802</v>
      </c>
    </row>
    <row r="1377" spans="1:38" ht="21" customHeight="1" outlineLevel="4" x14ac:dyDescent="0.2">
      <c r="A1377" s="39">
        <v>1030</v>
      </c>
      <c r="B1377" s="3" t="s">
        <v>5803</v>
      </c>
      <c r="C1377" s="49" t="s">
        <v>5804</v>
      </c>
      <c r="D1377" s="49"/>
      <c r="E1377" s="49"/>
      <c r="F1377" s="49"/>
      <c r="G1377" s="4" t="s">
        <v>5805</v>
      </c>
      <c r="H1377" s="8"/>
      <c r="I1377" s="9" t="s">
        <v>5806</v>
      </c>
      <c r="J1377" s="10"/>
      <c r="K1377" s="11">
        <v>50</v>
      </c>
      <c r="L1377" s="10"/>
      <c r="M1377" s="10" t="s">
        <v>78</v>
      </c>
      <c r="N1377" s="10"/>
      <c r="O1377" s="2">
        <v>10</v>
      </c>
      <c r="P1377" s="17">
        <f>67*(1-S3/100)</f>
        <v>67</v>
      </c>
      <c r="Q1377" s="18"/>
      <c r="R1377" s="10">
        <f>P1377*Q1377</f>
        <v>0</v>
      </c>
      <c r="S1377" s="19">
        <f>0.039*Q1377</f>
        <v>0</v>
      </c>
      <c r="T1377" s="20">
        <f>0.00004*Q1377</f>
        <v>0</v>
      </c>
      <c r="U1377" s="21"/>
      <c r="V1377" s="22" t="s">
        <v>5807</v>
      </c>
      <c r="W1377" s="22" t="s">
        <v>49</v>
      </c>
      <c r="X1377" s="3"/>
      <c r="Y1377" s="3" t="s">
        <v>5808</v>
      </c>
      <c r="Z1377" s="3" t="s">
        <v>52</v>
      </c>
      <c r="AA1377" s="3"/>
      <c r="AB1377" s="3"/>
      <c r="AC1377" s="3" t="str">
        <f>HYPERLINK("https://knigipp.ru/api/getInfo/image/c0c6d902-4c98-11ee-a244-00155d82e902")</f>
        <v>https://knigipp.ru/api/getInfo/image/c0c6d902-4c98-11ee-a244-00155d82e902</v>
      </c>
      <c r="AD1377" s="32">
        <v>14</v>
      </c>
      <c r="AE1377" s="3" t="s">
        <v>54</v>
      </c>
      <c r="AF1377" s="3" t="s">
        <v>136</v>
      </c>
      <c r="AG1377" s="3"/>
      <c r="AH1377" s="3" t="s">
        <v>56</v>
      </c>
      <c r="AI1377" s="3"/>
      <c r="AJ1377" s="3"/>
      <c r="AK1377" s="3" t="str">
        <f>HYPERLINK("https://knigipp.ru/api/getInfo/item/c0c6d902-4c98-11ee-a244-00155d82e902")</f>
        <v>https://knigipp.ru/api/getInfo/item/c0c6d902-4c98-11ee-a244-00155d82e902</v>
      </c>
      <c r="AL1377" s="3" t="s">
        <v>5802</v>
      </c>
    </row>
    <row r="1378" spans="1:38" ht="21" customHeight="1" outlineLevel="4" x14ac:dyDescent="0.2">
      <c r="A1378" s="39">
        <v>1031</v>
      </c>
      <c r="B1378" s="3" t="s">
        <v>5809</v>
      </c>
      <c r="C1378" s="49" t="s">
        <v>5810</v>
      </c>
      <c r="D1378" s="49"/>
      <c r="E1378" s="49"/>
      <c r="F1378" s="49"/>
      <c r="G1378" s="4" t="s">
        <v>5811</v>
      </c>
      <c r="H1378" s="8"/>
      <c r="I1378" s="9" t="s">
        <v>5806</v>
      </c>
      <c r="J1378" s="10"/>
      <c r="K1378" s="11">
        <v>50</v>
      </c>
      <c r="L1378" s="10"/>
      <c r="M1378" s="10" t="s">
        <v>47</v>
      </c>
      <c r="N1378" s="10"/>
      <c r="O1378" s="2">
        <v>10</v>
      </c>
      <c r="P1378" s="17">
        <f>67*(1-S3/100)</f>
        <v>67</v>
      </c>
      <c r="Q1378" s="18"/>
      <c r="R1378" s="10">
        <f>P1378*Q1378</f>
        <v>0</v>
      </c>
      <c r="S1378" s="28">
        <f>0.04*Q1378</f>
        <v>0</v>
      </c>
      <c r="T1378" s="20">
        <f>0.00008*Q1378</f>
        <v>0</v>
      </c>
      <c r="U1378" s="21"/>
      <c r="V1378" s="22" t="s">
        <v>5812</v>
      </c>
      <c r="W1378" s="22" t="s">
        <v>49</v>
      </c>
      <c r="X1378" s="3"/>
      <c r="Y1378" s="3" t="s">
        <v>5813</v>
      </c>
      <c r="Z1378" s="3" t="s">
        <v>52</v>
      </c>
      <c r="AA1378" s="3"/>
      <c r="AB1378" s="3"/>
      <c r="AC1378" s="3" t="str">
        <f>HYPERLINK("https://knigipp.ru/api/getInfo/image/d1c25205-4c97-11ee-a244-00155d82e902")</f>
        <v>https://knigipp.ru/api/getInfo/image/d1c25205-4c97-11ee-a244-00155d82e902</v>
      </c>
      <c r="AD1378" s="32">
        <v>14</v>
      </c>
      <c r="AE1378" s="3" t="s">
        <v>54</v>
      </c>
      <c r="AF1378" s="3" t="s">
        <v>136</v>
      </c>
      <c r="AG1378" s="3"/>
      <c r="AH1378" s="3" t="s">
        <v>56</v>
      </c>
      <c r="AI1378" s="3"/>
      <c r="AJ1378" s="3"/>
      <c r="AK1378" s="3" t="str">
        <f>HYPERLINK("https://knigipp.ru/api/getInfo/item/d1c25205-4c97-11ee-a244-00155d82e902")</f>
        <v>https://knigipp.ru/api/getInfo/item/d1c25205-4c97-11ee-a244-00155d82e902</v>
      </c>
      <c r="AL1378" s="3" t="s">
        <v>5802</v>
      </c>
    </row>
    <row r="1379" spans="1:38" ht="23.1" customHeight="1" outlineLevel="3" x14ac:dyDescent="0.2">
      <c r="A1379" s="48" t="s">
        <v>5814</v>
      </c>
      <c r="B1379" s="48"/>
      <c r="C1379" s="48"/>
      <c r="D1379" s="48"/>
      <c r="E1379" s="48"/>
      <c r="F1379" s="48"/>
    </row>
    <row r="1380" spans="1:38" ht="21" customHeight="1" outlineLevel="4" x14ac:dyDescent="0.2">
      <c r="A1380" s="39">
        <v>1032</v>
      </c>
      <c r="B1380" s="3" t="s">
        <v>5815</v>
      </c>
      <c r="C1380" s="49" t="s">
        <v>5816</v>
      </c>
      <c r="D1380" s="49"/>
      <c r="E1380" s="49"/>
      <c r="F1380" s="49"/>
      <c r="G1380" s="4" t="s">
        <v>5817</v>
      </c>
      <c r="H1380" s="8"/>
      <c r="I1380" s="9" t="s">
        <v>5818</v>
      </c>
      <c r="J1380" s="10"/>
      <c r="K1380" s="11">
        <v>50</v>
      </c>
      <c r="L1380" s="10"/>
      <c r="M1380" s="10" t="s">
        <v>304</v>
      </c>
      <c r="N1380" s="10"/>
      <c r="O1380" s="2">
        <v>8</v>
      </c>
      <c r="P1380" s="17">
        <f>75.9*(1-S3/100)</f>
        <v>75.900000000000006</v>
      </c>
      <c r="Q1380" s="18"/>
      <c r="R1380" s="10">
        <f>P1380*Q1380</f>
        <v>0</v>
      </c>
      <c r="S1380" s="19">
        <f>0.068*Q1380</f>
        <v>0</v>
      </c>
      <c r="T1380" s="20">
        <f>0.00016*Q1380</f>
        <v>0</v>
      </c>
      <c r="U1380" s="21"/>
      <c r="V1380" s="22" t="s">
        <v>5819</v>
      </c>
      <c r="W1380" s="22" t="s">
        <v>49</v>
      </c>
      <c r="X1380" s="3"/>
      <c r="Y1380" s="3"/>
      <c r="Z1380" s="3" t="s">
        <v>52</v>
      </c>
      <c r="AA1380" s="3"/>
      <c r="AB1380" s="3"/>
      <c r="AC1380" s="3" t="str">
        <f>HYPERLINK("https://knigipp.ru/api/getInfo/image/9b2136eb-0b19-11ec-a20e-ac1f6b442185")</f>
        <v>https://knigipp.ru/api/getInfo/image/9b2136eb-0b19-11ec-a20e-ac1f6b442185</v>
      </c>
      <c r="AD1380" s="32">
        <v>16</v>
      </c>
      <c r="AE1380" s="3"/>
      <c r="AF1380" s="3" t="s">
        <v>136</v>
      </c>
      <c r="AG1380" s="3"/>
      <c r="AH1380" s="3" t="s">
        <v>56</v>
      </c>
      <c r="AI1380" s="3"/>
      <c r="AJ1380" s="3"/>
      <c r="AK1380" s="3" t="str">
        <f>HYPERLINK("https://knigipp.ru/api/getInfo/item/9b2136eb-0b19-11ec-a20e-ac1f6b442185")</f>
        <v>https://knigipp.ru/api/getInfo/item/9b2136eb-0b19-11ec-a20e-ac1f6b442185</v>
      </c>
      <c r="AL1380" s="3" t="s">
        <v>935</v>
      </c>
    </row>
    <row r="1381" spans="1:38" ht="21" customHeight="1" outlineLevel="4" x14ac:dyDescent="0.2">
      <c r="A1381" s="39">
        <v>1033</v>
      </c>
      <c r="B1381" s="3" t="s">
        <v>5820</v>
      </c>
      <c r="C1381" s="49" t="s">
        <v>5821</v>
      </c>
      <c r="D1381" s="49"/>
      <c r="E1381" s="49"/>
      <c r="F1381" s="49"/>
      <c r="G1381" s="4" t="s">
        <v>5822</v>
      </c>
      <c r="H1381" s="8"/>
      <c r="I1381" s="9" t="s">
        <v>5818</v>
      </c>
      <c r="J1381" s="10"/>
      <c r="K1381" s="11">
        <v>50</v>
      </c>
      <c r="L1381" s="10"/>
      <c r="M1381" s="10" t="s">
        <v>304</v>
      </c>
      <c r="N1381" s="10"/>
      <c r="O1381" s="2">
        <v>8</v>
      </c>
      <c r="P1381" s="17">
        <f>75.9*(1-S3/100)</f>
        <v>75.900000000000006</v>
      </c>
      <c r="Q1381" s="18"/>
      <c r="R1381" s="10">
        <f>P1381*Q1381</f>
        <v>0</v>
      </c>
      <c r="S1381" s="19">
        <f>0.068*Q1381</f>
        <v>0</v>
      </c>
      <c r="T1381" s="20">
        <f>0.00016*Q1381</f>
        <v>0</v>
      </c>
      <c r="U1381" s="21"/>
      <c r="V1381" s="22" t="s">
        <v>5823</v>
      </c>
      <c r="W1381" s="22" t="s">
        <v>49</v>
      </c>
      <c r="X1381" s="3"/>
      <c r="Y1381" s="3"/>
      <c r="Z1381" s="3" t="s">
        <v>52</v>
      </c>
      <c r="AA1381" s="3"/>
      <c r="AB1381" s="3"/>
      <c r="AC1381" s="3" t="str">
        <f>HYPERLINK("https://knigipp.ru/api/getInfo/image/47c1bf46-0b17-11ec-a20e-ac1f6b442185")</f>
        <v>https://knigipp.ru/api/getInfo/image/47c1bf46-0b17-11ec-a20e-ac1f6b442185</v>
      </c>
      <c r="AD1381" s="32">
        <v>16</v>
      </c>
      <c r="AE1381" s="3"/>
      <c r="AF1381" s="3" t="s">
        <v>136</v>
      </c>
      <c r="AG1381" s="3"/>
      <c r="AH1381" s="3" t="s">
        <v>56</v>
      </c>
      <c r="AI1381" s="3"/>
      <c r="AJ1381" s="3"/>
      <c r="AK1381" s="3" t="str">
        <f>HYPERLINK("https://knigipp.ru/api/getInfo/item/47c1bf46-0b17-11ec-a20e-ac1f6b442185")</f>
        <v>https://knigipp.ru/api/getInfo/item/47c1bf46-0b17-11ec-a20e-ac1f6b442185</v>
      </c>
      <c r="AL1381" s="3" t="s">
        <v>935</v>
      </c>
    </row>
    <row r="1382" spans="1:38" ht="23.1" customHeight="1" outlineLevel="3" x14ac:dyDescent="0.2">
      <c r="A1382" s="48" t="s">
        <v>5824</v>
      </c>
      <c r="B1382" s="48"/>
      <c r="C1382" s="48"/>
      <c r="D1382" s="48"/>
      <c r="E1382" s="48"/>
      <c r="F1382" s="48"/>
    </row>
    <row r="1383" spans="1:38" ht="21" customHeight="1" outlineLevel="4" x14ac:dyDescent="0.2">
      <c r="A1383" s="39">
        <v>1034</v>
      </c>
      <c r="B1383" s="3" t="s">
        <v>5825</v>
      </c>
      <c r="C1383" s="49" t="s">
        <v>5826</v>
      </c>
      <c r="D1383" s="49"/>
      <c r="E1383" s="49"/>
      <c r="F1383" s="49"/>
      <c r="G1383" s="4" t="s">
        <v>5827</v>
      </c>
      <c r="H1383" s="8"/>
      <c r="I1383" s="9" t="s">
        <v>5828</v>
      </c>
      <c r="J1383" s="10"/>
      <c r="K1383" s="11">
        <v>20</v>
      </c>
      <c r="L1383" s="10"/>
      <c r="M1383" s="10" t="s">
        <v>47</v>
      </c>
      <c r="N1383" s="10"/>
      <c r="O1383" s="2">
        <v>4</v>
      </c>
      <c r="P1383" s="17">
        <f>149*(1-S3/100)</f>
        <v>149</v>
      </c>
      <c r="Q1383" s="18"/>
      <c r="R1383" s="10">
        <f t="shared" ref="R1383:R1394" si="55">P1383*Q1383</f>
        <v>0</v>
      </c>
      <c r="S1383" s="19">
        <f>0.135*Q1383</f>
        <v>0</v>
      </c>
      <c r="T1383" s="20">
        <f>0.00008*Q1383</f>
        <v>0</v>
      </c>
      <c r="U1383" s="21"/>
      <c r="V1383" s="22" t="s">
        <v>5829</v>
      </c>
      <c r="W1383" s="22" t="s">
        <v>49</v>
      </c>
      <c r="X1383" s="3"/>
      <c r="Y1383" s="3"/>
      <c r="Z1383" s="3" t="s">
        <v>52</v>
      </c>
      <c r="AA1383" s="3"/>
      <c r="AB1383" s="3"/>
      <c r="AC1383" s="3" t="str">
        <f>HYPERLINK("https://knigipp.ru/api/getInfo/image/571815a4-6698-11ee-a245-00155d82e902")</f>
        <v>https://knigipp.ru/api/getInfo/image/571815a4-6698-11ee-a245-00155d82e902</v>
      </c>
      <c r="AD1383" s="32">
        <v>16</v>
      </c>
      <c r="AE1383" s="3"/>
      <c r="AF1383" s="3" t="s">
        <v>452</v>
      </c>
      <c r="AG1383" s="3"/>
      <c r="AH1383" s="3" t="s">
        <v>56</v>
      </c>
      <c r="AI1383" s="3"/>
      <c r="AJ1383" s="3"/>
      <c r="AK1383" s="3" t="str">
        <f>HYPERLINK("https://knigipp.ru/api/getInfo/item/571815a4-6698-11ee-a245-00155d82e902")</f>
        <v>https://knigipp.ru/api/getInfo/item/571815a4-6698-11ee-a245-00155d82e902</v>
      </c>
      <c r="AL1383" s="3" t="s">
        <v>5830</v>
      </c>
    </row>
    <row r="1384" spans="1:38" ht="21" customHeight="1" outlineLevel="4" x14ac:dyDescent="0.2">
      <c r="A1384" s="39">
        <v>1035</v>
      </c>
      <c r="B1384" s="3" t="s">
        <v>5831</v>
      </c>
      <c r="C1384" s="49" t="s">
        <v>5832</v>
      </c>
      <c r="D1384" s="49"/>
      <c r="E1384" s="49"/>
      <c r="F1384" s="49"/>
      <c r="G1384" s="4" t="s">
        <v>5833</v>
      </c>
      <c r="H1384" s="8"/>
      <c r="I1384" s="9" t="s">
        <v>5828</v>
      </c>
      <c r="J1384" s="10"/>
      <c r="K1384" s="11">
        <v>20</v>
      </c>
      <c r="L1384" s="10"/>
      <c r="M1384" s="10" t="s">
        <v>47</v>
      </c>
      <c r="N1384" s="10"/>
      <c r="O1384" s="2">
        <v>4</v>
      </c>
      <c r="P1384" s="17">
        <f>149*(1-S3/100)</f>
        <v>149</v>
      </c>
      <c r="Q1384" s="18"/>
      <c r="R1384" s="10">
        <f t="shared" si="55"/>
        <v>0</v>
      </c>
      <c r="S1384" s="19">
        <f>0.131*Q1384</f>
        <v>0</v>
      </c>
      <c r="T1384" s="20">
        <f>0.00013*Q1384</f>
        <v>0</v>
      </c>
      <c r="U1384" s="21"/>
      <c r="V1384" s="22" t="s">
        <v>5834</v>
      </c>
      <c r="W1384" s="22" t="s">
        <v>49</v>
      </c>
      <c r="X1384" s="3"/>
      <c r="Y1384" s="3"/>
      <c r="Z1384" s="3" t="s">
        <v>52</v>
      </c>
      <c r="AA1384" s="3"/>
      <c r="AB1384" s="3"/>
      <c r="AC1384" s="3" t="str">
        <f>HYPERLINK("https://knigipp.ru/api/getInfo/image/6e7ef60c-6699-11ee-a245-00155d82e902")</f>
        <v>https://knigipp.ru/api/getInfo/image/6e7ef60c-6699-11ee-a245-00155d82e902</v>
      </c>
      <c r="AD1384" s="32">
        <v>16</v>
      </c>
      <c r="AE1384" s="3"/>
      <c r="AF1384" s="3" t="s">
        <v>452</v>
      </c>
      <c r="AG1384" s="3"/>
      <c r="AH1384" s="3" t="s">
        <v>56</v>
      </c>
      <c r="AI1384" s="3"/>
      <c r="AJ1384" s="3"/>
      <c r="AK1384" s="3" t="str">
        <f>HYPERLINK("https://knigipp.ru/api/getInfo/item/6e7ef60c-6699-11ee-a245-00155d82e902")</f>
        <v>https://knigipp.ru/api/getInfo/item/6e7ef60c-6699-11ee-a245-00155d82e902</v>
      </c>
      <c r="AL1384" s="3" t="s">
        <v>5830</v>
      </c>
    </row>
    <row r="1385" spans="1:38" ht="21" customHeight="1" outlineLevel="4" x14ac:dyDescent="0.2">
      <c r="A1385" s="39">
        <v>1036</v>
      </c>
      <c r="B1385" s="3" t="s">
        <v>5835</v>
      </c>
      <c r="C1385" s="49" t="s">
        <v>5836</v>
      </c>
      <c r="D1385" s="49"/>
      <c r="E1385" s="49"/>
      <c r="F1385" s="49"/>
      <c r="G1385" s="4" t="s">
        <v>5837</v>
      </c>
      <c r="H1385" s="8"/>
      <c r="I1385" s="9" t="s">
        <v>5828</v>
      </c>
      <c r="J1385" s="10"/>
      <c r="K1385" s="11">
        <v>20</v>
      </c>
      <c r="L1385" s="10"/>
      <c r="M1385" s="10" t="s">
        <v>47</v>
      </c>
      <c r="N1385" s="10"/>
      <c r="O1385" s="2">
        <v>4</v>
      </c>
      <c r="P1385" s="17">
        <f>149*(1-S3/100)</f>
        <v>149</v>
      </c>
      <c r="Q1385" s="18"/>
      <c r="R1385" s="10">
        <f t="shared" si="55"/>
        <v>0</v>
      </c>
      <c r="S1385" s="19">
        <f>0.135*Q1385</f>
        <v>0</v>
      </c>
      <c r="T1385" s="20">
        <f>0.00011*Q1385</f>
        <v>0</v>
      </c>
      <c r="U1385" s="21"/>
      <c r="V1385" s="22" t="s">
        <v>5838</v>
      </c>
      <c r="W1385" s="22" t="s">
        <v>49</v>
      </c>
      <c r="X1385" s="3" t="s">
        <v>5839</v>
      </c>
      <c r="Y1385" s="3"/>
      <c r="Z1385" s="3" t="s">
        <v>52</v>
      </c>
      <c r="AA1385" s="3"/>
      <c r="AB1385" s="3"/>
      <c r="AC1385" s="3" t="str">
        <f>HYPERLINK("https://knigipp.ru/api/getInfo/image/cd5d3ff8-6698-11ee-a245-00155d82e902")</f>
        <v>https://knigipp.ru/api/getInfo/image/cd5d3ff8-6698-11ee-a245-00155d82e902</v>
      </c>
      <c r="AD1385" s="32">
        <v>16</v>
      </c>
      <c r="AE1385" s="3"/>
      <c r="AF1385" s="3" t="s">
        <v>452</v>
      </c>
      <c r="AG1385" s="3"/>
      <c r="AH1385" s="3" t="s">
        <v>56</v>
      </c>
      <c r="AI1385" s="3"/>
      <c r="AJ1385" s="3"/>
      <c r="AK1385" s="3" t="str">
        <f>HYPERLINK("https://knigipp.ru/api/getInfo/item/cd5d3ff8-6698-11ee-a245-00155d82e902")</f>
        <v>https://knigipp.ru/api/getInfo/item/cd5d3ff8-6698-11ee-a245-00155d82e902</v>
      </c>
      <c r="AL1385" s="3" t="s">
        <v>5830</v>
      </c>
    </row>
    <row r="1386" spans="1:38" ht="21" customHeight="1" outlineLevel="4" x14ac:dyDescent="0.2">
      <c r="A1386" s="39">
        <v>1037</v>
      </c>
      <c r="B1386" s="3" t="s">
        <v>5840</v>
      </c>
      <c r="C1386" s="49" t="s">
        <v>5841</v>
      </c>
      <c r="D1386" s="49"/>
      <c r="E1386" s="49"/>
      <c r="F1386" s="49"/>
      <c r="G1386" s="4" t="s">
        <v>5842</v>
      </c>
      <c r="H1386" s="8"/>
      <c r="I1386" s="9" t="s">
        <v>5828</v>
      </c>
      <c r="J1386" s="10"/>
      <c r="K1386" s="11">
        <v>20</v>
      </c>
      <c r="L1386" s="10"/>
      <c r="M1386" s="10" t="s">
        <v>47</v>
      </c>
      <c r="N1386" s="10"/>
      <c r="O1386" s="2">
        <v>4</v>
      </c>
      <c r="P1386" s="17">
        <f>149*(1-S3/100)</f>
        <v>149</v>
      </c>
      <c r="Q1386" s="18"/>
      <c r="R1386" s="10">
        <f t="shared" si="55"/>
        <v>0</v>
      </c>
      <c r="S1386" s="19">
        <f>0.135*Q1386</f>
        <v>0</v>
      </c>
      <c r="T1386" s="20">
        <f>0.00011*Q1386</f>
        <v>0</v>
      </c>
      <c r="U1386" s="21"/>
      <c r="V1386" s="22" t="s">
        <v>5843</v>
      </c>
      <c r="W1386" s="22" t="s">
        <v>49</v>
      </c>
      <c r="X1386" s="3" t="s">
        <v>5844</v>
      </c>
      <c r="Y1386" s="3"/>
      <c r="Z1386" s="3" t="s">
        <v>52</v>
      </c>
      <c r="AA1386" s="3"/>
      <c r="AB1386" s="3"/>
      <c r="AC1386" s="3" t="str">
        <f>HYPERLINK("https://knigipp.ru/api/getInfo/image/19102c75-6699-11ee-a245-00155d82e902")</f>
        <v>https://knigipp.ru/api/getInfo/image/19102c75-6699-11ee-a245-00155d82e902</v>
      </c>
      <c r="AD1386" s="32">
        <v>16</v>
      </c>
      <c r="AE1386" s="3"/>
      <c r="AF1386" s="3" t="s">
        <v>452</v>
      </c>
      <c r="AG1386" s="3"/>
      <c r="AH1386" s="3" t="s">
        <v>56</v>
      </c>
      <c r="AI1386" s="3"/>
      <c r="AJ1386" s="3"/>
      <c r="AK1386" s="3" t="str">
        <f>HYPERLINK("https://knigipp.ru/api/getInfo/item/19102c75-6699-11ee-a245-00155d82e902")</f>
        <v>https://knigipp.ru/api/getInfo/item/19102c75-6699-11ee-a245-00155d82e902</v>
      </c>
      <c r="AL1386" s="3" t="s">
        <v>5830</v>
      </c>
    </row>
    <row r="1387" spans="1:38" ht="21" customHeight="1" outlineLevel="4" x14ac:dyDescent="0.2">
      <c r="A1387" s="39">
        <v>1038</v>
      </c>
      <c r="B1387" s="3" t="s">
        <v>5845</v>
      </c>
      <c r="C1387" s="49" t="s">
        <v>5846</v>
      </c>
      <c r="D1387" s="49"/>
      <c r="E1387" s="49"/>
      <c r="F1387" s="49"/>
      <c r="G1387" s="4" t="s">
        <v>5847</v>
      </c>
      <c r="H1387" s="8"/>
      <c r="I1387" s="9" t="s">
        <v>5828</v>
      </c>
      <c r="J1387" s="10"/>
      <c r="K1387" s="11">
        <v>20</v>
      </c>
      <c r="L1387" s="10"/>
      <c r="M1387" s="10" t="s">
        <v>47</v>
      </c>
      <c r="N1387" s="10"/>
      <c r="O1387" s="2">
        <v>4</v>
      </c>
      <c r="P1387" s="17">
        <f>149*(1-S3/100)</f>
        <v>149</v>
      </c>
      <c r="Q1387" s="18"/>
      <c r="R1387" s="10">
        <f t="shared" si="55"/>
        <v>0</v>
      </c>
      <c r="S1387" s="19">
        <f>0.135*Q1387</f>
        <v>0</v>
      </c>
      <c r="T1387" s="20">
        <f>0.00019*Q1387</f>
        <v>0</v>
      </c>
      <c r="U1387" s="21"/>
      <c r="V1387" s="22" t="s">
        <v>5848</v>
      </c>
      <c r="W1387" s="22" t="s">
        <v>49</v>
      </c>
      <c r="X1387" s="3" t="s">
        <v>5839</v>
      </c>
      <c r="Y1387" s="3"/>
      <c r="Z1387" s="3" t="s">
        <v>52</v>
      </c>
      <c r="AA1387" s="3"/>
      <c r="AB1387" s="3"/>
      <c r="AC1387" s="3" t="str">
        <f>HYPERLINK("https://knigipp.ru/api/getInfo/image/4b0a2988-6699-11ee-a245-00155d82e902")</f>
        <v>https://knigipp.ru/api/getInfo/image/4b0a2988-6699-11ee-a245-00155d82e902</v>
      </c>
      <c r="AD1387" s="32">
        <v>16</v>
      </c>
      <c r="AE1387" s="3"/>
      <c r="AF1387" s="3" t="s">
        <v>452</v>
      </c>
      <c r="AG1387" s="3"/>
      <c r="AH1387" s="3" t="s">
        <v>56</v>
      </c>
      <c r="AI1387" s="3"/>
      <c r="AJ1387" s="3"/>
      <c r="AK1387" s="3" t="str">
        <f>HYPERLINK("https://knigipp.ru/api/getInfo/item/4b0a2988-6699-11ee-a245-00155d82e902")</f>
        <v>https://knigipp.ru/api/getInfo/item/4b0a2988-6699-11ee-a245-00155d82e902</v>
      </c>
      <c r="AL1387" s="3" t="s">
        <v>5830</v>
      </c>
    </row>
    <row r="1388" spans="1:38" ht="21" customHeight="1" outlineLevel="4" x14ac:dyDescent="0.2">
      <c r="A1388" s="39">
        <v>1039</v>
      </c>
      <c r="B1388" s="3" t="s">
        <v>5849</v>
      </c>
      <c r="C1388" s="49" t="s">
        <v>5850</v>
      </c>
      <c r="D1388" s="49"/>
      <c r="E1388" s="49"/>
      <c r="F1388" s="49"/>
      <c r="G1388" s="4" t="s">
        <v>5851</v>
      </c>
      <c r="H1388" s="8"/>
      <c r="I1388" s="9" t="s">
        <v>5828</v>
      </c>
      <c r="J1388" s="10"/>
      <c r="K1388" s="11">
        <v>20</v>
      </c>
      <c r="L1388" s="10"/>
      <c r="M1388" s="10" t="s">
        <v>47</v>
      </c>
      <c r="N1388" s="10"/>
      <c r="O1388" s="2">
        <v>4</v>
      </c>
      <c r="P1388" s="17">
        <f>149*(1-S3/100)</f>
        <v>149</v>
      </c>
      <c r="Q1388" s="18"/>
      <c r="R1388" s="10">
        <f t="shared" si="55"/>
        <v>0</v>
      </c>
      <c r="S1388" s="19">
        <f>0.134*Q1388</f>
        <v>0</v>
      </c>
      <c r="T1388" s="20">
        <f>0.00008*Q1388</f>
        <v>0</v>
      </c>
      <c r="U1388" s="21"/>
      <c r="V1388" s="22" t="s">
        <v>5852</v>
      </c>
      <c r="W1388" s="22" t="s">
        <v>49</v>
      </c>
      <c r="X1388" s="3" t="s">
        <v>5853</v>
      </c>
      <c r="Y1388" s="3"/>
      <c r="Z1388" s="3" t="s">
        <v>52</v>
      </c>
      <c r="AA1388" s="3"/>
      <c r="AB1388" s="3"/>
      <c r="AC1388" s="3" t="str">
        <f>HYPERLINK("https://knigipp.ru/api/getInfo/image/a164df3f-6699-11ee-a245-00155d82e902")</f>
        <v>https://knigipp.ru/api/getInfo/image/a164df3f-6699-11ee-a245-00155d82e902</v>
      </c>
      <c r="AD1388" s="32">
        <v>16</v>
      </c>
      <c r="AE1388" s="3"/>
      <c r="AF1388" s="3" t="s">
        <v>452</v>
      </c>
      <c r="AG1388" s="3"/>
      <c r="AH1388" s="3" t="s">
        <v>56</v>
      </c>
      <c r="AI1388" s="3"/>
      <c r="AJ1388" s="3"/>
      <c r="AK1388" s="3" t="str">
        <f>HYPERLINK("https://knigipp.ru/api/getInfo/item/a164df3f-6699-11ee-a245-00155d82e902")</f>
        <v>https://knigipp.ru/api/getInfo/item/a164df3f-6699-11ee-a245-00155d82e902</v>
      </c>
      <c r="AL1388" s="3" t="s">
        <v>5830</v>
      </c>
    </row>
    <row r="1389" spans="1:38" ht="21" customHeight="1" outlineLevel="4" x14ac:dyDescent="0.2">
      <c r="A1389" s="39">
        <v>1040</v>
      </c>
      <c r="B1389" s="3" t="s">
        <v>5854</v>
      </c>
      <c r="C1389" s="49" t="s">
        <v>5855</v>
      </c>
      <c r="D1389" s="49"/>
      <c r="E1389" s="49"/>
      <c r="F1389" s="49"/>
      <c r="G1389" s="4" t="s">
        <v>5856</v>
      </c>
      <c r="H1389" s="8"/>
      <c r="I1389" s="9" t="s">
        <v>5828</v>
      </c>
      <c r="J1389" s="10"/>
      <c r="K1389" s="11">
        <v>20</v>
      </c>
      <c r="L1389" s="10"/>
      <c r="M1389" s="10" t="s">
        <v>47</v>
      </c>
      <c r="N1389" s="10"/>
      <c r="O1389" s="2">
        <v>4</v>
      </c>
      <c r="P1389" s="17">
        <f>149*(1-S3/100)</f>
        <v>149</v>
      </c>
      <c r="Q1389" s="18"/>
      <c r="R1389" s="10">
        <f t="shared" si="55"/>
        <v>0</v>
      </c>
      <c r="S1389" s="19">
        <f>0.135*Q1389</f>
        <v>0</v>
      </c>
      <c r="T1389" s="20">
        <f>0.00019*Q1389</f>
        <v>0</v>
      </c>
      <c r="U1389" s="21"/>
      <c r="V1389" s="22" t="s">
        <v>5857</v>
      </c>
      <c r="W1389" s="22" t="s">
        <v>49</v>
      </c>
      <c r="X1389" s="3" t="s">
        <v>5858</v>
      </c>
      <c r="Y1389" s="3"/>
      <c r="Z1389" s="3" t="s">
        <v>52</v>
      </c>
      <c r="AA1389" s="3"/>
      <c r="AB1389" s="3"/>
      <c r="AC1389" s="3" t="str">
        <f>HYPERLINK("https://knigipp.ru/api/getInfo/image/0239be98-669a-11ee-a245-00155d82e902")</f>
        <v>https://knigipp.ru/api/getInfo/image/0239be98-669a-11ee-a245-00155d82e902</v>
      </c>
      <c r="AD1389" s="32">
        <v>16</v>
      </c>
      <c r="AE1389" s="3"/>
      <c r="AF1389" s="3" t="s">
        <v>452</v>
      </c>
      <c r="AG1389" s="3"/>
      <c r="AH1389" s="3" t="s">
        <v>56</v>
      </c>
      <c r="AI1389" s="3"/>
      <c r="AJ1389" s="3"/>
      <c r="AK1389" s="3" t="str">
        <f>HYPERLINK("https://knigipp.ru/api/getInfo/item/0239be98-669a-11ee-a245-00155d82e902")</f>
        <v>https://knigipp.ru/api/getInfo/item/0239be98-669a-11ee-a245-00155d82e902</v>
      </c>
      <c r="AL1389" s="3" t="s">
        <v>5830</v>
      </c>
    </row>
    <row r="1390" spans="1:38" ht="21" customHeight="1" outlineLevel="4" x14ac:dyDescent="0.2">
      <c r="A1390" s="39">
        <v>1041</v>
      </c>
      <c r="B1390" s="3" t="s">
        <v>5859</v>
      </c>
      <c r="C1390" s="49" t="s">
        <v>5860</v>
      </c>
      <c r="D1390" s="49"/>
      <c r="E1390" s="49"/>
      <c r="F1390" s="49"/>
      <c r="G1390" s="4" t="s">
        <v>5861</v>
      </c>
      <c r="H1390" s="8"/>
      <c r="I1390" s="9" t="s">
        <v>5828</v>
      </c>
      <c r="J1390" s="10"/>
      <c r="K1390" s="11">
        <v>20</v>
      </c>
      <c r="L1390" s="10"/>
      <c r="M1390" s="10" t="s">
        <v>47</v>
      </c>
      <c r="N1390" s="10"/>
      <c r="O1390" s="2">
        <v>4</v>
      </c>
      <c r="P1390" s="17">
        <f>149*(1-S3/100)</f>
        <v>149</v>
      </c>
      <c r="Q1390" s="18"/>
      <c r="R1390" s="10">
        <f t="shared" si="55"/>
        <v>0</v>
      </c>
      <c r="S1390" s="19">
        <f>0.135*Q1390</f>
        <v>0</v>
      </c>
      <c r="T1390" s="20">
        <f>0.00019*Q1390</f>
        <v>0</v>
      </c>
      <c r="U1390" s="21"/>
      <c r="V1390" s="22" t="s">
        <v>5862</v>
      </c>
      <c r="W1390" s="22" t="s">
        <v>49</v>
      </c>
      <c r="X1390" s="3" t="s">
        <v>672</v>
      </c>
      <c r="Y1390" s="3"/>
      <c r="Z1390" s="3" t="s">
        <v>52</v>
      </c>
      <c r="AA1390" s="3"/>
      <c r="AB1390" s="3"/>
      <c r="AC1390" s="3" t="str">
        <f>HYPERLINK("https://knigipp.ru/api/getInfo/image/f422bd8f-6698-11ee-a245-00155d82e902")</f>
        <v>https://knigipp.ru/api/getInfo/image/f422bd8f-6698-11ee-a245-00155d82e902</v>
      </c>
      <c r="AD1390" s="32">
        <v>16</v>
      </c>
      <c r="AE1390" s="3"/>
      <c r="AF1390" s="3" t="s">
        <v>452</v>
      </c>
      <c r="AG1390" s="3"/>
      <c r="AH1390" s="3" t="s">
        <v>56</v>
      </c>
      <c r="AI1390" s="3"/>
      <c r="AJ1390" s="3"/>
      <c r="AK1390" s="3" t="str">
        <f>HYPERLINK("https://knigipp.ru/api/getInfo/item/f422bd8f-6698-11ee-a245-00155d82e902")</f>
        <v>https://knigipp.ru/api/getInfo/item/f422bd8f-6698-11ee-a245-00155d82e902</v>
      </c>
      <c r="AL1390" s="3" t="s">
        <v>5830</v>
      </c>
    </row>
    <row r="1391" spans="1:38" ht="21" customHeight="1" outlineLevel="4" x14ac:dyDescent="0.2">
      <c r="A1391" s="39">
        <v>1042</v>
      </c>
      <c r="B1391" s="3" t="s">
        <v>5863</v>
      </c>
      <c r="C1391" s="49" t="s">
        <v>5864</v>
      </c>
      <c r="D1391" s="49"/>
      <c r="E1391" s="49"/>
      <c r="F1391" s="49"/>
      <c r="G1391" s="4" t="s">
        <v>5865</v>
      </c>
      <c r="H1391" s="8"/>
      <c r="I1391" s="9" t="s">
        <v>5828</v>
      </c>
      <c r="J1391" s="10"/>
      <c r="K1391" s="11">
        <v>20</v>
      </c>
      <c r="L1391" s="10"/>
      <c r="M1391" s="10" t="s">
        <v>47</v>
      </c>
      <c r="N1391" s="10"/>
      <c r="O1391" s="2">
        <v>4</v>
      </c>
      <c r="P1391" s="17">
        <f>149*(1-S3/100)</f>
        <v>149</v>
      </c>
      <c r="Q1391" s="18"/>
      <c r="R1391" s="10">
        <f t="shared" si="55"/>
        <v>0</v>
      </c>
      <c r="S1391" s="19">
        <f>0.134*Q1391</f>
        <v>0</v>
      </c>
      <c r="T1391" s="20">
        <f>0.00027*Q1391</f>
        <v>0</v>
      </c>
      <c r="U1391" s="21"/>
      <c r="V1391" s="22" t="s">
        <v>5866</v>
      </c>
      <c r="W1391" s="22" t="s">
        <v>49</v>
      </c>
      <c r="X1391" s="3" t="s">
        <v>5844</v>
      </c>
      <c r="Y1391" s="3"/>
      <c r="Z1391" s="3" t="s">
        <v>52</v>
      </c>
      <c r="AA1391" s="3"/>
      <c r="AB1391" s="3"/>
      <c r="AC1391" s="3" t="str">
        <f>HYPERLINK("https://knigipp.ru/api/getInfo/image/c1d9efe7-6699-11ee-a245-00155d82e902")</f>
        <v>https://knigipp.ru/api/getInfo/image/c1d9efe7-6699-11ee-a245-00155d82e902</v>
      </c>
      <c r="AD1391" s="32">
        <v>16</v>
      </c>
      <c r="AE1391" s="3"/>
      <c r="AF1391" s="3" t="s">
        <v>452</v>
      </c>
      <c r="AG1391" s="3"/>
      <c r="AH1391" s="3" t="s">
        <v>56</v>
      </c>
      <c r="AI1391" s="3"/>
      <c r="AJ1391" s="3"/>
      <c r="AK1391" s="3" t="str">
        <f>HYPERLINK("https://knigipp.ru/api/getInfo/item/c1d9efe7-6699-11ee-a245-00155d82e902")</f>
        <v>https://knigipp.ru/api/getInfo/item/c1d9efe7-6699-11ee-a245-00155d82e902</v>
      </c>
      <c r="AL1391" s="3" t="s">
        <v>5830</v>
      </c>
    </row>
    <row r="1392" spans="1:38" ht="21" customHeight="1" outlineLevel="4" x14ac:dyDescent="0.2">
      <c r="A1392" s="39">
        <v>1043</v>
      </c>
      <c r="B1392" s="3" t="s">
        <v>5867</v>
      </c>
      <c r="C1392" s="49" t="s">
        <v>5868</v>
      </c>
      <c r="D1392" s="49"/>
      <c r="E1392" s="49"/>
      <c r="F1392" s="49"/>
      <c r="G1392" s="4" t="s">
        <v>5869</v>
      </c>
      <c r="H1392" s="8"/>
      <c r="I1392" s="9" t="s">
        <v>5828</v>
      </c>
      <c r="J1392" s="10"/>
      <c r="K1392" s="11">
        <v>20</v>
      </c>
      <c r="L1392" s="10"/>
      <c r="M1392" s="10" t="s">
        <v>47</v>
      </c>
      <c r="N1392" s="10"/>
      <c r="O1392" s="2">
        <v>4</v>
      </c>
      <c r="P1392" s="17">
        <f>149*(1-S3/100)</f>
        <v>149</v>
      </c>
      <c r="Q1392" s="18"/>
      <c r="R1392" s="10">
        <f t="shared" si="55"/>
        <v>0</v>
      </c>
      <c r="S1392" s="19">
        <f>0.134*Q1392</f>
        <v>0</v>
      </c>
      <c r="T1392" s="20">
        <f>0.00008*Q1392</f>
        <v>0</v>
      </c>
      <c r="U1392" s="21"/>
      <c r="V1392" s="22" t="s">
        <v>5870</v>
      </c>
      <c r="W1392" s="22" t="s">
        <v>49</v>
      </c>
      <c r="X1392" s="3" t="s">
        <v>5871</v>
      </c>
      <c r="Y1392" s="3"/>
      <c r="Z1392" s="3" t="s">
        <v>52</v>
      </c>
      <c r="AA1392" s="3"/>
      <c r="AB1392" s="3"/>
      <c r="AC1392" s="3" t="str">
        <f>HYPERLINK("https://knigipp.ru/api/getInfo/image/de48fefa-6699-11ee-a245-00155d82e902")</f>
        <v>https://knigipp.ru/api/getInfo/image/de48fefa-6699-11ee-a245-00155d82e902</v>
      </c>
      <c r="AD1392" s="32">
        <v>16</v>
      </c>
      <c r="AE1392" s="3"/>
      <c r="AF1392" s="3" t="s">
        <v>452</v>
      </c>
      <c r="AG1392" s="3"/>
      <c r="AH1392" s="3" t="s">
        <v>56</v>
      </c>
      <c r="AI1392" s="3"/>
      <c r="AJ1392" s="3"/>
      <c r="AK1392" s="3" t="str">
        <f>HYPERLINK("https://knigipp.ru/api/getInfo/item/de48fefa-6699-11ee-a245-00155d82e902")</f>
        <v>https://knigipp.ru/api/getInfo/item/de48fefa-6699-11ee-a245-00155d82e902</v>
      </c>
      <c r="AL1392" s="3" t="s">
        <v>5830</v>
      </c>
    </row>
    <row r="1393" spans="1:38" ht="21" customHeight="1" outlineLevel="4" x14ac:dyDescent="0.2">
      <c r="A1393" s="39">
        <v>1044</v>
      </c>
      <c r="B1393" s="3" t="s">
        <v>5872</v>
      </c>
      <c r="C1393" s="49" t="s">
        <v>5873</v>
      </c>
      <c r="D1393" s="49"/>
      <c r="E1393" s="49"/>
      <c r="F1393" s="49"/>
      <c r="G1393" s="4" t="s">
        <v>5874</v>
      </c>
      <c r="H1393" s="8"/>
      <c r="I1393" s="9" t="s">
        <v>5828</v>
      </c>
      <c r="J1393" s="10"/>
      <c r="K1393" s="11">
        <v>20</v>
      </c>
      <c r="L1393" s="10"/>
      <c r="M1393" s="10" t="s">
        <v>47</v>
      </c>
      <c r="N1393" s="10"/>
      <c r="O1393" s="2">
        <v>4</v>
      </c>
      <c r="P1393" s="17">
        <f>149*(1-S3/100)</f>
        <v>149</v>
      </c>
      <c r="Q1393" s="18"/>
      <c r="R1393" s="10">
        <f t="shared" si="55"/>
        <v>0</v>
      </c>
      <c r="S1393" s="19">
        <f>0.134*Q1393</f>
        <v>0</v>
      </c>
      <c r="T1393" s="20">
        <f>0.00027*Q1393</f>
        <v>0</v>
      </c>
      <c r="U1393" s="21"/>
      <c r="V1393" s="22" t="s">
        <v>5875</v>
      </c>
      <c r="W1393" s="22" t="s">
        <v>49</v>
      </c>
      <c r="X1393" s="3" t="s">
        <v>672</v>
      </c>
      <c r="Y1393" s="3"/>
      <c r="Z1393" s="3" t="s">
        <v>52</v>
      </c>
      <c r="AA1393" s="3"/>
      <c r="AB1393" s="3"/>
      <c r="AC1393" s="3" t="str">
        <f>HYPERLINK("https://knigipp.ru/api/getInfo/image/ab934f46-6698-11ee-a245-00155d82e902")</f>
        <v>https://knigipp.ru/api/getInfo/image/ab934f46-6698-11ee-a245-00155d82e902</v>
      </c>
      <c r="AD1393" s="32">
        <v>16</v>
      </c>
      <c r="AE1393" s="3"/>
      <c r="AF1393" s="3" t="s">
        <v>452</v>
      </c>
      <c r="AG1393" s="3"/>
      <c r="AH1393" s="3" t="s">
        <v>56</v>
      </c>
      <c r="AI1393" s="3"/>
      <c r="AJ1393" s="3"/>
      <c r="AK1393" s="3" t="str">
        <f>HYPERLINK("https://knigipp.ru/api/getInfo/item/ab934f46-6698-11ee-a245-00155d82e902")</f>
        <v>https://knigipp.ru/api/getInfo/item/ab934f46-6698-11ee-a245-00155d82e902</v>
      </c>
      <c r="AL1393" s="3" t="s">
        <v>5830</v>
      </c>
    </row>
    <row r="1394" spans="1:38" ht="21" customHeight="1" outlineLevel="4" x14ac:dyDescent="0.2">
      <c r="A1394" s="39">
        <v>1045</v>
      </c>
      <c r="B1394" s="3" t="s">
        <v>5876</v>
      </c>
      <c r="C1394" s="49" t="s">
        <v>5877</v>
      </c>
      <c r="D1394" s="49"/>
      <c r="E1394" s="49"/>
      <c r="F1394" s="49"/>
      <c r="G1394" s="4" t="s">
        <v>5878</v>
      </c>
      <c r="H1394" s="8"/>
      <c r="I1394" s="9" t="s">
        <v>5828</v>
      </c>
      <c r="J1394" s="10"/>
      <c r="K1394" s="11">
        <v>20</v>
      </c>
      <c r="L1394" s="10"/>
      <c r="M1394" s="10" t="s">
        <v>47</v>
      </c>
      <c r="N1394" s="10"/>
      <c r="O1394" s="2">
        <v>4</v>
      </c>
      <c r="P1394" s="17">
        <f>149*(1-S3/100)</f>
        <v>149</v>
      </c>
      <c r="Q1394" s="18"/>
      <c r="R1394" s="10">
        <f t="shared" si="55"/>
        <v>0</v>
      </c>
      <c r="S1394" s="19">
        <f>0.134*Q1394</f>
        <v>0</v>
      </c>
      <c r="T1394" s="20">
        <f>0.00027*Q1394</f>
        <v>0</v>
      </c>
      <c r="U1394" s="21"/>
      <c r="V1394" s="22" t="s">
        <v>5879</v>
      </c>
      <c r="W1394" s="22" t="s">
        <v>49</v>
      </c>
      <c r="X1394" s="3"/>
      <c r="Y1394" s="3"/>
      <c r="Z1394" s="3" t="s">
        <v>52</v>
      </c>
      <c r="AA1394" s="3"/>
      <c r="AB1394" s="3"/>
      <c r="AC1394" s="3" t="str">
        <f>HYPERLINK("https://knigipp.ru/api/getInfo/image/80d3c26b-6698-11ee-a245-00155d82e902")</f>
        <v>https://knigipp.ru/api/getInfo/image/80d3c26b-6698-11ee-a245-00155d82e902</v>
      </c>
      <c r="AD1394" s="32">
        <v>16</v>
      </c>
      <c r="AE1394" s="3"/>
      <c r="AF1394" s="3" t="s">
        <v>452</v>
      </c>
      <c r="AG1394" s="3"/>
      <c r="AH1394" s="3" t="s">
        <v>56</v>
      </c>
      <c r="AI1394" s="3"/>
      <c r="AJ1394" s="3"/>
      <c r="AK1394" s="3" t="str">
        <f>HYPERLINK("https://knigipp.ru/api/getInfo/item/80d3c26b-6698-11ee-a245-00155d82e902")</f>
        <v>https://knigipp.ru/api/getInfo/item/80d3c26b-6698-11ee-a245-00155d82e902</v>
      </c>
      <c r="AL1394" s="3" t="s">
        <v>5830</v>
      </c>
    </row>
    <row r="1395" spans="1:38" ht="23.1" customHeight="1" outlineLevel="3" x14ac:dyDescent="0.2">
      <c r="A1395" s="48" t="s">
        <v>5880</v>
      </c>
      <c r="B1395" s="48"/>
      <c r="C1395" s="48"/>
      <c r="D1395" s="48"/>
      <c r="E1395" s="48"/>
      <c r="F1395" s="48"/>
    </row>
    <row r="1396" spans="1:38" ht="21" customHeight="1" outlineLevel="4" x14ac:dyDescent="0.2">
      <c r="A1396" s="39">
        <v>1046</v>
      </c>
      <c r="B1396" s="3" t="s">
        <v>5881</v>
      </c>
      <c r="C1396" s="49" t="s">
        <v>5882</v>
      </c>
      <c r="D1396" s="49"/>
      <c r="E1396" s="49"/>
      <c r="F1396" s="49"/>
      <c r="G1396" s="4" t="s">
        <v>5883</v>
      </c>
      <c r="H1396" s="8"/>
      <c r="I1396" s="9" t="s">
        <v>5884</v>
      </c>
      <c r="J1396" s="10"/>
      <c r="K1396" s="11">
        <v>50</v>
      </c>
      <c r="L1396" s="10"/>
      <c r="M1396" s="10" t="s">
        <v>304</v>
      </c>
      <c r="N1396" s="10"/>
      <c r="O1396" s="2">
        <v>20</v>
      </c>
      <c r="P1396" s="17">
        <f>35.24*(1-S3/100)</f>
        <v>35.24</v>
      </c>
      <c r="Q1396" s="18"/>
      <c r="R1396" s="10">
        <f>P1396*Q1396</f>
        <v>0</v>
      </c>
      <c r="S1396" s="28">
        <f>0.08*Q1396</f>
        <v>0</v>
      </c>
      <c r="T1396" s="20">
        <f>0.00009*Q1396</f>
        <v>0</v>
      </c>
      <c r="U1396" s="21"/>
      <c r="V1396" s="22" t="s">
        <v>5885</v>
      </c>
      <c r="W1396" s="22" t="s">
        <v>191</v>
      </c>
      <c r="X1396" s="3"/>
      <c r="Y1396" s="3"/>
      <c r="Z1396" s="3" t="s">
        <v>52</v>
      </c>
      <c r="AA1396" s="3" t="s">
        <v>5886</v>
      </c>
      <c r="AB1396" s="3"/>
      <c r="AC1396" s="3" t="str">
        <f>HYPERLINK("https://knigipp.ru/api/getInfo/image/56e1bee5-af33-11e3-a18c-5cf3fc4a2490")</f>
        <v>https://knigipp.ru/api/getInfo/image/56e1bee5-af33-11e3-a18c-5cf3fc4a2490</v>
      </c>
      <c r="AD1396" s="32">
        <v>1</v>
      </c>
      <c r="AE1396" s="3"/>
      <c r="AF1396" s="3" t="s">
        <v>1119</v>
      </c>
      <c r="AG1396" s="3"/>
      <c r="AH1396" s="3" t="s">
        <v>56</v>
      </c>
      <c r="AI1396" s="3"/>
      <c r="AJ1396" s="3" t="s">
        <v>5887</v>
      </c>
      <c r="AK1396" s="3" t="str">
        <f>HYPERLINK("https://knigipp.ru/api/getInfo/item/56e1bee5-af33-11e3-a18c-5cf3fc4a2490")</f>
        <v>https://knigipp.ru/api/getInfo/item/56e1bee5-af33-11e3-a18c-5cf3fc4a2490</v>
      </c>
      <c r="AL1396" s="3" t="s">
        <v>5888</v>
      </c>
    </row>
    <row r="1397" spans="1:38" ht="21" customHeight="1" outlineLevel="4" x14ac:dyDescent="0.2">
      <c r="A1397" s="39">
        <v>1047</v>
      </c>
      <c r="B1397" s="3" t="s">
        <v>5889</v>
      </c>
      <c r="C1397" s="49" t="s">
        <v>5890</v>
      </c>
      <c r="D1397" s="49"/>
      <c r="E1397" s="49"/>
      <c r="F1397" s="49"/>
      <c r="G1397" s="4" t="s">
        <v>5891</v>
      </c>
      <c r="H1397" s="8"/>
      <c r="I1397" s="9" t="s">
        <v>5892</v>
      </c>
      <c r="J1397" s="10"/>
      <c r="K1397" s="11">
        <v>50</v>
      </c>
      <c r="L1397" s="10"/>
      <c r="M1397" s="10" t="s">
        <v>304</v>
      </c>
      <c r="N1397" s="10"/>
      <c r="O1397" s="2">
        <v>20</v>
      </c>
      <c r="P1397" s="17">
        <f>35.24*(1-S3/100)</f>
        <v>35.24</v>
      </c>
      <c r="Q1397" s="18"/>
      <c r="R1397" s="10">
        <f>P1397*Q1397</f>
        <v>0</v>
      </c>
      <c r="S1397" s="28">
        <f>0.08*Q1397</f>
        <v>0</v>
      </c>
      <c r="T1397" s="20">
        <f>0.00009*Q1397</f>
        <v>0</v>
      </c>
      <c r="U1397" s="21"/>
      <c r="V1397" s="22" t="s">
        <v>5893</v>
      </c>
      <c r="W1397" s="22" t="s">
        <v>191</v>
      </c>
      <c r="X1397" s="3"/>
      <c r="Y1397" s="3"/>
      <c r="Z1397" s="3"/>
      <c r="AA1397" s="3" t="s">
        <v>5894</v>
      </c>
      <c r="AB1397" s="3"/>
      <c r="AC1397" s="3" t="str">
        <f>HYPERLINK("https://knigipp.ru/api/getInfo/image/918d2760-327a-11e8-ba06-5cf3fc4a2490")</f>
        <v>https://knigipp.ru/api/getInfo/image/918d2760-327a-11e8-ba06-5cf3fc4a2490</v>
      </c>
      <c r="AD1397" s="3"/>
      <c r="AE1397" s="3"/>
      <c r="AF1397" s="3"/>
      <c r="AG1397" s="3"/>
      <c r="AH1397" s="3" t="s">
        <v>56</v>
      </c>
      <c r="AI1397" s="3"/>
      <c r="AJ1397" s="3" t="s">
        <v>5887</v>
      </c>
      <c r="AK1397" s="3" t="str">
        <f>HYPERLINK("https://knigipp.ru/api/getInfo/item/918d2760-327a-11e8-ba06-5cf3fc4a2490")</f>
        <v>https://knigipp.ru/api/getInfo/item/918d2760-327a-11e8-ba06-5cf3fc4a2490</v>
      </c>
      <c r="AL1397" s="3" t="s">
        <v>5888</v>
      </c>
    </row>
    <row r="1398" spans="1:38" ht="23.1" customHeight="1" outlineLevel="3" x14ac:dyDescent="0.2">
      <c r="A1398" s="48" t="s">
        <v>5895</v>
      </c>
      <c r="B1398" s="48"/>
      <c r="C1398" s="48"/>
      <c r="D1398" s="48"/>
      <c r="E1398" s="48"/>
      <c r="F1398" s="48"/>
    </row>
    <row r="1399" spans="1:38" ht="21" customHeight="1" outlineLevel="4" x14ac:dyDescent="0.2">
      <c r="A1399" s="39">
        <v>1048</v>
      </c>
      <c r="B1399" s="3" t="s">
        <v>5896</v>
      </c>
      <c r="C1399" s="49" t="s">
        <v>5897</v>
      </c>
      <c r="D1399" s="49"/>
      <c r="E1399" s="49"/>
      <c r="F1399" s="49"/>
      <c r="G1399" s="4" t="s">
        <v>5898</v>
      </c>
      <c r="H1399" s="8"/>
      <c r="I1399" s="9" t="s">
        <v>5899</v>
      </c>
      <c r="J1399" s="10"/>
      <c r="K1399" s="11">
        <v>50</v>
      </c>
      <c r="L1399" s="10"/>
      <c r="M1399" s="10" t="s">
        <v>78</v>
      </c>
      <c r="N1399" s="10"/>
      <c r="O1399" s="2">
        <v>30</v>
      </c>
      <c r="P1399" s="17">
        <f>23.9*(1-S3/100)</f>
        <v>23.9</v>
      </c>
      <c r="Q1399" s="18"/>
      <c r="R1399" s="10">
        <f>P1399*Q1399</f>
        <v>0</v>
      </c>
      <c r="S1399" s="10">
        <v>0</v>
      </c>
      <c r="T1399" s="10">
        <v>0</v>
      </c>
      <c r="U1399" s="21"/>
      <c r="V1399" s="22" t="s">
        <v>5900</v>
      </c>
      <c r="W1399" s="22" t="s">
        <v>49</v>
      </c>
      <c r="X1399" s="3"/>
      <c r="Y1399" s="3"/>
      <c r="Z1399" s="3" t="s">
        <v>52</v>
      </c>
      <c r="AA1399" s="3"/>
      <c r="AB1399" s="3"/>
      <c r="AC1399" s="3" t="str">
        <f>HYPERLINK("https://knigipp.ru/api/getInfo/image/fa4114b0-3b15-11ec-a20f-ac1f6b442185")</f>
        <v>https://knigipp.ru/api/getInfo/image/fa4114b0-3b15-11ec-a20f-ac1f6b442185</v>
      </c>
      <c r="AD1399" s="32">
        <v>16</v>
      </c>
      <c r="AE1399" s="3"/>
      <c r="AF1399" s="3" t="s">
        <v>136</v>
      </c>
      <c r="AG1399" s="3"/>
      <c r="AH1399" s="3" t="s">
        <v>56</v>
      </c>
      <c r="AI1399" s="3"/>
      <c r="AJ1399" s="3"/>
      <c r="AK1399" s="3" t="str">
        <f>HYPERLINK("https://knigipp.ru/api/getInfo/item/fa4114b0-3b15-11ec-a20f-ac1f6b442185")</f>
        <v>https://knigipp.ru/api/getInfo/item/fa4114b0-3b15-11ec-a20f-ac1f6b442185</v>
      </c>
      <c r="AL1399" s="3" t="s">
        <v>5901</v>
      </c>
    </row>
    <row r="1400" spans="1:38" ht="23.1" customHeight="1" outlineLevel="3" x14ac:dyDescent="0.2">
      <c r="A1400" s="48" t="s">
        <v>5902</v>
      </c>
      <c r="B1400" s="48"/>
      <c r="C1400" s="48"/>
      <c r="D1400" s="48"/>
      <c r="E1400" s="48"/>
      <c r="F1400" s="48"/>
    </row>
    <row r="1401" spans="1:38" ht="21" customHeight="1" outlineLevel="4" x14ac:dyDescent="0.2">
      <c r="A1401" s="39">
        <v>1049</v>
      </c>
      <c r="B1401" s="3" t="s">
        <v>5903</v>
      </c>
      <c r="C1401" s="49" t="s">
        <v>5904</v>
      </c>
      <c r="D1401" s="49"/>
      <c r="E1401" s="49"/>
      <c r="F1401" s="49"/>
      <c r="G1401" s="4" t="s">
        <v>5905</v>
      </c>
      <c r="H1401" s="8"/>
      <c r="I1401" s="9" t="s">
        <v>5906</v>
      </c>
      <c r="J1401" s="10"/>
      <c r="K1401" s="11">
        <v>50</v>
      </c>
      <c r="L1401" s="10"/>
      <c r="M1401" s="10" t="s">
        <v>47</v>
      </c>
      <c r="N1401" s="10"/>
      <c r="O1401" s="2">
        <v>3</v>
      </c>
      <c r="P1401" s="17">
        <f>189*(1-S3/100)</f>
        <v>189</v>
      </c>
      <c r="Q1401" s="18"/>
      <c r="R1401" s="10">
        <f t="shared" ref="R1401:R1411" si="56">P1401*Q1401</f>
        <v>0</v>
      </c>
      <c r="S1401" s="19">
        <f>0.121*Q1401</f>
        <v>0</v>
      </c>
      <c r="T1401" s="20">
        <f>0.00028*Q1401</f>
        <v>0</v>
      </c>
      <c r="U1401" s="21"/>
      <c r="V1401" s="22" t="s">
        <v>5907</v>
      </c>
      <c r="W1401" s="22" t="s">
        <v>49</v>
      </c>
      <c r="X1401" s="3"/>
      <c r="Y1401" s="3"/>
      <c r="Z1401" s="3" t="s">
        <v>52</v>
      </c>
      <c r="AA1401" s="3"/>
      <c r="AB1401" s="3"/>
      <c r="AC1401" s="3" t="str">
        <f>HYPERLINK("https://knigipp.ru/api/getInfo/image/08f7b4a2-9822-11ee-a250-00155d82e908")</f>
        <v>https://knigipp.ru/api/getInfo/image/08f7b4a2-9822-11ee-a250-00155d82e908</v>
      </c>
      <c r="AD1401" s="3"/>
      <c r="AE1401" s="3"/>
      <c r="AF1401" s="3" t="s">
        <v>452</v>
      </c>
      <c r="AG1401" s="3"/>
      <c r="AH1401" s="3" t="s">
        <v>56</v>
      </c>
      <c r="AI1401" s="3"/>
      <c r="AJ1401" s="3"/>
      <c r="AK1401" s="3" t="str">
        <f>HYPERLINK("https://knigipp.ru/api/getInfo/item/08f7b4a2-9822-11ee-a250-00155d82e908")</f>
        <v>https://knigipp.ru/api/getInfo/item/08f7b4a2-9822-11ee-a250-00155d82e908</v>
      </c>
      <c r="AL1401" s="3" t="s">
        <v>5908</v>
      </c>
    </row>
    <row r="1402" spans="1:38" ht="21" customHeight="1" outlineLevel="4" x14ac:dyDescent="0.2">
      <c r="A1402" s="39">
        <v>1050</v>
      </c>
      <c r="B1402" s="3" t="s">
        <v>5909</v>
      </c>
      <c r="C1402" s="49" t="s">
        <v>5910</v>
      </c>
      <c r="D1402" s="49"/>
      <c r="E1402" s="49"/>
      <c r="F1402" s="49"/>
      <c r="G1402" s="4" t="s">
        <v>5911</v>
      </c>
      <c r="H1402" s="8"/>
      <c r="I1402" s="9" t="s">
        <v>5912</v>
      </c>
      <c r="J1402" s="10"/>
      <c r="K1402" s="11">
        <v>50</v>
      </c>
      <c r="L1402" s="10"/>
      <c r="M1402" s="10" t="s">
        <v>78</v>
      </c>
      <c r="N1402" s="10"/>
      <c r="O1402" s="2">
        <v>3</v>
      </c>
      <c r="P1402" s="17">
        <f>189*(1-S3/100)</f>
        <v>189</v>
      </c>
      <c r="Q1402" s="18"/>
      <c r="R1402" s="10">
        <f t="shared" si="56"/>
        <v>0</v>
      </c>
      <c r="S1402" s="28">
        <f>0.11*Q1402</f>
        <v>0</v>
      </c>
      <c r="T1402" s="30">
        <f>0.0002*Q1402</f>
        <v>0</v>
      </c>
      <c r="U1402" s="21"/>
      <c r="V1402" s="22" t="s">
        <v>5913</v>
      </c>
      <c r="W1402" s="22" t="s">
        <v>49</v>
      </c>
      <c r="X1402" s="3"/>
      <c r="Y1402" s="3"/>
      <c r="Z1402" s="3" t="s">
        <v>52</v>
      </c>
      <c r="AA1402" s="3"/>
      <c r="AB1402" s="3"/>
      <c r="AC1402" s="3" t="str">
        <f>HYPERLINK("https://knigipp.ru/api/getInfo/image/e7322d96-c7c2-11ed-a230-00155d82e902")</f>
        <v>https://knigipp.ru/api/getInfo/image/e7322d96-c7c2-11ed-a230-00155d82e902</v>
      </c>
      <c r="AD1402" s="3"/>
      <c r="AE1402" s="3"/>
      <c r="AF1402" s="3" t="s">
        <v>452</v>
      </c>
      <c r="AG1402" s="3"/>
      <c r="AH1402" s="3" t="s">
        <v>56</v>
      </c>
      <c r="AI1402" s="3"/>
      <c r="AJ1402" s="3"/>
      <c r="AK1402" s="3" t="str">
        <f>HYPERLINK("https://knigipp.ru/api/getInfo/item/e7322d96-c7c2-11ed-a230-00155d82e902")</f>
        <v>https://knigipp.ru/api/getInfo/item/e7322d96-c7c2-11ed-a230-00155d82e902</v>
      </c>
      <c r="AL1402" s="3" t="s">
        <v>5908</v>
      </c>
    </row>
    <row r="1403" spans="1:38" ht="21" customHeight="1" outlineLevel="4" x14ac:dyDescent="0.2">
      <c r="A1403" s="39">
        <v>1051</v>
      </c>
      <c r="B1403" s="3" t="s">
        <v>5914</v>
      </c>
      <c r="C1403" s="49" t="s">
        <v>5915</v>
      </c>
      <c r="D1403" s="49"/>
      <c r="E1403" s="49"/>
      <c r="F1403" s="49"/>
      <c r="G1403" s="4" t="s">
        <v>5916</v>
      </c>
      <c r="H1403" s="8"/>
      <c r="I1403" s="9" t="s">
        <v>5917</v>
      </c>
      <c r="J1403" s="10"/>
      <c r="K1403" s="11">
        <v>50</v>
      </c>
      <c r="L1403" s="10"/>
      <c r="M1403" s="10" t="s">
        <v>47</v>
      </c>
      <c r="N1403" s="10"/>
      <c r="O1403" s="2">
        <v>3</v>
      </c>
      <c r="P1403" s="17">
        <f>189*(1-S3/100)</f>
        <v>189</v>
      </c>
      <c r="Q1403" s="18"/>
      <c r="R1403" s="10">
        <f t="shared" si="56"/>
        <v>0</v>
      </c>
      <c r="S1403" s="19">
        <f>0.121*Q1403</f>
        <v>0</v>
      </c>
      <c r="T1403" s="20">
        <f>0.00028*Q1403</f>
        <v>0</v>
      </c>
      <c r="U1403" s="21"/>
      <c r="V1403" s="22" t="s">
        <v>5918</v>
      </c>
      <c r="W1403" s="22" t="s">
        <v>49</v>
      </c>
      <c r="X1403" s="3"/>
      <c r="Y1403" s="3"/>
      <c r="Z1403" s="3" t="s">
        <v>52</v>
      </c>
      <c r="AA1403" s="3"/>
      <c r="AB1403" s="3"/>
      <c r="AC1403" s="3" t="str">
        <f>HYPERLINK("https://knigipp.ru/api/getInfo/image/637611b3-9821-11ee-a250-00155d82e908")</f>
        <v>https://knigipp.ru/api/getInfo/image/637611b3-9821-11ee-a250-00155d82e908</v>
      </c>
      <c r="AD1403" s="3"/>
      <c r="AE1403" s="3"/>
      <c r="AF1403" s="3" t="s">
        <v>452</v>
      </c>
      <c r="AG1403" s="3"/>
      <c r="AH1403" s="3" t="s">
        <v>56</v>
      </c>
      <c r="AI1403" s="3"/>
      <c r="AJ1403" s="3"/>
      <c r="AK1403" s="3" t="str">
        <f>HYPERLINK("https://knigipp.ru/api/getInfo/item/637611b3-9821-11ee-a250-00155d82e908")</f>
        <v>https://knigipp.ru/api/getInfo/item/637611b3-9821-11ee-a250-00155d82e908</v>
      </c>
      <c r="AL1403" s="3" t="s">
        <v>5908</v>
      </c>
    </row>
    <row r="1404" spans="1:38" ht="21" customHeight="1" outlineLevel="4" x14ac:dyDescent="0.2">
      <c r="A1404" s="39">
        <v>1052</v>
      </c>
      <c r="B1404" s="3" t="s">
        <v>5919</v>
      </c>
      <c r="C1404" s="49" t="s">
        <v>5920</v>
      </c>
      <c r="D1404" s="49"/>
      <c r="E1404" s="49"/>
      <c r="F1404" s="49"/>
      <c r="G1404" s="4" t="s">
        <v>5921</v>
      </c>
      <c r="H1404" s="8"/>
      <c r="I1404" s="9" t="s">
        <v>5922</v>
      </c>
      <c r="J1404" s="10"/>
      <c r="K1404" s="11">
        <v>50</v>
      </c>
      <c r="L1404" s="10"/>
      <c r="M1404" s="10" t="s">
        <v>47</v>
      </c>
      <c r="N1404" s="10"/>
      <c r="O1404" s="2">
        <v>3</v>
      </c>
      <c r="P1404" s="17">
        <f>189*(1-S3/100)</f>
        <v>189</v>
      </c>
      <c r="Q1404" s="18"/>
      <c r="R1404" s="10">
        <f t="shared" si="56"/>
        <v>0</v>
      </c>
      <c r="S1404" s="19">
        <f>0.121*Q1404</f>
        <v>0</v>
      </c>
      <c r="T1404" s="20">
        <f>0.00028*Q1404</f>
        <v>0</v>
      </c>
      <c r="U1404" s="21"/>
      <c r="V1404" s="22" t="s">
        <v>5923</v>
      </c>
      <c r="W1404" s="22" t="s">
        <v>49</v>
      </c>
      <c r="X1404" s="3"/>
      <c r="Y1404" s="3"/>
      <c r="Z1404" s="3" t="s">
        <v>52</v>
      </c>
      <c r="AA1404" s="3"/>
      <c r="AB1404" s="3"/>
      <c r="AC1404" s="3" t="str">
        <f>HYPERLINK("https://knigipp.ru/api/getInfo/image/dc1b025f-9821-11ee-a250-00155d82e908")</f>
        <v>https://knigipp.ru/api/getInfo/image/dc1b025f-9821-11ee-a250-00155d82e908</v>
      </c>
      <c r="AD1404" s="3"/>
      <c r="AE1404" s="3"/>
      <c r="AF1404" s="3" t="s">
        <v>452</v>
      </c>
      <c r="AG1404" s="3"/>
      <c r="AH1404" s="3" t="s">
        <v>56</v>
      </c>
      <c r="AI1404" s="3"/>
      <c r="AJ1404" s="3"/>
      <c r="AK1404" s="3" t="str">
        <f>HYPERLINK("https://knigipp.ru/api/getInfo/item/dc1b025f-9821-11ee-a250-00155d82e908")</f>
        <v>https://knigipp.ru/api/getInfo/item/dc1b025f-9821-11ee-a250-00155d82e908</v>
      </c>
      <c r="AL1404" s="3" t="s">
        <v>5908</v>
      </c>
    </row>
    <row r="1405" spans="1:38" ht="21" customHeight="1" outlineLevel="4" x14ac:dyDescent="0.2">
      <c r="A1405" s="39">
        <v>1053</v>
      </c>
      <c r="B1405" s="3" t="s">
        <v>5924</v>
      </c>
      <c r="C1405" s="49" t="s">
        <v>5925</v>
      </c>
      <c r="D1405" s="49"/>
      <c r="E1405" s="49"/>
      <c r="F1405" s="49"/>
      <c r="G1405" s="4" t="s">
        <v>5926</v>
      </c>
      <c r="H1405" s="8"/>
      <c r="I1405" s="9" t="s">
        <v>5927</v>
      </c>
      <c r="J1405" s="10"/>
      <c r="K1405" s="11">
        <v>50</v>
      </c>
      <c r="L1405" s="10"/>
      <c r="M1405" s="10" t="s">
        <v>47</v>
      </c>
      <c r="N1405" s="10"/>
      <c r="O1405" s="2">
        <v>3</v>
      </c>
      <c r="P1405" s="17">
        <f>189*(1-S3/100)</f>
        <v>189</v>
      </c>
      <c r="Q1405" s="18"/>
      <c r="R1405" s="10">
        <f t="shared" si="56"/>
        <v>0</v>
      </c>
      <c r="S1405" s="19">
        <f>0.121*Q1405</f>
        <v>0</v>
      </c>
      <c r="T1405" s="20">
        <f>0.00028*Q1405</f>
        <v>0</v>
      </c>
      <c r="U1405" s="21"/>
      <c r="V1405" s="22" t="s">
        <v>5928</v>
      </c>
      <c r="W1405" s="22" t="s">
        <v>49</v>
      </c>
      <c r="X1405" s="3"/>
      <c r="Y1405" s="3"/>
      <c r="Z1405" s="3" t="s">
        <v>52</v>
      </c>
      <c r="AA1405" s="3"/>
      <c r="AB1405" s="3"/>
      <c r="AC1405" s="3" t="str">
        <f>HYPERLINK("https://knigipp.ru/api/getInfo/image/85fa890f-c7c3-11ed-a230-00155d82e902")</f>
        <v>https://knigipp.ru/api/getInfo/image/85fa890f-c7c3-11ed-a230-00155d82e902</v>
      </c>
      <c r="AD1405" s="3"/>
      <c r="AE1405" s="3"/>
      <c r="AF1405" s="3" t="s">
        <v>452</v>
      </c>
      <c r="AG1405" s="3"/>
      <c r="AH1405" s="3" t="s">
        <v>56</v>
      </c>
      <c r="AI1405" s="3"/>
      <c r="AJ1405" s="3"/>
      <c r="AK1405" s="3" t="str">
        <f>HYPERLINK("https://knigipp.ru/api/getInfo/item/85fa890f-c7c3-11ed-a230-00155d82e902")</f>
        <v>https://knigipp.ru/api/getInfo/item/85fa890f-c7c3-11ed-a230-00155d82e902</v>
      </c>
      <c r="AL1405" s="3" t="s">
        <v>5908</v>
      </c>
    </row>
    <row r="1406" spans="1:38" ht="21" customHeight="1" outlineLevel="4" x14ac:dyDescent="0.2">
      <c r="A1406" s="39">
        <v>1054</v>
      </c>
      <c r="B1406" s="3" t="s">
        <v>5929</v>
      </c>
      <c r="C1406" s="49" t="s">
        <v>5930</v>
      </c>
      <c r="D1406" s="49"/>
      <c r="E1406" s="49"/>
      <c r="F1406" s="49"/>
      <c r="G1406" s="4" t="s">
        <v>5931</v>
      </c>
      <c r="H1406" s="8"/>
      <c r="I1406" s="9" t="s">
        <v>5932</v>
      </c>
      <c r="J1406" s="10"/>
      <c r="K1406" s="11">
        <v>50</v>
      </c>
      <c r="L1406" s="10"/>
      <c r="M1406" s="10" t="s">
        <v>78</v>
      </c>
      <c r="N1406" s="10"/>
      <c r="O1406" s="2">
        <v>3</v>
      </c>
      <c r="P1406" s="17">
        <f>189*(1-S3/100)</f>
        <v>189</v>
      </c>
      <c r="Q1406" s="18"/>
      <c r="R1406" s="10">
        <f t="shared" si="56"/>
        <v>0</v>
      </c>
      <c r="S1406" s="19">
        <f>0.121*Q1406</f>
        <v>0</v>
      </c>
      <c r="T1406" s="20">
        <f>0.00028*Q1406</f>
        <v>0</v>
      </c>
      <c r="U1406" s="21"/>
      <c r="V1406" s="22" t="s">
        <v>5933</v>
      </c>
      <c r="W1406" s="22" t="s">
        <v>49</v>
      </c>
      <c r="X1406" s="3"/>
      <c r="Y1406" s="3"/>
      <c r="Z1406" s="3" t="s">
        <v>52</v>
      </c>
      <c r="AA1406" s="3"/>
      <c r="AB1406" s="3"/>
      <c r="AC1406" s="3" t="str">
        <f>HYPERLINK("https://knigipp.ru/api/getInfo/image/ad6475d1-c7c3-11ed-a230-00155d82e902")</f>
        <v>https://knigipp.ru/api/getInfo/image/ad6475d1-c7c3-11ed-a230-00155d82e902</v>
      </c>
      <c r="AD1406" s="3"/>
      <c r="AE1406" s="3"/>
      <c r="AF1406" s="3" t="s">
        <v>452</v>
      </c>
      <c r="AG1406" s="3"/>
      <c r="AH1406" s="3" t="s">
        <v>56</v>
      </c>
      <c r="AI1406" s="3"/>
      <c r="AJ1406" s="3"/>
      <c r="AK1406" s="3" t="str">
        <f>HYPERLINK("https://knigipp.ru/api/getInfo/item/ad6475d1-c7c3-11ed-a230-00155d82e902")</f>
        <v>https://knigipp.ru/api/getInfo/item/ad6475d1-c7c3-11ed-a230-00155d82e902</v>
      </c>
      <c r="AL1406" s="3" t="s">
        <v>5908</v>
      </c>
    </row>
    <row r="1407" spans="1:38" ht="21" customHeight="1" outlineLevel="4" x14ac:dyDescent="0.2">
      <c r="A1407" s="39">
        <v>1055</v>
      </c>
      <c r="B1407" s="3" t="s">
        <v>5934</v>
      </c>
      <c r="C1407" s="49" t="s">
        <v>5935</v>
      </c>
      <c r="D1407" s="49"/>
      <c r="E1407" s="49"/>
      <c r="F1407" s="49"/>
      <c r="G1407" s="4" t="s">
        <v>5936</v>
      </c>
      <c r="H1407" s="8"/>
      <c r="I1407" s="9" t="s">
        <v>5937</v>
      </c>
      <c r="J1407" s="10"/>
      <c r="K1407" s="11">
        <v>50</v>
      </c>
      <c r="L1407" s="10"/>
      <c r="M1407" s="10" t="s">
        <v>47</v>
      </c>
      <c r="N1407" s="10"/>
      <c r="O1407" s="2">
        <v>3</v>
      </c>
      <c r="P1407" s="17">
        <f>189*(1-S3/100)</f>
        <v>189</v>
      </c>
      <c r="Q1407" s="18"/>
      <c r="R1407" s="10">
        <f t="shared" si="56"/>
        <v>0</v>
      </c>
      <c r="S1407" s="19">
        <f>0.119*Q1407</f>
        <v>0</v>
      </c>
      <c r="T1407" s="20">
        <f>0.00027*Q1407</f>
        <v>0</v>
      </c>
      <c r="U1407" s="21"/>
      <c r="V1407" s="22" t="s">
        <v>5938</v>
      </c>
      <c r="W1407" s="22" t="s">
        <v>49</v>
      </c>
      <c r="X1407" s="3"/>
      <c r="Y1407" s="3"/>
      <c r="Z1407" s="3" t="s">
        <v>52</v>
      </c>
      <c r="AA1407" s="3"/>
      <c r="AB1407" s="3"/>
      <c r="AC1407" s="3" t="str">
        <f>HYPERLINK("https://knigipp.ru/api/getInfo/image/9d2f58d4-9821-11ee-a250-00155d82e908")</f>
        <v>https://knigipp.ru/api/getInfo/image/9d2f58d4-9821-11ee-a250-00155d82e908</v>
      </c>
      <c r="AD1407" s="3"/>
      <c r="AE1407" s="3"/>
      <c r="AF1407" s="3" t="s">
        <v>452</v>
      </c>
      <c r="AG1407" s="3"/>
      <c r="AH1407" s="3" t="s">
        <v>56</v>
      </c>
      <c r="AI1407" s="3"/>
      <c r="AJ1407" s="3"/>
      <c r="AK1407" s="3" t="str">
        <f>HYPERLINK("https://knigipp.ru/api/getInfo/item/9d2f58d4-9821-11ee-a250-00155d82e908")</f>
        <v>https://knigipp.ru/api/getInfo/item/9d2f58d4-9821-11ee-a250-00155d82e908</v>
      </c>
      <c r="AL1407" s="3" t="s">
        <v>5908</v>
      </c>
    </row>
    <row r="1408" spans="1:38" ht="21" customHeight="1" outlineLevel="4" x14ac:dyDescent="0.2">
      <c r="A1408" s="39">
        <v>1056</v>
      </c>
      <c r="B1408" s="3" t="s">
        <v>5939</v>
      </c>
      <c r="C1408" s="49" t="s">
        <v>5940</v>
      </c>
      <c r="D1408" s="49"/>
      <c r="E1408" s="49"/>
      <c r="F1408" s="49"/>
      <c r="G1408" s="4" t="s">
        <v>5941</v>
      </c>
      <c r="H1408" s="8"/>
      <c r="I1408" s="9" t="s">
        <v>5942</v>
      </c>
      <c r="J1408" s="10"/>
      <c r="K1408" s="11">
        <v>50</v>
      </c>
      <c r="L1408" s="10"/>
      <c r="M1408" s="10" t="s">
        <v>47</v>
      </c>
      <c r="N1408" s="10"/>
      <c r="O1408" s="2">
        <v>3</v>
      </c>
      <c r="P1408" s="17">
        <f>189*(1-S3/100)</f>
        <v>189</v>
      </c>
      <c r="Q1408" s="18"/>
      <c r="R1408" s="10">
        <f t="shared" si="56"/>
        <v>0</v>
      </c>
      <c r="S1408" s="28">
        <f>0.13*Q1408</f>
        <v>0</v>
      </c>
      <c r="T1408" s="20">
        <f>0.00027*Q1408</f>
        <v>0</v>
      </c>
      <c r="U1408" s="21"/>
      <c r="V1408" s="22" t="s">
        <v>5943</v>
      </c>
      <c r="W1408" s="22" t="s">
        <v>49</v>
      </c>
      <c r="X1408" s="3"/>
      <c r="Y1408" s="3"/>
      <c r="Z1408" s="3" t="s">
        <v>52</v>
      </c>
      <c r="AA1408" s="3"/>
      <c r="AB1408" s="3"/>
      <c r="AC1408" s="3" t="str">
        <f>HYPERLINK("https://knigipp.ru/api/getInfo/image/5ae2e8dc-c7c3-11ed-a230-00155d82e902")</f>
        <v>https://knigipp.ru/api/getInfo/image/5ae2e8dc-c7c3-11ed-a230-00155d82e902</v>
      </c>
      <c r="AD1408" s="3"/>
      <c r="AE1408" s="3"/>
      <c r="AF1408" s="3" t="s">
        <v>452</v>
      </c>
      <c r="AG1408" s="3"/>
      <c r="AH1408" s="3" t="s">
        <v>56</v>
      </c>
      <c r="AI1408" s="3"/>
      <c r="AJ1408" s="3"/>
      <c r="AK1408" s="3" t="str">
        <f>HYPERLINK("https://knigipp.ru/api/getInfo/item/5ae2e8dc-c7c3-11ed-a230-00155d82e902")</f>
        <v>https://knigipp.ru/api/getInfo/item/5ae2e8dc-c7c3-11ed-a230-00155d82e902</v>
      </c>
      <c r="AL1408" s="3" t="s">
        <v>5908</v>
      </c>
    </row>
    <row r="1409" spans="1:38" ht="21" customHeight="1" outlineLevel="4" x14ac:dyDescent="0.2">
      <c r="A1409" s="39">
        <v>1057</v>
      </c>
      <c r="B1409" s="3" t="s">
        <v>5944</v>
      </c>
      <c r="C1409" s="49" t="s">
        <v>5945</v>
      </c>
      <c r="D1409" s="49"/>
      <c r="E1409" s="49"/>
      <c r="F1409" s="49"/>
      <c r="G1409" s="4" t="s">
        <v>5946</v>
      </c>
      <c r="H1409" s="8"/>
      <c r="I1409" s="9" t="s">
        <v>5947</v>
      </c>
      <c r="J1409" s="10"/>
      <c r="K1409" s="11">
        <v>50</v>
      </c>
      <c r="L1409" s="10"/>
      <c r="M1409" s="10" t="s">
        <v>47</v>
      </c>
      <c r="N1409" s="10"/>
      <c r="O1409" s="2">
        <v>3</v>
      </c>
      <c r="P1409" s="17">
        <f>189*(1-S3/100)</f>
        <v>189</v>
      </c>
      <c r="Q1409" s="18"/>
      <c r="R1409" s="10">
        <f t="shared" si="56"/>
        <v>0</v>
      </c>
      <c r="S1409" s="19">
        <f>0.121*Q1409</f>
        <v>0</v>
      </c>
      <c r="T1409" s="20">
        <f>0.00028*Q1409</f>
        <v>0</v>
      </c>
      <c r="U1409" s="21"/>
      <c r="V1409" s="22" t="s">
        <v>5948</v>
      </c>
      <c r="W1409" s="22" t="s">
        <v>49</v>
      </c>
      <c r="X1409" s="3"/>
      <c r="Y1409" s="3"/>
      <c r="Z1409" s="3" t="s">
        <v>52</v>
      </c>
      <c r="AA1409" s="3"/>
      <c r="AB1409" s="3"/>
      <c r="AC1409" s="3" t="str">
        <f>HYPERLINK("https://knigipp.ru/api/getInfo/image/615e8ad1-9822-11ee-a250-00155d82e908")</f>
        <v>https://knigipp.ru/api/getInfo/image/615e8ad1-9822-11ee-a250-00155d82e908</v>
      </c>
      <c r="AD1409" s="3"/>
      <c r="AE1409" s="3"/>
      <c r="AF1409" s="3" t="s">
        <v>452</v>
      </c>
      <c r="AG1409" s="3"/>
      <c r="AH1409" s="3" t="s">
        <v>56</v>
      </c>
      <c r="AI1409" s="3"/>
      <c r="AJ1409" s="3"/>
      <c r="AK1409" s="3" t="str">
        <f>HYPERLINK("https://knigipp.ru/api/getInfo/item/615e8ad1-9822-11ee-a250-00155d82e908")</f>
        <v>https://knigipp.ru/api/getInfo/item/615e8ad1-9822-11ee-a250-00155d82e908</v>
      </c>
      <c r="AL1409" s="3" t="s">
        <v>5908</v>
      </c>
    </row>
    <row r="1410" spans="1:38" ht="21" customHeight="1" outlineLevel="4" x14ac:dyDescent="0.2">
      <c r="A1410" s="39">
        <v>1058</v>
      </c>
      <c r="B1410" s="3" t="s">
        <v>5949</v>
      </c>
      <c r="C1410" s="49" t="s">
        <v>5950</v>
      </c>
      <c r="D1410" s="49"/>
      <c r="E1410" s="49"/>
      <c r="F1410" s="49"/>
      <c r="G1410" s="4" t="s">
        <v>5951</v>
      </c>
      <c r="H1410" s="8"/>
      <c r="I1410" s="9" t="s">
        <v>5952</v>
      </c>
      <c r="J1410" s="10"/>
      <c r="K1410" s="11">
        <v>50</v>
      </c>
      <c r="L1410" s="10"/>
      <c r="M1410" s="10" t="s">
        <v>47</v>
      </c>
      <c r="N1410" s="10"/>
      <c r="O1410" s="2">
        <v>3</v>
      </c>
      <c r="P1410" s="17">
        <f>189*(1-S3/100)</f>
        <v>189</v>
      </c>
      <c r="Q1410" s="18"/>
      <c r="R1410" s="10">
        <f t="shared" si="56"/>
        <v>0</v>
      </c>
      <c r="S1410" s="19">
        <f>0.121*Q1410</f>
        <v>0</v>
      </c>
      <c r="T1410" s="20">
        <f>0.00028*Q1410</f>
        <v>0</v>
      </c>
      <c r="U1410" s="21"/>
      <c r="V1410" s="22" t="s">
        <v>5953</v>
      </c>
      <c r="W1410" s="22" t="s">
        <v>49</v>
      </c>
      <c r="X1410" s="3"/>
      <c r="Y1410" s="3"/>
      <c r="Z1410" s="3" t="s">
        <v>52</v>
      </c>
      <c r="AA1410" s="3"/>
      <c r="AB1410" s="3"/>
      <c r="AC1410" s="3" t="str">
        <f>HYPERLINK("https://knigipp.ru/api/getInfo/image/d38543a8-c7c3-11ed-a230-00155d82e902")</f>
        <v>https://knigipp.ru/api/getInfo/image/d38543a8-c7c3-11ed-a230-00155d82e902</v>
      </c>
      <c r="AD1410" s="3"/>
      <c r="AE1410" s="3"/>
      <c r="AF1410" s="3" t="s">
        <v>452</v>
      </c>
      <c r="AG1410" s="3"/>
      <c r="AH1410" s="3" t="s">
        <v>56</v>
      </c>
      <c r="AI1410" s="3"/>
      <c r="AJ1410" s="3"/>
      <c r="AK1410" s="3" t="str">
        <f>HYPERLINK("https://knigipp.ru/api/getInfo/item/d38543a8-c7c3-11ed-a230-00155d82e902")</f>
        <v>https://knigipp.ru/api/getInfo/item/d38543a8-c7c3-11ed-a230-00155d82e902</v>
      </c>
      <c r="AL1410" s="3" t="s">
        <v>5908</v>
      </c>
    </row>
    <row r="1411" spans="1:38" ht="21" customHeight="1" outlineLevel="4" x14ac:dyDescent="0.2">
      <c r="A1411" s="39">
        <v>1059</v>
      </c>
      <c r="B1411" s="3" t="s">
        <v>5954</v>
      </c>
      <c r="C1411" s="49" t="s">
        <v>5955</v>
      </c>
      <c r="D1411" s="49"/>
      <c r="E1411" s="49"/>
      <c r="F1411" s="49"/>
      <c r="G1411" s="4" t="s">
        <v>5956</v>
      </c>
      <c r="H1411" s="8"/>
      <c r="I1411" s="9" t="s">
        <v>5957</v>
      </c>
      <c r="J1411" s="10"/>
      <c r="K1411" s="11">
        <v>50</v>
      </c>
      <c r="L1411" s="10"/>
      <c r="M1411" s="10" t="s">
        <v>47</v>
      </c>
      <c r="N1411" s="10"/>
      <c r="O1411" s="2">
        <v>3</v>
      </c>
      <c r="P1411" s="17">
        <f>189*(1-S3/100)</f>
        <v>189</v>
      </c>
      <c r="Q1411" s="18"/>
      <c r="R1411" s="10">
        <f t="shared" si="56"/>
        <v>0</v>
      </c>
      <c r="S1411" s="19">
        <f>0.121*Q1411</f>
        <v>0</v>
      </c>
      <c r="T1411" s="20">
        <f>0.00028*Q1411</f>
        <v>0</v>
      </c>
      <c r="U1411" s="21"/>
      <c r="V1411" s="22" t="s">
        <v>5958</v>
      </c>
      <c r="W1411" s="22" t="s">
        <v>49</v>
      </c>
      <c r="X1411" s="3" t="s">
        <v>5959</v>
      </c>
      <c r="Y1411" s="3"/>
      <c r="Z1411" s="3" t="s">
        <v>52</v>
      </c>
      <c r="AA1411" s="3"/>
      <c r="AB1411" s="3"/>
      <c r="AC1411" s="3" t="str">
        <f>HYPERLINK("https://knigipp.ru/api/getInfo/image/2c11c29d-9822-11ee-a250-00155d82e908")</f>
        <v>https://knigipp.ru/api/getInfo/image/2c11c29d-9822-11ee-a250-00155d82e908</v>
      </c>
      <c r="AD1411" s="3"/>
      <c r="AE1411" s="3"/>
      <c r="AF1411" s="3" t="s">
        <v>452</v>
      </c>
      <c r="AG1411" s="3"/>
      <c r="AH1411" s="3" t="s">
        <v>56</v>
      </c>
      <c r="AI1411" s="3"/>
      <c r="AJ1411" s="3"/>
      <c r="AK1411" s="3" t="str">
        <f>HYPERLINK("https://knigipp.ru/api/getInfo/item/2c11c29d-9822-11ee-a250-00155d82e908")</f>
        <v>https://knigipp.ru/api/getInfo/item/2c11c29d-9822-11ee-a250-00155d82e908</v>
      </c>
      <c r="AL1411" s="3" t="s">
        <v>5908</v>
      </c>
    </row>
    <row r="1412" spans="1:38" ht="23.1" customHeight="1" outlineLevel="3" x14ac:dyDescent="0.2">
      <c r="A1412" s="48" t="s">
        <v>5960</v>
      </c>
      <c r="B1412" s="48"/>
      <c r="C1412" s="48"/>
      <c r="D1412" s="48"/>
      <c r="E1412" s="48"/>
      <c r="F1412" s="48"/>
    </row>
    <row r="1413" spans="1:38" ht="21" customHeight="1" outlineLevel="4" x14ac:dyDescent="0.2">
      <c r="A1413" s="39">
        <v>1060</v>
      </c>
      <c r="B1413" s="3" t="s">
        <v>5961</v>
      </c>
      <c r="C1413" s="49" t="s">
        <v>5962</v>
      </c>
      <c r="D1413" s="49"/>
      <c r="E1413" s="49"/>
      <c r="F1413" s="49"/>
      <c r="G1413" s="4" t="s">
        <v>5963</v>
      </c>
      <c r="H1413" s="8"/>
      <c r="I1413" s="9" t="s">
        <v>5964</v>
      </c>
      <c r="J1413" s="10"/>
      <c r="K1413" s="11">
        <v>50</v>
      </c>
      <c r="L1413" s="10"/>
      <c r="M1413" s="10" t="s">
        <v>78</v>
      </c>
      <c r="N1413" s="10"/>
      <c r="O1413" s="2">
        <v>10</v>
      </c>
      <c r="P1413" s="17">
        <f>54.05*(1-S3/100)</f>
        <v>54.05</v>
      </c>
      <c r="Q1413" s="18"/>
      <c r="R1413" s="10">
        <f>P1413*Q1413</f>
        <v>0</v>
      </c>
      <c r="S1413" s="19">
        <f>0.074*Q1413</f>
        <v>0</v>
      </c>
      <c r="T1413" s="20">
        <f>0.00011*Q1413</f>
        <v>0</v>
      </c>
      <c r="U1413" s="21"/>
      <c r="V1413" s="22" t="s">
        <v>5965</v>
      </c>
      <c r="W1413" s="22" t="s">
        <v>49</v>
      </c>
      <c r="X1413" s="3"/>
      <c r="Y1413" s="3"/>
      <c r="Z1413" s="3" t="s">
        <v>52</v>
      </c>
      <c r="AA1413" s="3"/>
      <c r="AB1413" s="3"/>
      <c r="AC1413" s="3" t="str">
        <f>HYPERLINK("https://knigipp.ru/api/getInfo/image/84664cb2-8e53-11e8-a208-ac1f6b442184")</f>
        <v>https://knigipp.ru/api/getInfo/image/84664cb2-8e53-11e8-a208-ac1f6b442184</v>
      </c>
      <c r="AD1413" s="32">
        <v>10</v>
      </c>
      <c r="AE1413" s="3"/>
      <c r="AF1413" s="3" t="s">
        <v>136</v>
      </c>
      <c r="AG1413" s="3"/>
      <c r="AH1413" s="3" t="s">
        <v>56</v>
      </c>
      <c r="AI1413" s="3"/>
      <c r="AJ1413" s="3" t="s">
        <v>5966</v>
      </c>
      <c r="AK1413" s="3" t="str">
        <f>HYPERLINK("https://knigipp.ru/api/getInfo/item/84664cb2-8e53-11e8-a208-ac1f6b442184")</f>
        <v>https://knigipp.ru/api/getInfo/item/84664cb2-8e53-11e8-a208-ac1f6b442184</v>
      </c>
      <c r="AL1413" s="3" t="s">
        <v>935</v>
      </c>
    </row>
    <row r="1414" spans="1:38" ht="21" customHeight="1" outlineLevel="4" x14ac:dyDescent="0.2">
      <c r="A1414" s="39">
        <v>1061</v>
      </c>
      <c r="B1414" s="3" t="s">
        <v>5967</v>
      </c>
      <c r="C1414" s="49" t="s">
        <v>5968</v>
      </c>
      <c r="D1414" s="49"/>
      <c r="E1414" s="49"/>
      <c r="F1414" s="49"/>
      <c r="G1414" s="4" t="s">
        <v>5969</v>
      </c>
      <c r="H1414" s="8"/>
      <c r="I1414" s="9" t="s">
        <v>5970</v>
      </c>
      <c r="J1414" s="10"/>
      <c r="K1414" s="11">
        <v>50</v>
      </c>
      <c r="L1414" s="10"/>
      <c r="M1414" s="10" t="s">
        <v>304</v>
      </c>
      <c r="N1414" s="10"/>
      <c r="O1414" s="2">
        <v>10</v>
      </c>
      <c r="P1414" s="17">
        <f>54.05*(1-S3/100)</f>
        <v>54.05</v>
      </c>
      <c r="Q1414" s="18"/>
      <c r="R1414" s="10">
        <f>P1414*Q1414</f>
        <v>0</v>
      </c>
      <c r="S1414" s="19">
        <f>0.074*Q1414</f>
        <v>0</v>
      </c>
      <c r="T1414" s="20">
        <f>0.00011*Q1414</f>
        <v>0</v>
      </c>
      <c r="U1414" s="21"/>
      <c r="V1414" s="22" t="s">
        <v>5971</v>
      </c>
      <c r="W1414" s="22" t="s">
        <v>49</v>
      </c>
      <c r="X1414" s="3"/>
      <c r="Y1414" s="3"/>
      <c r="Z1414" s="3" t="s">
        <v>52</v>
      </c>
      <c r="AA1414" s="3"/>
      <c r="AB1414" s="3"/>
      <c r="AC1414" s="3" t="str">
        <f>HYPERLINK("https://knigipp.ru/api/getInfo/image/55107a9b-a9fb-11e9-a22d-ac1f6b442184")</f>
        <v>https://knigipp.ru/api/getInfo/image/55107a9b-a9fb-11e9-a22d-ac1f6b442184</v>
      </c>
      <c r="AD1414" s="32">
        <v>10</v>
      </c>
      <c r="AE1414" s="3"/>
      <c r="AF1414" s="3" t="s">
        <v>136</v>
      </c>
      <c r="AG1414" s="3"/>
      <c r="AH1414" s="3" t="s">
        <v>56</v>
      </c>
      <c r="AI1414" s="3"/>
      <c r="AJ1414" s="3"/>
      <c r="AK1414" s="3" t="str">
        <f>HYPERLINK("https://knigipp.ru/api/getInfo/item/55107a9b-a9fb-11e9-a22d-ac1f6b442184")</f>
        <v>https://knigipp.ru/api/getInfo/item/55107a9b-a9fb-11e9-a22d-ac1f6b442184</v>
      </c>
      <c r="AL1414" s="3" t="s">
        <v>935</v>
      </c>
    </row>
    <row r="1415" spans="1:38" ht="21" customHeight="1" outlineLevel="4" x14ac:dyDescent="0.2">
      <c r="A1415" s="39">
        <v>1062</v>
      </c>
      <c r="B1415" s="3" t="s">
        <v>5972</v>
      </c>
      <c r="C1415" s="49" t="s">
        <v>5973</v>
      </c>
      <c r="D1415" s="49"/>
      <c r="E1415" s="49"/>
      <c r="F1415" s="49"/>
      <c r="G1415" s="4" t="s">
        <v>5974</v>
      </c>
      <c r="H1415" s="8"/>
      <c r="I1415" s="9" t="s">
        <v>5970</v>
      </c>
      <c r="J1415" s="10"/>
      <c r="K1415" s="11">
        <v>50</v>
      </c>
      <c r="L1415" s="10"/>
      <c r="M1415" s="10" t="s">
        <v>78</v>
      </c>
      <c r="N1415" s="10"/>
      <c r="O1415" s="2">
        <v>10</v>
      </c>
      <c r="P1415" s="17">
        <f>54.05*(1-S3/100)</f>
        <v>54.05</v>
      </c>
      <c r="Q1415" s="18"/>
      <c r="R1415" s="10">
        <f>P1415*Q1415</f>
        <v>0</v>
      </c>
      <c r="S1415" s="19">
        <f>0.074*Q1415</f>
        <v>0</v>
      </c>
      <c r="T1415" s="20">
        <f>0.00011*Q1415</f>
        <v>0</v>
      </c>
      <c r="U1415" s="21"/>
      <c r="V1415" s="22" t="s">
        <v>5975</v>
      </c>
      <c r="W1415" s="22" t="s">
        <v>49</v>
      </c>
      <c r="X1415" s="3"/>
      <c r="Y1415" s="3"/>
      <c r="Z1415" s="3" t="s">
        <v>52</v>
      </c>
      <c r="AA1415" s="3"/>
      <c r="AB1415" s="3"/>
      <c r="AC1415" s="3" t="str">
        <f>HYPERLINK("https://knigipp.ru/api/getInfo/image/a9f7e1db-a9fb-11e9-a22d-ac1f6b442184")</f>
        <v>https://knigipp.ru/api/getInfo/image/a9f7e1db-a9fb-11e9-a22d-ac1f6b442184</v>
      </c>
      <c r="AD1415" s="32">
        <v>10</v>
      </c>
      <c r="AE1415" s="3"/>
      <c r="AF1415" s="3" t="s">
        <v>136</v>
      </c>
      <c r="AG1415" s="3"/>
      <c r="AH1415" s="3" t="s">
        <v>56</v>
      </c>
      <c r="AI1415" s="3"/>
      <c r="AJ1415" s="3"/>
      <c r="AK1415" s="3" t="str">
        <f>HYPERLINK("https://knigipp.ru/api/getInfo/item/a9f7e1db-a9fb-11e9-a22d-ac1f6b442184")</f>
        <v>https://knigipp.ru/api/getInfo/item/a9f7e1db-a9fb-11e9-a22d-ac1f6b442184</v>
      </c>
      <c r="AL1415" s="3" t="s">
        <v>935</v>
      </c>
    </row>
    <row r="1416" spans="1:38" ht="21" customHeight="1" outlineLevel="4" x14ac:dyDescent="0.2">
      <c r="A1416" s="39">
        <v>1063</v>
      </c>
      <c r="B1416" s="3" t="s">
        <v>5976</v>
      </c>
      <c r="C1416" s="49" t="s">
        <v>5977</v>
      </c>
      <c r="D1416" s="49"/>
      <c r="E1416" s="49"/>
      <c r="F1416" s="49"/>
      <c r="G1416" s="4" t="s">
        <v>5978</v>
      </c>
      <c r="H1416" s="8"/>
      <c r="I1416" s="9" t="s">
        <v>5970</v>
      </c>
      <c r="J1416" s="10"/>
      <c r="K1416" s="11">
        <v>50</v>
      </c>
      <c r="L1416" s="10"/>
      <c r="M1416" s="10" t="s">
        <v>78</v>
      </c>
      <c r="N1416" s="10"/>
      <c r="O1416" s="2">
        <v>10</v>
      </c>
      <c r="P1416" s="17">
        <f>54.05*(1-S3/100)</f>
        <v>54.05</v>
      </c>
      <c r="Q1416" s="18"/>
      <c r="R1416" s="10">
        <f>P1416*Q1416</f>
        <v>0</v>
      </c>
      <c r="S1416" s="19">
        <f>0.074*Q1416</f>
        <v>0</v>
      </c>
      <c r="T1416" s="20">
        <f>0.00011*Q1416</f>
        <v>0</v>
      </c>
      <c r="U1416" s="21"/>
      <c r="V1416" s="22" t="s">
        <v>5979</v>
      </c>
      <c r="W1416" s="22" t="s">
        <v>49</v>
      </c>
      <c r="X1416" s="3"/>
      <c r="Y1416" s="3"/>
      <c r="Z1416" s="3" t="s">
        <v>52</v>
      </c>
      <c r="AA1416" s="3"/>
      <c r="AB1416" s="3"/>
      <c r="AC1416" s="3" t="str">
        <f>HYPERLINK("https://knigipp.ru/api/getInfo/image/9bcd3245-a9fb-11e9-a22d-ac1f6b442184")</f>
        <v>https://knigipp.ru/api/getInfo/image/9bcd3245-a9fb-11e9-a22d-ac1f6b442184</v>
      </c>
      <c r="AD1416" s="32">
        <v>10</v>
      </c>
      <c r="AE1416" s="3"/>
      <c r="AF1416" s="3" t="s">
        <v>136</v>
      </c>
      <c r="AG1416" s="3"/>
      <c r="AH1416" s="3" t="s">
        <v>56</v>
      </c>
      <c r="AI1416" s="3"/>
      <c r="AJ1416" s="3"/>
      <c r="AK1416" s="3" t="str">
        <f>HYPERLINK("https://knigipp.ru/api/getInfo/item/9bcd3245-a9fb-11e9-a22d-ac1f6b442184")</f>
        <v>https://knigipp.ru/api/getInfo/item/9bcd3245-a9fb-11e9-a22d-ac1f6b442184</v>
      </c>
      <c r="AL1416" s="3" t="s">
        <v>935</v>
      </c>
    </row>
    <row r="1417" spans="1:38" ht="23.1" customHeight="1" outlineLevel="3" x14ac:dyDescent="0.2">
      <c r="A1417" s="48" t="s">
        <v>5980</v>
      </c>
      <c r="B1417" s="48"/>
      <c r="C1417" s="48"/>
      <c r="D1417" s="48"/>
      <c r="E1417" s="48"/>
      <c r="F1417" s="48"/>
    </row>
    <row r="1418" spans="1:38" ht="21" customHeight="1" outlineLevel="4" x14ac:dyDescent="0.2">
      <c r="A1418" s="39">
        <v>1064</v>
      </c>
      <c r="B1418" s="3" t="s">
        <v>5981</v>
      </c>
      <c r="C1418" s="49" t="s">
        <v>5982</v>
      </c>
      <c r="D1418" s="49"/>
      <c r="E1418" s="49"/>
      <c r="F1418" s="49"/>
      <c r="G1418" s="4" t="s">
        <v>5983</v>
      </c>
      <c r="H1418" s="8"/>
      <c r="I1418" s="9" t="s">
        <v>5984</v>
      </c>
      <c r="J1418" s="10"/>
      <c r="K1418" s="11">
        <v>50</v>
      </c>
      <c r="L1418" s="10"/>
      <c r="M1418" s="10" t="s">
        <v>304</v>
      </c>
      <c r="N1418" s="10"/>
      <c r="O1418" s="2">
        <v>5</v>
      </c>
      <c r="P1418" s="17">
        <f>132.01*(1-S3/100)</f>
        <v>132.01</v>
      </c>
      <c r="Q1418" s="18"/>
      <c r="R1418" s="10">
        <f>P1418*Q1418</f>
        <v>0</v>
      </c>
      <c r="S1418" s="19">
        <f>0.208*Q1418</f>
        <v>0</v>
      </c>
      <c r="T1418" s="20">
        <f>0.00052*Q1418</f>
        <v>0</v>
      </c>
      <c r="U1418" s="21"/>
      <c r="V1418" s="22" t="s">
        <v>5985</v>
      </c>
      <c r="W1418" s="22" t="s">
        <v>49</v>
      </c>
      <c r="X1418" s="3"/>
      <c r="Y1418" s="3"/>
      <c r="Z1418" s="3" t="s">
        <v>450</v>
      </c>
      <c r="AA1418" s="3"/>
      <c r="AB1418" s="3"/>
      <c r="AC1418" s="3" t="str">
        <f>HYPERLINK("https://knigipp.ru/api/getInfo/image/e592ef12-5228-11e9-a222-ac1f6b442184")</f>
        <v>https://knigipp.ru/api/getInfo/image/e592ef12-5228-11e9-a222-ac1f6b442184</v>
      </c>
      <c r="AD1418" s="3"/>
      <c r="AE1418" s="3"/>
      <c r="AF1418" s="3" t="s">
        <v>452</v>
      </c>
      <c r="AG1418" s="3"/>
      <c r="AH1418" s="3" t="s">
        <v>56</v>
      </c>
      <c r="AI1418" s="3"/>
      <c r="AJ1418" s="3"/>
      <c r="AK1418" s="3" t="str">
        <f>HYPERLINK("https://knigipp.ru/api/getInfo/item/e592ef12-5228-11e9-a222-ac1f6b442184")</f>
        <v>https://knigipp.ru/api/getInfo/item/e592ef12-5228-11e9-a222-ac1f6b442184</v>
      </c>
      <c r="AL1418" s="3" t="s">
        <v>5986</v>
      </c>
    </row>
    <row r="1419" spans="1:38" ht="21" customHeight="1" outlineLevel="4" x14ac:dyDescent="0.2">
      <c r="A1419" s="39">
        <v>1065</v>
      </c>
      <c r="B1419" s="3" t="s">
        <v>5987</v>
      </c>
      <c r="C1419" s="49" t="s">
        <v>5988</v>
      </c>
      <c r="D1419" s="49"/>
      <c r="E1419" s="49"/>
      <c r="F1419" s="49"/>
      <c r="G1419" s="4" t="s">
        <v>5989</v>
      </c>
      <c r="H1419" s="8"/>
      <c r="I1419" s="9" t="s">
        <v>5990</v>
      </c>
      <c r="J1419" s="10"/>
      <c r="K1419" s="11">
        <v>50</v>
      </c>
      <c r="L1419" s="10"/>
      <c r="M1419" s="10" t="s">
        <v>47</v>
      </c>
      <c r="N1419" s="10"/>
      <c r="O1419" s="2">
        <v>5</v>
      </c>
      <c r="P1419" s="17">
        <f>132.01*(1-S3/100)</f>
        <v>132.01</v>
      </c>
      <c r="Q1419" s="18"/>
      <c r="R1419" s="10">
        <f>P1419*Q1419</f>
        <v>0</v>
      </c>
      <c r="S1419" s="19">
        <f>0.208*Q1419</f>
        <v>0</v>
      </c>
      <c r="T1419" s="20">
        <f>0.00052*Q1419</f>
        <v>0</v>
      </c>
      <c r="U1419" s="21"/>
      <c r="V1419" s="22" t="s">
        <v>5991</v>
      </c>
      <c r="W1419" s="22" t="s">
        <v>49</v>
      </c>
      <c r="X1419" s="3"/>
      <c r="Y1419" s="3"/>
      <c r="Z1419" s="3" t="s">
        <v>450</v>
      </c>
      <c r="AA1419" s="3"/>
      <c r="AB1419" s="3"/>
      <c r="AC1419" s="3" t="str">
        <f>HYPERLINK("https://knigipp.ru/api/getInfo/image/16854cb3-5228-11e9-a222-ac1f6b442184")</f>
        <v>https://knigipp.ru/api/getInfo/image/16854cb3-5228-11e9-a222-ac1f6b442184</v>
      </c>
      <c r="AD1419" s="3"/>
      <c r="AE1419" s="3"/>
      <c r="AF1419" s="3" t="s">
        <v>452</v>
      </c>
      <c r="AG1419" s="3"/>
      <c r="AH1419" s="3" t="s">
        <v>56</v>
      </c>
      <c r="AI1419" s="3"/>
      <c r="AJ1419" s="3"/>
      <c r="AK1419" s="3" t="str">
        <f>HYPERLINK("https://knigipp.ru/api/getInfo/item/16854cb3-5228-11e9-a222-ac1f6b442184")</f>
        <v>https://knigipp.ru/api/getInfo/item/16854cb3-5228-11e9-a222-ac1f6b442184</v>
      </c>
      <c r="AL1419" s="3" t="s">
        <v>5986</v>
      </c>
    </row>
    <row r="1420" spans="1:38" ht="23.1" customHeight="1" outlineLevel="3" x14ac:dyDescent="0.2">
      <c r="A1420" s="48" t="s">
        <v>5992</v>
      </c>
      <c r="B1420" s="48"/>
      <c r="C1420" s="48"/>
      <c r="D1420" s="48"/>
      <c r="E1420" s="48"/>
      <c r="F1420" s="48"/>
    </row>
    <row r="1421" spans="1:38" ht="21" customHeight="1" outlineLevel="4" x14ac:dyDescent="0.2">
      <c r="A1421" s="39">
        <v>1066</v>
      </c>
      <c r="B1421" s="3" t="s">
        <v>5993</v>
      </c>
      <c r="C1421" s="49" t="s">
        <v>5994</v>
      </c>
      <c r="D1421" s="49"/>
      <c r="E1421" s="49"/>
      <c r="F1421" s="49"/>
      <c r="G1421" s="4" t="s">
        <v>5995</v>
      </c>
      <c r="H1421" s="8"/>
      <c r="I1421" s="9" t="s">
        <v>5996</v>
      </c>
      <c r="J1421" s="10"/>
      <c r="K1421" s="11">
        <v>25</v>
      </c>
      <c r="L1421" s="10"/>
      <c r="M1421" s="10" t="s">
        <v>47</v>
      </c>
      <c r="N1421" s="10"/>
      <c r="O1421" s="2">
        <v>5</v>
      </c>
      <c r="P1421" s="17">
        <f>119*(1-S3/100)</f>
        <v>119</v>
      </c>
      <c r="Q1421" s="18"/>
      <c r="R1421" s="10">
        <f>P1421*Q1421</f>
        <v>0</v>
      </c>
      <c r="S1421" s="19">
        <f>0.108*Q1421</f>
        <v>0</v>
      </c>
      <c r="T1421" s="20">
        <f>0.00039*Q1421</f>
        <v>0</v>
      </c>
      <c r="U1421" s="21"/>
      <c r="V1421" s="22" t="s">
        <v>5997</v>
      </c>
      <c r="W1421" s="22" t="s">
        <v>49</v>
      </c>
      <c r="X1421" s="3"/>
      <c r="Y1421" s="3"/>
      <c r="Z1421" s="3" t="s">
        <v>52</v>
      </c>
      <c r="AA1421" s="3"/>
      <c r="AB1421" s="3"/>
      <c r="AC1421" s="3" t="str">
        <f>HYPERLINK("https://knigipp.ru/api/getInfo/image/1ff85b9d-918f-11ed-a22c-00155d82e902")</f>
        <v>https://knigipp.ru/api/getInfo/image/1ff85b9d-918f-11ed-a22c-00155d82e902</v>
      </c>
      <c r="AD1421" s="32">
        <v>32</v>
      </c>
      <c r="AE1421" s="3" t="s">
        <v>54</v>
      </c>
      <c r="AF1421" s="3" t="s">
        <v>136</v>
      </c>
      <c r="AG1421" s="3"/>
      <c r="AH1421" s="3" t="s">
        <v>56</v>
      </c>
      <c r="AI1421" s="3"/>
      <c r="AJ1421" s="3"/>
      <c r="AK1421" s="3" t="str">
        <f>HYPERLINK("https://knigipp.ru/api/getInfo/item/1ff85b9d-918f-11ed-a22c-00155d82e902")</f>
        <v>https://knigipp.ru/api/getInfo/item/1ff85b9d-918f-11ed-a22c-00155d82e902</v>
      </c>
      <c r="AL1421" s="3" t="s">
        <v>1207</v>
      </c>
    </row>
    <row r="1422" spans="1:38" ht="21" customHeight="1" outlineLevel="4" x14ac:dyDescent="0.2">
      <c r="A1422" s="39">
        <v>1067</v>
      </c>
      <c r="B1422" s="3" t="s">
        <v>5998</v>
      </c>
      <c r="C1422" s="49" t="s">
        <v>5999</v>
      </c>
      <c r="D1422" s="49"/>
      <c r="E1422" s="49"/>
      <c r="F1422" s="49"/>
      <c r="G1422" s="4" t="s">
        <v>6000</v>
      </c>
      <c r="H1422" s="8"/>
      <c r="I1422" s="9" t="s">
        <v>5996</v>
      </c>
      <c r="J1422" s="10"/>
      <c r="K1422" s="11">
        <v>25</v>
      </c>
      <c r="L1422" s="10"/>
      <c r="M1422" s="10" t="s">
        <v>47</v>
      </c>
      <c r="N1422" s="10"/>
      <c r="O1422" s="2">
        <v>5</v>
      </c>
      <c r="P1422" s="17">
        <f>119*(1-S3/100)</f>
        <v>119</v>
      </c>
      <c r="Q1422" s="18"/>
      <c r="R1422" s="10">
        <f>P1422*Q1422</f>
        <v>0</v>
      </c>
      <c r="S1422" s="19">
        <f>0.108*Q1422</f>
        <v>0</v>
      </c>
      <c r="T1422" s="20">
        <f>0.00039*Q1422</f>
        <v>0</v>
      </c>
      <c r="U1422" s="21"/>
      <c r="V1422" s="22" t="s">
        <v>6001</v>
      </c>
      <c r="W1422" s="22" t="s">
        <v>49</v>
      </c>
      <c r="X1422" s="3"/>
      <c r="Y1422" s="3"/>
      <c r="Z1422" s="3" t="s">
        <v>52</v>
      </c>
      <c r="AA1422" s="3"/>
      <c r="AB1422" s="3"/>
      <c r="AC1422" s="3" t="str">
        <f>HYPERLINK("https://knigipp.ru/api/getInfo/image/c962b893-918e-11ed-a22c-00155d82e902")</f>
        <v>https://knigipp.ru/api/getInfo/image/c962b893-918e-11ed-a22c-00155d82e902</v>
      </c>
      <c r="AD1422" s="32">
        <v>32</v>
      </c>
      <c r="AE1422" s="3" t="s">
        <v>54</v>
      </c>
      <c r="AF1422" s="3" t="s">
        <v>136</v>
      </c>
      <c r="AG1422" s="3"/>
      <c r="AH1422" s="3" t="s">
        <v>56</v>
      </c>
      <c r="AI1422" s="3"/>
      <c r="AJ1422" s="3"/>
      <c r="AK1422" s="3" t="str">
        <f>HYPERLINK("https://knigipp.ru/api/getInfo/item/c962b893-918e-11ed-a22c-00155d82e902")</f>
        <v>https://knigipp.ru/api/getInfo/item/c962b893-918e-11ed-a22c-00155d82e902</v>
      </c>
      <c r="AL1422" s="3" t="s">
        <v>1207</v>
      </c>
    </row>
    <row r="1423" spans="1:38" ht="23.1" customHeight="1" outlineLevel="3" x14ac:dyDescent="0.2">
      <c r="A1423" s="48" t="s">
        <v>6002</v>
      </c>
      <c r="B1423" s="48"/>
      <c r="C1423" s="48"/>
      <c r="D1423" s="48"/>
      <c r="E1423" s="48"/>
      <c r="F1423" s="48"/>
    </row>
    <row r="1424" spans="1:38" ht="21" customHeight="1" outlineLevel="4" x14ac:dyDescent="0.2">
      <c r="A1424" s="39">
        <v>1068</v>
      </c>
      <c r="B1424" s="3" t="s">
        <v>6003</v>
      </c>
      <c r="C1424" s="49" t="s">
        <v>6004</v>
      </c>
      <c r="D1424" s="49"/>
      <c r="E1424" s="49"/>
      <c r="F1424" s="49"/>
      <c r="G1424" s="4" t="s">
        <v>6005</v>
      </c>
      <c r="H1424" s="8"/>
      <c r="I1424" s="9" t="s">
        <v>6006</v>
      </c>
      <c r="J1424" s="10"/>
      <c r="K1424" s="11">
        <v>10</v>
      </c>
      <c r="L1424" s="10"/>
      <c r="M1424" s="10" t="s">
        <v>47</v>
      </c>
      <c r="N1424" s="10"/>
      <c r="O1424" s="2">
        <v>2</v>
      </c>
      <c r="P1424" s="17">
        <f>349*(1-S3/100)</f>
        <v>349</v>
      </c>
      <c r="Q1424" s="18"/>
      <c r="R1424" s="10">
        <f>P1424*Q1424</f>
        <v>0</v>
      </c>
      <c r="S1424" s="28">
        <f>0.28*Q1424</f>
        <v>0</v>
      </c>
      <c r="T1424" s="20">
        <f>0.00148*Q1424</f>
        <v>0</v>
      </c>
      <c r="U1424" s="21"/>
      <c r="V1424" s="22" t="s">
        <v>6007</v>
      </c>
      <c r="W1424" s="22" t="s">
        <v>49</v>
      </c>
      <c r="X1424" s="3"/>
      <c r="Y1424" s="3" t="s">
        <v>6008</v>
      </c>
      <c r="Z1424" s="3" t="s">
        <v>384</v>
      </c>
      <c r="AA1424" s="3"/>
      <c r="AB1424" s="3"/>
      <c r="AC1424" s="3" t="str">
        <f>HYPERLINK("https://knigipp.ru/api/getInfo/image/a30e1b7d-039f-11ee-a23b-00155d82e902")</f>
        <v>https://knigipp.ru/api/getInfo/image/a30e1b7d-039f-11ee-a23b-00155d82e902</v>
      </c>
      <c r="AD1424" s="32">
        <v>36</v>
      </c>
      <c r="AE1424" s="3" t="s">
        <v>54</v>
      </c>
      <c r="AF1424" s="3" t="s">
        <v>55</v>
      </c>
      <c r="AG1424" s="3"/>
      <c r="AH1424" s="3" t="s">
        <v>56</v>
      </c>
      <c r="AI1424" s="3"/>
      <c r="AJ1424" s="3"/>
      <c r="AK1424" s="3" t="str">
        <f>HYPERLINK("https://knigipp.ru/api/getInfo/item/a30e1b7d-039f-11ee-a23b-00155d82e902")</f>
        <v>https://knigipp.ru/api/getInfo/item/a30e1b7d-039f-11ee-a23b-00155d82e902</v>
      </c>
      <c r="AL1424" s="3" t="s">
        <v>6009</v>
      </c>
    </row>
    <row r="1425" spans="1:38" ht="21" customHeight="1" outlineLevel="4" x14ac:dyDescent="0.2">
      <c r="A1425" s="39">
        <v>1069</v>
      </c>
      <c r="B1425" s="3" t="s">
        <v>6010</v>
      </c>
      <c r="C1425" s="49" t="s">
        <v>6011</v>
      </c>
      <c r="D1425" s="49"/>
      <c r="E1425" s="49"/>
      <c r="F1425" s="49"/>
      <c r="G1425" s="4" t="s">
        <v>6012</v>
      </c>
      <c r="H1425" s="8"/>
      <c r="I1425" s="9" t="s">
        <v>6006</v>
      </c>
      <c r="J1425" s="10"/>
      <c r="K1425" s="11">
        <v>10</v>
      </c>
      <c r="L1425" s="10"/>
      <c r="M1425" s="10" t="s">
        <v>47</v>
      </c>
      <c r="N1425" s="10"/>
      <c r="O1425" s="2">
        <v>2</v>
      </c>
      <c r="P1425" s="17">
        <f>349*(1-S3/100)</f>
        <v>349</v>
      </c>
      <c r="Q1425" s="18"/>
      <c r="R1425" s="10">
        <f>P1425*Q1425</f>
        <v>0</v>
      </c>
      <c r="S1425" s="19">
        <f>0.279*Q1425</f>
        <v>0</v>
      </c>
      <c r="T1425" s="20">
        <f>0.00117*Q1425</f>
        <v>0</v>
      </c>
      <c r="U1425" s="21"/>
      <c r="V1425" s="22" t="s">
        <v>6013</v>
      </c>
      <c r="W1425" s="22" t="s">
        <v>49</v>
      </c>
      <c r="X1425" s="3"/>
      <c r="Y1425" s="3" t="s">
        <v>6014</v>
      </c>
      <c r="Z1425" s="3" t="s">
        <v>384</v>
      </c>
      <c r="AA1425" s="3"/>
      <c r="AB1425" s="3"/>
      <c r="AC1425" s="3" t="str">
        <f>HYPERLINK("https://knigipp.ru/api/getInfo/image/3ac25bcb-03a0-11ee-a23b-00155d82e902")</f>
        <v>https://knigipp.ru/api/getInfo/image/3ac25bcb-03a0-11ee-a23b-00155d82e902</v>
      </c>
      <c r="AD1425" s="32">
        <v>36</v>
      </c>
      <c r="AE1425" s="3" t="s">
        <v>54</v>
      </c>
      <c r="AF1425" s="3" t="s">
        <v>55</v>
      </c>
      <c r="AG1425" s="3"/>
      <c r="AH1425" s="3" t="s">
        <v>56</v>
      </c>
      <c r="AI1425" s="3"/>
      <c r="AJ1425" s="3"/>
      <c r="AK1425" s="3" t="str">
        <f>HYPERLINK("https://knigipp.ru/api/getInfo/item/3ac25bcb-03a0-11ee-a23b-00155d82e902")</f>
        <v>https://knigipp.ru/api/getInfo/item/3ac25bcb-03a0-11ee-a23b-00155d82e902</v>
      </c>
      <c r="AL1425" s="3" t="s">
        <v>6009</v>
      </c>
    </row>
    <row r="1426" spans="1:38" ht="21" customHeight="1" outlineLevel="4" x14ac:dyDescent="0.2">
      <c r="A1426" s="39">
        <v>1070</v>
      </c>
      <c r="B1426" s="3" t="s">
        <v>6015</v>
      </c>
      <c r="C1426" s="49" t="s">
        <v>6016</v>
      </c>
      <c r="D1426" s="49"/>
      <c r="E1426" s="49"/>
      <c r="F1426" s="49"/>
      <c r="G1426" s="4" t="s">
        <v>6017</v>
      </c>
      <c r="H1426" s="8"/>
      <c r="I1426" s="9" t="s">
        <v>6006</v>
      </c>
      <c r="J1426" s="10"/>
      <c r="K1426" s="11">
        <v>10</v>
      </c>
      <c r="L1426" s="10"/>
      <c r="M1426" s="10" t="s">
        <v>47</v>
      </c>
      <c r="N1426" s="10"/>
      <c r="O1426" s="2">
        <v>2</v>
      </c>
      <c r="P1426" s="17">
        <f>349*(1-S3/100)</f>
        <v>349</v>
      </c>
      <c r="Q1426" s="18"/>
      <c r="R1426" s="10">
        <f>P1426*Q1426</f>
        <v>0</v>
      </c>
      <c r="S1426" s="19">
        <f>0.282*Q1426</f>
        <v>0</v>
      </c>
      <c r="T1426" s="20">
        <f>0.00063*Q1426</f>
        <v>0</v>
      </c>
      <c r="U1426" s="21"/>
      <c r="V1426" s="22" t="s">
        <v>6018</v>
      </c>
      <c r="W1426" s="22" t="s">
        <v>49</v>
      </c>
      <c r="X1426" s="3"/>
      <c r="Y1426" s="3" t="s">
        <v>6019</v>
      </c>
      <c r="Z1426" s="3" t="s">
        <v>384</v>
      </c>
      <c r="AA1426" s="3"/>
      <c r="AB1426" s="3"/>
      <c r="AC1426" s="3" t="str">
        <f>HYPERLINK("https://knigipp.ru/api/getInfo/image/67e6940b-03a0-11ee-a23b-00155d82e902")</f>
        <v>https://knigipp.ru/api/getInfo/image/67e6940b-03a0-11ee-a23b-00155d82e902</v>
      </c>
      <c r="AD1426" s="32">
        <v>36</v>
      </c>
      <c r="AE1426" s="3" t="s">
        <v>54</v>
      </c>
      <c r="AF1426" s="3" t="s">
        <v>55</v>
      </c>
      <c r="AG1426" s="3"/>
      <c r="AH1426" s="3" t="s">
        <v>56</v>
      </c>
      <c r="AI1426" s="3"/>
      <c r="AJ1426" s="3"/>
      <c r="AK1426" s="3" t="str">
        <f>HYPERLINK("https://knigipp.ru/api/getInfo/item/67e6940b-03a0-11ee-a23b-00155d82e902")</f>
        <v>https://knigipp.ru/api/getInfo/item/67e6940b-03a0-11ee-a23b-00155d82e902</v>
      </c>
      <c r="AL1426" s="3" t="s">
        <v>6009</v>
      </c>
    </row>
    <row r="1427" spans="1:38" ht="21" customHeight="1" outlineLevel="4" x14ac:dyDescent="0.2">
      <c r="A1427" s="39">
        <v>1071</v>
      </c>
      <c r="B1427" s="3" t="s">
        <v>6020</v>
      </c>
      <c r="C1427" s="49" t="s">
        <v>6021</v>
      </c>
      <c r="D1427" s="49"/>
      <c r="E1427" s="49"/>
      <c r="F1427" s="49"/>
      <c r="G1427" s="4" t="s">
        <v>6022</v>
      </c>
      <c r="H1427" s="8"/>
      <c r="I1427" s="9" t="s">
        <v>6006</v>
      </c>
      <c r="J1427" s="10"/>
      <c r="K1427" s="11">
        <v>10</v>
      </c>
      <c r="L1427" s="10"/>
      <c r="M1427" s="10" t="s">
        <v>47</v>
      </c>
      <c r="N1427" s="10"/>
      <c r="O1427" s="2">
        <v>2</v>
      </c>
      <c r="P1427" s="17">
        <f>349*(1-S3/100)</f>
        <v>349</v>
      </c>
      <c r="Q1427" s="18"/>
      <c r="R1427" s="10">
        <f>P1427*Q1427</f>
        <v>0</v>
      </c>
      <c r="S1427" s="19">
        <f>0.304*Q1427</f>
        <v>0</v>
      </c>
      <c r="T1427" s="20">
        <f>0.00095*Q1427</f>
        <v>0</v>
      </c>
      <c r="U1427" s="21"/>
      <c r="V1427" s="22" t="s">
        <v>6023</v>
      </c>
      <c r="W1427" s="22" t="s">
        <v>49</v>
      </c>
      <c r="X1427" s="3"/>
      <c r="Y1427" s="3" t="s">
        <v>6024</v>
      </c>
      <c r="Z1427" s="3" t="s">
        <v>384</v>
      </c>
      <c r="AA1427" s="3"/>
      <c r="AB1427" s="3"/>
      <c r="AC1427" s="3" t="str">
        <f>HYPERLINK("https://knigipp.ru/api/getInfo/image/a3c69acf-03a0-11ee-a23b-00155d82e902")</f>
        <v>https://knigipp.ru/api/getInfo/image/a3c69acf-03a0-11ee-a23b-00155d82e902</v>
      </c>
      <c r="AD1427" s="32">
        <v>36</v>
      </c>
      <c r="AE1427" s="3" t="s">
        <v>54</v>
      </c>
      <c r="AF1427" s="3" t="s">
        <v>55</v>
      </c>
      <c r="AG1427" s="3"/>
      <c r="AH1427" s="3" t="s">
        <v>56</v>
      </c>
      <c r="AI1427" s="3"/>
      <c r="AJ1427" s="3"/>
      <c r="AK1427" s="3" t="str">
        <f>HYPERLINK("https://knigipp.ru/api/getInfo/item/a3c69acf-03a0-11ee-a23b-00155d82e902")</f>
        <v>https://knigipp.ru/api/getInfo/item/a3c69acf-03a0-11ee-a23b-00155d82e902</v>
      </c>
      <c r="AL1427" s="3" t="s">
        <v>6009</v>
      </c>
    </row>
    <row r="1428" spans="1:38" ht="23.1" customHeight="1" outlineLevel="3" x14ac:dyDescent="0.2">
      <c r="A1428" s="48" t="s">
        <v>6025</v>
      </c>
      <c r="B1428" s="48"/>
      <c r="C1428" s="48"/>
      <c r="D1428" s="48"/>
      <c r="E1428" s="48"/>
      <c r="F1428" s="48"/>
    </row>
    <row r="1429" spans="1:38" ht="21" customHeight="1" outlineLevel="4" x14ac:dyDescent="0.2">
      <c r="A1429" s="39">
        <v>1072</v>
      </c>
      <c r="B1429" s="3" t="s">
        <v>6026</v>
      </c>
      <c r="C1429" s="49" t="s">
        <v>6027</v>
      </c>
      <c r="D1429" s="49"/>
      <c r="E1429" s="49"/>
      <c r="F1429" s="49"/>
      <c r="G1429" s="4" t="s">
        <v>6028</v>
      </c>
      <c r="H1429" s="8"/>
      <c r="I1429" s="9" t="s">
        <v>6029</v>
      </c>
      <c r="J1429" s="10"/>
      <c r="K1429" s="11">
        <v>20</v>
      </c>
      <c r="L1429" s="10"/>
      <c r="M1429" s="10" t="s">
        <v>78</v>
      </c>
      <c r="N1429" s="10"/>
      <c r="O1429" s="2">
        <v>2</v>
      </c>
      <c r="P1429" s="17">
        <f>299*(1-S3/100)</f>
        <v>299</v>
      </c>
      <c r="Q1429" s="18"/>
      <c r="R1429" s="10">
        <f>P1429*Q1429</f>
        <v>0</v>
      </c>
      <c r="S1429" s="19">
        <f>0.172*Q1429</f>
        <v>0</v>
      </c>
      <c r="T1429" s="10">
        <v>0</v>
      </c>
      <c r="U1429" s="21"/>
      <c r="V1429" s="22" t="s">
        <v>6030</v>
      </c>
      <c r="W1429" s="22" t="s">
        <v>49</v>
      </c>
      <c r="X1429" s="3"/>
      <c r="Y1429" s="3"/>
      <c r="Z1429" s="3" t="s">
        <v>52</v>
      </c>
      <c r="AA1429" s="3"/>
      <c r="AB1429" s="3"/>
      <c r="AC1429" s="3" t="str">
        <f>HYPERLINK("https://knigipp.ru/api/getInfo/image/01eb31f0-b1ba-11ec-a211-ac1f6b442185")</f>
        <v>https://knigipp.ru/api/getInfo/image/01eb31f0-b1ba-11ec-a211-ac1f6b442185</v>
      </c>
      <c r="AD1429" s="32">
        <v>64</v>
      </c>
      <c r="AE1429" s="3"/>
      <c r="AF1429" s="3" t="s">
        <v>55</v>
      </c>
      <c r="AG1429" s="3"/>
      <c r="AH1429" s="3" t="s">
        <v>56</v>
      </c>
      <c r="AI1429" s="3"/>
      <c r="AJ1429" s="3"/>
      <c r="AK1429" s="3" t="str">
        <f>HYPERLINK("https://knigipp.ru/api/getInfo/item/01eb31f0-b1ba-11ec-a211-ac1f6b442185")</f>
        <v>https://knigipp.ru/api/getInfo/item/01eb31f0-b1ba-11ec-a211-ac1f6b442185</v>
      </c>
      <c r="AL1429" s="3" t="s">
        <v>6031</v>
      </c>
    </row>
    <row r="1430" spans="1:38" ht="21" customHeight="1" outlineLevel="4" x14ac:dyDescent="0.2">
      <c r="A1430" s="39">
        <v>1073</v>
      </c>
      <c r="B1430" s="3" t="s">
        <v>6032</v>
      </c>
      <c r="C1430" s="49" t="s">
        <v>6033</v>
      </c>
      <c r="D1430" s="49"/>
      <c r="E1430" s="49"/>
      <c r="F1430" s="49"/>
      <c r="G1430" s="4" t="s">
        <v>6034</v>
      </c>
      <c r="H1430" s="8"/>
      <c r="I1430" s="9" t="s">
        <v>6029</v>
      </c>
      <c r="J1430" s="10"/>
      <c r="K1430" s="11">
        <v>20</v>
      </c>
      <c r="L1430" s="10"/>
      <c r="M1430" s="10" t="s">
        <v>304</v>
      </c>
      <c r="N1430" s="10"/>
      <c r="O1430" s="2">
        <v>2</v>
      </c>
      <c r="P1430" s="17">
        <f>299*(1-S3/100)</f>
        <v>299</v>
      </c>
      <c r="Q1430" s="18"/>
      <c r="R1430" s="10">
        <f>P1430*Q1430</f>
        <v>0</v>
      </c>
      <c r="S1430" s="19">
        <f>0.172*Q1430</f>
        <v>0</v>
      </c>
      <c r="T1430" s="10">
        <v>0</v>
      </c>
      <c r="U1430" s="21"/>
      <c r="V1430" s="22" t="s">
        <v>6035</v>
      </c>
      <c r="W1430" s="22" t="s">
        <v>49</v>
      </c>
      <c r="X1430" s="3"/>
      <c r="Y1430" s="3"/>
      <c r="Z1430" s="3" t="s">
        <v>52</v>
      </c>
      <c r="AA1430" s="3"/>
      <c r="AB1430" s="3"/>
      <c r="AC1430" s="3" t="str">
        <f>HYPERLINK("https://knigipp.ru/api/getInfo/image/9f32dd34-b1b9-11ec-a211-ac1f6b442185")</f>
        <v>https://knigipp.ru/api/getInfo/image/9f32dd34-b1b9-11ec-a211-ac1f6b442185</v>
      </c>
      <c r="AD1430" s="32">
        <v>64</v>
      </c>
      <c r="AE1430" s="3"/>
      <c r="AF1430" s="3" t="s">
        <v>55</v>
      </c>
      <c r="AG1430" s="3"/>
      <c r="AH1430" s="3" t="s">
        <v>56</v>
      </c>
      <c r="AI1430" s="3"/>
      <c r="AJ1430" s="3"/>
      <c r="AK1430" s="3" t="str">
        <f>HYPERLINK("https://knigipp.ru/api/getInfo/item/9f32dd34-b1b9-11ec-a211-ac1f6b442185")</f>
        <v>https://knigipp.ru/api/getInfo/item/9f32dd34-b1b9-11ec-a211-ac1f6b442185</v>
      </c>
      <c r="AL1430" s="3" t="s">
        <v>6031</v>
      </c>
    </row>
    <row r="1431" spans="1:38" ht="23.1" customHeight="1" outlineLevel="3" x14ac:dyDescent="0.2">
      <c r="A1431" s="48" t="s">
        <v>6036</v>
      </c>
      <c r="B1431" s="48"/>
      <c r="C1431" s="48"/>
      <c r="D1431" s="48"/>
      <c r="E1431" s="48"/>
      <c r="F1431" s="48"/>
    </row>
    <row r="1432" spans="1:38" ht="21" customHeight="1" outlineLevel="4" x14ac:dyDescent="0.2">
      <c r="A1432" s="39">
        <v>1074</v>
      </c>
      <c r="B1432" s="3" t="s">
        <v>6037</v>
      </c>
      <c r="C1432" s="49" t="s">
        <v>6038</v>
      </c>
      <c r="D1432" s="49"/>
      <c r="E1432" s="49"/>
      <c r="F1432" s="49"/>
      <c r="G1432" s="4" t="s">
        <v>6039</v>
      </c>
      <c r="H1432" s="8"/>
      <c r="I1432" s="9" t="s">
        <v>6040</v>
      </c>
      <c r="J1432" s="10"/>
      <c r="K1432" s="11">
        <v>30</v>
      </c>
      <c r="L1432" s="10"/>
      <c r="M1432" s="10" t="s">
        <v>47</v>
      </c>
      <c r="N1432" s="10"/>
      <c r="O1432" s="2">
        <v>4</v>
      </c>
      <c r="P1432" s="17">
        <f>177*(1-S3/100)</f>
        <v>177</v>
      </c>
      <c r="Q1432" s="18"/>
      <c r="R1432" s="10">
        <f>P1432*Q1432</f>
        <v>0</v>
      </c>
      <c r="S1432" s="19">
        <f>0.047*Q1432</f>
        <v>0</v>
      </c>
      <c r="T1432" s="20">
        <f>0.00016*Q1432</f>
        <v>0</v>
      </c>
      <c r="U1432" s="21"/>
      <c r="V1432" s="22" t="s">
        <v>6041</v>
      </c>
      <c r="W1432" s="22" t="s">
        <v>49</v>
      </c>
      <c r="X1432" s="3"/>
      <c r="Y1432" s="3"/>
      <c r="Z1432" s="3" t="s">
        <v>52</v>
      </c>
      <c r="AA1432" s="3"/>
      <c r="AB1432" s="3"/>
      <c r="AC1432" s="3" t="str">
        <f>HYPERLINK("https://knigipp.ru/api/getInfo/image/9506ffc7-6030-11ed-a229-00155d82e902")</f>
        <v>https://knigipp.ru/api/getInfo/image/9506ffc7-6030-11ed-a229-00155d82e902</v>
      </c>
      <c r="AD1432" s="32">
        <v>16</v>
      </c>
      <c r="AE1432" s="3"/>
      <c r="AF1432" s="3" t="s">
        <v>136</v>
      </c>
      <c r="AG1432" s="3"/>
      <c r="AH1432" s="3" t="s">
        <v>56</v>
      </c>
      <c r="AI1432" s="3"/>
      <c r="AJ1432" s="3"/>
      <c r="AK1432" s="3" t="str">
        <f>HYPERLINK("https://knigipp.ru/api/getInfo/item/9506ffc7-6030-11ed-a229-00155d82e902")</f>
        <v>https://knigipp.ru/api/getInfo/item/9506ffc7-6030-11ed-a229-00155d82e902</v>
      </c>
      <c r="AL1432" s="3" t="s">
        <v>6042</v>
      </c>
    </row>
    <row r="1433" spans="1:38" ht="21" customHeight="1" outlineLevel="4" x14ac:dyDescent="0.2">
      <c r="A1433" s="39">
        <v>1075</v>
      </c>
      <c r="B1433" s="3" t="s">
        <v>6043</v>
      </c>
      <c r="C1433" s="49" t="s">
        <v>6044</v>
      </c>
      <c r="D1433" s="49"/>
      <c r="E1433" s="49"/>
      <c r="F1433" s="49"/>
      <c r="G1433" s="4" t="s">
        <v>6045</v>
      </c>
      <c r="H1433" s="8"/>
      <c r="I1433" s="9" t="s">
        <v>6040</v>
      </c>
      <c r="J1433" s="10"/>
      <c r="K1433" s="11">
        <v>30</v>
      </c>
      <c r="L1433" s="10"/>
      <c r="M1433" s="10" t="s">
        <v>47</v>
      </c>
      <c r="N1433" s="10"/>
      <c r="O1433" s="2">
        <v>4</v>
      </c>
      <c r="P1433" s="17">
        <f>177*(1-S3/100)</f>
        <v>177</v>
      </c>
      <c r="Q1433" s="18"/>
      <c r="R1433" s="10">
        <f>P1433*Q1433</f>
        <v>0</v>
      </c>
      <c r="S1433" s="19">
        <f>0.052*Q1433</f>
        <v>0</v>
      </c>
      <c r="T1433" s="20">
        <f>0.00017*Q1433</f>
        <v>0</v>
      </c>
      <c r="U1433" s="21"/>
      <c r="V1433" s="22" t="s">
        <v>6046</v>
      </c>
      <c r="W1433" s="22" t="s">
        <v>49</v>
      </c>
      <c r="X1433" s="3"/>
      <c r="Y1433" s="3"/>
      <c r="Z1433" s="3" t="s">
        <v>52</v>
      </c>
      <c r="AA1433" s="3"/>
      <c r="AB1433" s="3"/>
      <c r="AC1433" s="3" t="str">
        <f>HYPERLINK("https://knigipp.ru/api/getInfo/image/c9321afd-6031-11ed-a229-00155d82e902")</f>
        <v>https://knigipp.ru/api/getInfo/image/c9321afd-6031-11ed-a229-00155d82e902</v>
      </c>
      <c r="AD1433" s="32">
        <v>16</v>
      </c>
      <c r="AE1433" s="3"/>
      <c r="AF1433" s="3" t="s">
        <v>136</v>
      </c>
      <c r="AG1433" s="3"/>
      <c r="AH1433" s="3" t="s">
        <v>56</v>
      </c>
      <c r="AI1433" s="3"/>
      <c r="AJ1433" s="3"/>
      <c r="AK1433" s="3" t="str">
        <f>HYPERLINK("https://knigipp.ru/api/getInfo/item/c9321afd-6031-11ed-a229-00155d82e902")</f>
        <v>https://knigipp.ru/api/getInfo/item/c9321afd-6031-11ed-a229-00155d82e902</v>
      </c>
      <c r="AL1433" s="3" t="s">
        <v>6042</v>
      </c>
    </row>
    <row r="1434" spans="1:38" ht="23.1" customHeight="1" outlineLevel="3" x14ac:dyDescent="0.2">
      <c r="A1434" s="48" t="s">
        <v>6047</v>
      </c>
      <c r="B1434" s="48"/>
      <c r="C1434" s="48"/>
      <c r="D1434" s="48"/>
      <c r="E1434" s="48"/>
      <c r="F1434" s="48"/>
    </row>
    <row r="1435" spans="1:38" ht="21" customHeight="1" outlineLevel="4" x14ac:dyDescent="0.2">
      <c r="A1435" s="39">
        <v>1076</v>
      </c>
      <c r="B1435" s="3" t="s">
        <v>6048</v>
      </c>
      <c r="C1435" s="49" t="s">
        <v>6049</v>
      </c>
      <c r="D1435" s="49"/>
      <c r="E1435" s="49"/>
      <c r="F1435" s="49"/>
      <c r="G1435" s="4" t="s">
        <v>6050</v>
      </c>
      <c r="H1435" s="8"/>
      <c r="I1435" s="9" t="s">
        <v>6051</v>
      </c>
      <c r="J1435" s="10"/>
      <c r="K1435" s="11">
        <v>25</v>
      </c>
      <c r="L1435" s="10"/>
      <c r="M1435" s="10" t="s">
        <v>304</v>
      </c>
      <c r="N1435" s="10"/>
      <c r="O1435" s="2">
        <v>5</v>
      </c>
      <c r="P1435" s="17">
        <f>167.15*(1-S3/100)</f>
        <v>167.15</v>
      </c>
      <c r="Q1435" s="18"/>
      <c r="R1435" s="10">
        <f>P1435*Q1435</f>
        <v>0</v>
      </c>
      <c r="S1435" s="19">
        <f>0.148*Q1435</f>
        <v>0</v>
      </c>
      <c r="T1435" s="20">
        <f>0.00024*Q1435</f>
        <v>0</v>
      </c>
      <c r="U1435" s="21"/>
      <c r="V1435" s="22" t="s">
        <v>6052</v>
      </c>
      <c r="W1435" s="22" t="s">
        <v>49</v>
      </c>
      <c r="X1435" s="3" t="s">
        <v>415</v>
      </c>
      <c r="Y1435" s="3"/>
      <c r="Z1435" s="3" t="s">
        <v>6053</v>
      </c>
      <c r="AA1435" s="3"/>
      <c r="AB1435" s="3"/>
      <c r="AC1435" s="3" t="str">
        <f>HYPERLINK("https://knigipp.ru/api/getInfo/image/810092c4-98d8-11e9-a227-ac1f6b442184")</f>
        <v>https://knigipp.ru/api/getInfo/image/810092c4-98d8-11e9-a227-ac1f6b442184</v>
      </c>
      <c r="AD1435" s="32">
        <v>48</v>
      </c>
      <c r="AE1435" s="3"/>
      <c r="AF1435" s="3" t="s">
        <v>55</v>
      </c>
      <c r="AG1435" s="3"/>
      <c r="AH1435" s="3" t="s">
        <v>56</v>
      </c>
      <c r="AI1435" s="3"/>
      <c r="AJ1435" s="3"/>
      <c r="AK1435" s="3" t="str">
        <f>HYPERLINK("https://knigipp.ru/api/getInfo/item/810092c4-98d8-11e9-a227-ac1f6b442184")</f>
        <v>https://knigipp.ru/api/getInfo/item/810092c4-98d8-11e9-a227-ac1f6b442184</v>
      </c>
      <c r="AL1435" s="3" t="s">
        <v>6054</v>
      </c>
    </row>
    <row r="1436" spans="1:38" ht="21" customHeight="1" outlineLevel="4" x14ac:dyDescent="0.2">
      <c r="A1436" s="39">
        <v>1077</v>
      </c>
      <c r="B1436" s="3" t="s">
        <v>6055</v>
      </c>
      <c r="C1436" s="49" t="s">
        <v>6056</v>
      </c>
      <c r="D1436" s="49"/>
      <c r="E1436" s="49"/>
      <c r="F1436" s="49"/>
      <c r="G1436" s="4" t="s">
        <v>6057</v>
      </c>
      <c r="H1436" s="8"/>
      <c r="I1436" s="9" t="s">
        <v>6051</v>
      </c>
      <c r="J1436" s="10"/>
      <c r="K1436" s="11">
        <v>25</v>
      </c>
      <c r="L1436" s="10"/>
      <c r="M1436" s="10" t="s">
        <v>47</v>
      </c>
      <c r="N1436" s="10"/>
      <c r="O1436" s="2">
        <v>5</v>
      </c>
      <c r="P1436" s="17">
        <f>167.15*(1-S3/100)</f>
        <v>167.15</v>
      </c>
      <c r="Q1436" s="18"/>
      <c r="R1436" s="10">
        <f>P1436*Q1436</f>
        <v>0</v>
      </c>
      <c r="S1436" s="19">
        <f>0.146*Q1436</f>
        <v>0</v>
      </c>
      <c r="T1436" s="20">
        <f>0.00043*Q1436</f>
        <v>0</v>
      </c>
      <c r="U1436" s="21"/>
      <c r="V1436" s="22" t="s">
        <v>6058</v>
      </c>
      <c r="W1436" s="22" t="s">
        <v>49</v>
      </c>
      <c r="X1436" s="3" t="s">
        <v>415</v>
      </c>
      <c r="Y1436" s="3"/>
      <c r="Z1436" s="3" t="s">
        <v>6053</v>
      </c>
      <c r="AA1436" s="3"/>
      <c r="AB1436" s="3"/>
      <c r="AC1436" s="3" t="str">
        <f>HYPERLINK("https://knigipp.ru/api/getInfo/image/9ec9225b-98d8-11e9-a227-ac1f6b442184")</f>
        <v>https://knigipp.ru/api/getInfo/image/9ec9225b-98d8-11e9-a227-ac1f6b442184</v>
      </c>
      <c r="AD1436" s="32">
        <v>48</v>
      </c>
      <c r="AE1436" s="3"/>
      <c r="AF1436" s="3" t="s">
        <v>55</v>
      </c>
      <c r="AG1436" s="3"/>
      <c r="AH1436" s="3" t="s">
        <v>56</v>
      </c>
      <c r="AI1436" s="3"/>
      <c r="AJ1436" s="3"/>
      <c r="AK1436" s="3" t="str">
        <f>HYPERLINK("https://knigipp.ru/api/getInfo/item/9ec9225b-98d8-11e9-a227-ac1f6b442184")</f>
        <v>https://knigipp.ru/api/getInfo/item/9ec9225b-98d8-11e9-a227-ac1f6b442184</v>
      </c>
      <c r="AL1436" s="3" t="s">
        <v>6054</v>
      </c>
    </row>
    <row r="1437" spans="1:38" ht="23.1" customHeight="1" outlineLevel="3" x14ac:dyDescent="0.2">
      <c r="A1437" s="48" t="s">
        <v>6059</v>
      </c>
      <c r="B1437" s="48"/>
      <c r="C1437" s="48"/>
      <c r="D1437" s="48"/>
      <c r="E1437" s="48"/>
      <c r="F1437" s="48"/>
    </row>
    <row r="1438" spans="1:38" ht="21" customHeight="1" outlineLevel="4" x14ac:dyDescent="0.2">
      <c r="A1438" s="39">
        <v>1078</v>
      </c>
      <c r="B1438" s="3" t="s">
        <v>6060</v>
      </c>
      <c r="C1438" s="49" t="s">
        <v>6061</v>
      </c>
      <c r="D1438" s="49"/>
      <c r="E1438" s="49"/>
      <c r="F1438" s="49"/>
      <c r="G1438" s="4" t="s">
        <v>6062</v>
      </c>
      <c r="H1438" s="8"/>
      <c r="I1438" s="9" t="s">
        <v>6063</v>
      </c>
      <c r="J1438" s="10"/>
      <c r="K1438" s="11">
        <v>30</v>
      </c>
      <c r="L1438" s="10"/>
      <c r="M1438" s="10" t="s">
        <v>304</v>
      </c>
      <c r="N1438" s="10"/>
      <c r="O1438" s="2">
        <v>5</v>
      </c>
      <c r="P1438" s="17">
        <f>119.47*(1-S3/100)</f>
        <v>119.47</v>
      </c>
      <c r="Q1438" s="18"/>
      <c r="R1438" s="10">
        <f>P1438*Q1438</f>
        <v>0</v>
      </c>
      <c r="S1438" s="19">
        <f>0.052*Q1438</f>
        <v>0</v>
      </c>
      <c r="T1438" s="20">
        <f>0.00016*Q1438</f>
        <v>0</v>
      </c>
      <c r="U1438" s="21"/>
      <c r="V1438" s="22" t="s">
        <v>6064</v>
      </c>
      <c r="W1438" s="22" t="s">
        <v>49</v>
      </c>
      <c r="X1438" s="3"/>
      <c r="Y1438" s="3"/>
      <c r="Z1438" s="3" t="s">
        <v>52</v>
      </c>
      <c r="AA1438" s="3"/>
      <c r="AB1438" s="3"/>
      <c r="AC1438" s="3" t="str">
        <f>HYPERLINK("https://knigipp.ru/api/getInfo/image/92d1937d-250b-11ec-a20f-ac1f6b442185")</f>
        <v>https://knigipp.ru/api/getInfo/image/92d1937d-250b-11ec-a20f-ac1f6b442185</v>
      </c>
      <c r="AD1438" s="32">
        <v>16</v>
      </c>
      <c r="AE1438" s="3"/>
      <c r="AF1438" s="3" t="s">
        <v>136</v>
      </c>
      <c r="AG1438" s="3"/>
      <c r="AH1438" s="3" t="s">
        <v>56</v>
      </c>
      <c r="AI1438" s="3"/>
      <c r="AJ1438" s="3"/>
      <c r="AK1438" s="3" t="str">
        <f>HYPERLINK("https://knigipp.ru/api/getInfo/item/92d1937d-250b-11ec-a20f-ac1f6b442185")</f>
        <v>https://knigipp.ru/api/getInfo/item/92d1937d-250b-11ec-a20f-ac1f6b442185</v>
      </c>
      <c r="AL1438" s="3" t="s">
        <v>6065</v>
      </c>
    </row>
    <row r="1439" spans="1:38" ht="23.1" customHeight="1" outlineLevel="3" x14ac:dyDescent="0.2">
      <c r="A1439" s="48" t="s">
        <v>6066</v>
      </c>
      <c r="B1439" s="48"/>
      <c r="C1439" s="48"/>
      <c r="D1439" s="48"/>
      <c r="E1439" s="48"/>
      <c r="F1439" s="48"/>
    </row>
    <row r="1440" spans="1:38" ht="21" customHeight="1" outlineLevel="4" x14ac:dyDescent="0.2">
      <c r="A1440" s="39">
        <v>1079</v>
      </c>
      <c r="B1440" s="3" t="s">
        <v>6067</v>
      </c>
      <c r="C1440" s="49" t="s">
        <v>6068</v>
      </c>
      <c r="D1440" s="49"/>
      <c r="E1440" s="49"/>
      <c r="F1440" s="49"/>
      <c r="G1440" s="4" t="s">
        <v>6069</v>
      </c>
      <c r="H1440" s="8"/>
      <c r="I1440" s="9" t="s">
        <v>6070</v>
      </c>
      <c r="J1440" s="10"/>
      <c r="K1440" s="11">
        <v>30</v>
      </c>
      <c r="L1440" s="10"/>
      <c r="M1440" s="10" t="s">
        <v>47</v>
      </c>
      <c r="N1440" s="10"/>
      <c r="O1440" s="2">
        <v>7</v>
      </c>
      <c r="P1440" s="17">
        <f>99*(1-S3/100)</f>
        <v>99</v>
      </c>
      <c r="Q1440" s="18"/>
      <c r="R1440" s="10">
        <f>P1440*Q1440</f>
        <v>0</v>
      </c>
      <c r="S1440" s="10">
        <v>0</v>
      </c>
      <c r="T1440" s="10">
        <v>0</v>
      </c>
      <c r="U1440" s="21"/>
      <c r="V1440" s="22" t="s">
        <v>6071</v>
      </c>
      <c r="W1440" s="22" t="s">
        <v>49</v>
      </c>
      <c r="X1440" s="3"/>
      <c r="Y1440" s="3" t="s">
        <v>6072</v>
      </c>
      <c r="Z1440" s="3" t="s">
        <v>52</v>
      </c>
      <c r="AA1440" s="3" t="s">
        <v>6073</v>
      </c>
      <c r="AB1440" s="3"/>
      <c r="AC1440" s="3" t="str">
        <f>HYPERLINK("https://knigipp.ru/api/getInfo/image/418248cd-9048-11ee-a250-00155d82e908")</f>
        <v>https://knigipp.ru/api/getInfo/image/418248cd-9048-11ee-a250-00155d82e908</v>
      </c>
      <c r="AD1440" s="32">
        <v>32</v>
      </c>
      <c r="AE1440" s="3"/>
      <c r="AF1440" s="3" t="s">
        <v>136</v>
      </c>
      <c r="AG1440" s="3"/>
      <c r="AH1440" s="3" t="s">
        <v>56</v>
      </c>
      <c r="AI1440" s="3"/>
      <c r="AJ1440" s="3"/>
      <c r="AK1440" s="3" t="str">
        <f>HYPERLINK("https://knigipp.ru/api/getInfo/item/418248cd-9048-11ee-a250-00155d82e908")</f>
        <v>https://knigipp.ru/api/getInfo/item/418248cd-9048-11ee-a250-00155d82e908</v>
      </c>
      <c r="AL1440" s="3" t="s">
        <v>4799</v>
      </c>
    </row>
    <row r="1441" spans="1:38" ht="21" customHeight="1" outlineLevel="4" x14ac:dyDescent="0.2">
      <c r="A1441" s="39">
        <v>1080</v>
      </c>
      <c r="B1441" s="3" t="s">
        <v>6074</v>
      </c>
      <c r="C1441" s="49" t="s">
        <v>6075</v>
      </c>
      <c r="D1441" s="49"/>
      <c r="E1441" s="49"/>
      <c r="F1441" s="49"/>
      <c r="G1441" s="4" t="s">
        <v>6076</v>
      </c>
      <c r="H1441" s="8"/>
      <c r="I1441" s="9" t="s">
        <v>6070</v>
      </c>
      <c r="J1441" s="10"/>
      <c r="K1441" s="11">
        <v>30</v>
      </c>
      <c r="L1441" s="10"/>
      <c r="M1441" s="10" t="s">
        <v>47</v>
      </c>
      <c r="N1441" s="10"/>
      <c r="O1441" s="2">
        <v>7</v>
      </c>
      <c r="P1441" s="17">
        <f>99*(1-S3/100)</f>
        <v>99</v>
      </c>
      <c r="Q1441" s="18"/>
      <c r="R1441" s="10">
        <f>P1441*Q1441</f>
        <v>0</v>
      </c>
      <c r="S1441" s="19">
        <f>0.062*Q1441</f>
        <v>0</v>
      </c>
      <c r="T1441" s="20">
        <f>0.00012*Q1441</f>
        <v>0</v>
      </c>
      <c r="U1441" s="21"/>
      <c r="V1441" s="22" t="s">
        <v>6077</v>
      </c>
      <c r="W1441" s="22" t="s">
        <v>49</v>
      </c>
      <c r="X1441" s="3"/>
      <c r="Y1441" s="3" t="s">
        <v>6078</v>
      </c>
      <c r="Z1441" s="3" t="s">
        <v>52</v>
      </c>
      <c r="AA1441" s="3" t="s">
        <v>6073</v>
      </c>
      <c r="AB1441" s="3"/>
      <c r="AC1441" s="3" t="str">
        <f>HYPERLINK("https://knigipp.ru/api/getInfo/image/85186e38-9048-11ee-a250-00155d82e908")</f>
        <v>https://knigipp.ru/api/getInfo/image/85186e38-9048-11ee-a250-00155d82e908</v>
      </c>
      <c r="AD1441" s="32">
        <v>32</v>
      </c>
      <c r="AE1441" s="3"/>
      <c r="AF1441" s="3" t="s">
        <v>136</v>
      </c>
      <c r="AG1441" s="3"/>
      <c r="AH1441" s="3" t="s">
        <v>56</v>
      </c>
      <c r="AI1441" s="3"/>
      <c r="AJ1441" s="3"/>
      <c r="AK1441" s="3" t="str">
        <f>HYPERLINK("https://knigipp.ru/api/getInfo/item/85186e38-9048-11ee-a250-00155d82e908")</f>
        <v>https://knigipp.ru/api/getInfo/item/85186e38-9048-11ee-a250-00155d82e908</v>
      </c>
      <c r="AL1441" s="3" t="s">
        <v>4799</v>
      </c>
    </row>
    <row r="1442" spans="1:38" ht="21" customHeight="1" outlineLevel="4" x14ac:dyDescent="0.2">
      <c r="A1442" s="39">
        <v>1081</v>
      </c>
      <c r="B1442" s="3" t="s">
        <v>6079</v>
      </c>
      <c r="C1442" s="49" t="s">
        <v>6080</v>
      </c>
      <c r="D1442" s="49"/>
      <c r="E1442" s="49"/>
      <c r="F1442" s="49"/>
      <c r="G1442" s="4" t="s">
        <v>6081</v>
      </c>
      <c r="H1442" s="8"/>
      <c r="I1442" s="9" t="s">
        <v>6070</v>
      </c>
      <c r="J1442" s="10"/>
      <c r="K1442" s="11">
        <v>30</v>
      </c>
      <c r="L1442" s="10"/>
      <c r="M1442" s="10" t="s">
        <v>47</v>
      </c>
      <c r="N1442" s="10"/>
      <c r="O1442" s="2">
        <v>7</v>
      </c>
      <c r="P1442" s="17">
        <f>99*(1-S3/100)</f>
        <v>99</v>
      </c>
      <c r="Q1442" s="18"/>
      <c r="R1442" s="10">
        <f>P1442*Q1442</f>
        <v>0</v>
      </c>
      <c r="S1442" s="19">
        <f>0.065*Q1442</f>
        <v>0</v>
      </c>
      <c r="T1442" s="20">
        <f>0.00008*Q1442</f>
        <v>0</v>
      </c>
      <c r="U1442" s="21"/>
      <c r="V1442" s="22" t="s">
        <v>6082</v>
      </c>
      <c r="W1442" s="22" t="s">
        <v>49</v>
      </c>
      <c r="X1442" s="3"/>
      <c r="Y1442" s="3" t="s">
        <v>6083</v>
      </c>
      <c r="Z1442" s="3" t="s">
        <v>52</v>
      </c>
      <c r="AA1442" s="3" t="s">
        <v>5472</v>
      </c>
      <c r="AB1442" s="3"/>
      <c r="AC1442" s="3" t="str">
        <f>HYPERLINK("https://knigipp.ru/api/getInfo/image/b84810aa-9048-11ee-a250-00155d82e908")</f>
        <v>https://knigipp.ru/api/getInfo/image/b84810aa-9048-11ee-a250-00155d82e908</v>
      </c>
      <c r="AD1442" s="32">
        <v>32</v>
      </c>
      <c r="AE1442" s="3"/>
      <c r="AF1442" s="3" t="s">
        <v>136</v>
      </c>
      <c r="AG1442" s="3"/>
      <c r="AH1442" s="3" t="s">
        <v>56</v>
      </c>
      <c r="AI1442" s="3"/>
      <c r="AJ1442" s="3"/>
      <c r="AK1442" s="3" t="str">
        <f>HYPERLINK("https://knigipp.ru/api/getInfo/item/b84810aa-9048-11ee-a250-00155d82e908")</f>
        <v>https://knigipp.ru/api/getInfo/item/b84810aa-9048-11ee-a250-00155d82e908</v>
      </c>
      <c r="AL1442" s="3" t="s">
        <v>4799</v>
      </c>
    </row>
    <row r="1443" spans="1:38" ht="21" customHeight="1" outlineLevel="4" x14ac:dyDescent="0.2">
      <c r="A1443" s="39">
        <v>1082</v>
      </c>
      <c r="B1443" s="3" t="s">
        <v>6084</v>
      </c>
      <c r="C1443" s="49" t="s">
        <v>6085</v>
      </c>
      <c r="D1443" s="49"/>
      <c r="E1443" s="49"/>
      <c r="F1443" s="49"/>
      <c r="G1443" s="4" t="s">
        <v>6086</v>
      </c>
      <c r="H1443" s="8"/>
      <c r="I1443" s="9" t="s">
        <v>6070</v>
      </c>
      <c r="J1443" s="10"/>
      <c r="K1443" s="11">
        <v>30</v>
      </c>
      <c r="L1443" s="10"/>
      <c r="M1443" s="10" t="s">
        <v>47</v>
      </c>
      <c r="N1443" s="10"/>
      <c r="O1443" s="2">
        <v>7</v>
      </c>
      <c r="P1443" s="17">
        <f>99*(1-S3/100)</f>
        <v>99</v>
      </c>
      <c r="Q1443" s="18"/>
      <c r="R1443" s="10">
        <f>P1443*Q1443</f>
        <v>0</v>
      </c>
      <c r="S1443" s="19">
        <f>0.063*Q1443</f>
        <v>0</v>
      </c>
      <c r="T1443" s="20">
        <f>0.00008*Q1443</f>
        <v>0</v>
      </c>
      <c r="U1443" s="21"/>
      <c r="V1443" s="22" t="s">
        <v>6087</v>
      </c>
      <c r="W1443" s="22" t="s">
        <v>49</v>
      </c>
      <c r="X1443" s="3"/>
      <c r="Y1443" s="3" t="s">
        <v>6088</v>
      </c>
      <c r="Z1443" s="3" t="s">
        <v>52</v>
      </c>
      <c r="AA1443" s="3" t="s">
        <v>6073</v>
      </c>
      <c r="AB1443" s="3"/>
      <c r="AC1443" s="3" t="str">
        <f>HYPERLINK("https://knigipp.ru/api/getInfo/image/eda8026c-9048-11ee-a250-00155d82e908")</f>
        <v>https://knigipp.ru/api/getInfo/image/eda8026c-9048-11ee-a250-00155d82e908</v>
      </c>
      <c r="AD1443" s="32">
        <v>32</v>
      </c>
      <c r="AE1443" s="3"/>
      <c r="AF1443" s="3" t="s">
        <v>136</v>
      </c>
      <c r="AG1443" s="3"/>
      <c r="AH1443" s="3" t="s">
        <v>56</v>
      </c>
      <c r="AI1443" s="3"/>
      <c r="AJ1443" s="3"/>
      <c r="AK1443" s="3" t="str">
        <f>HYPERLINK("https://knigipp.ru/api/getInfo/item/eda8026c-9048-11ee-a250-00155d82e908")</f>
        <v>https://knigipp.ru/api/getInfo/item/eda8026c-9048-11ee-a250-00155d82e908</v>
      </c>
      <c r="AL1443" s="3" t="s">
        <v>4799</v>
      </c>
    </row>
    <row r="1444" spans="1:38" ht="23.1" customHeight="1" outlineLevel="3" x14ac:dyDescent="0.2">
      <c r="A1444" s="48" t="s">
        <v>6089</v>
      </c>
      <c r="B1444" s="48"/>
      <c r="C1444" s="48"/>
      <c r="D1444" s="48"/>
      <c r="E1444" s="48"/>
      <c r="F1444" s="48"/>
    </row>
    <row r="1445" spans="1:38" ht="21" customHeight="1" outlineLevel="4" x14ac:dyDescent="0.2">
      <c r="A1445" s="39">
        <v>1083</v>
      </c>
      <c r="B1445" s="3" t="s">
        <v>6090</v>
      </c>
      <c r="C1445" s="49" t="s">
        <v>6091</v>
      </c>
      <c r="D1445" s="49"/>
      <c r="E1445" s="49"/>
      <c r="F1445" s="49"/>
      <c r="G1445" s="4" t="s">
        <v>6092</v>
      </c>
      <c r="H1445" s="8"/>
      <c r="I1445" s="9" t="s">
        <v>6093</v>
      </c>
      <c r="J1445" s="10"/>
      <c r="K1445" s="11">
        <v>30</v>
      </c>
      <c r="L1445" s="10"/>
      <c r="M1445" s="10" t="s">
        <v>47</v>
      </c>
      <c r="N1445" s="10"/>
      <c r="O1445" s="2">
        <v>5</v>
      </c>
      <c r="P1445" s="17">
        <f>119.5*(1-S3/100)</f>
        <v>119.5</v>
      </c>
      <c r="Q1445" s="18"/>
      <c r="R1445" s="10">
        <f>P1445*Q1445</f>
        <v>0</v>
      </c>
      <c r="S1445" s="19">
        <f>0.113*Q1445</f>
        <v>0</v>
      </c>
      <c r="T1445" s="20">
        <f>0.00016*Q1445</f>
        <v>0</v>
      </c>
      <c r="U1445" s="21"/>
      <c r="V1445" s="22" t="s">
        <v>6094</v>
      </c>
      <c r="W1445" s="22" t="s">
        <v>49</v>
      </c>
      <c r="X1445" s="3"/>
      <c r="Y1445" s="3"/>
      <c r="Z1445" s="3" t="s">
        <v>52</v>
      </c>
      <c r="AA1445" s="3"/>
      <c r="AB1445" s="3"/>
      <c r="AC1445" s="3" t="str">
        <f>HYPERLINK("https://knigipp.ru/api/getInfo/image/e484ac68-8aea-11ea-a247-ac1f6b442184")</f>
        <v>https://knigipp.ru/api/getInfo/image/e484ac68-8aea-11ea-a247-ac1f6b442184</v>
      </c>
      <c r="AD1445" s="32">
        <v>32</v>
      </c>
      <c r="AE1445" s="3"/>
      <c r="AF1445" s="3" t="s">
        <v>136</v>
      </c>
      <c r="AG1445" s="3"/>
      <c r="AH1445" s="3" t="s">
        <v>56</v>
      </c>
      <c r="AI1445" s="3"/>
      <c r="AJ1445" s="3"/>
      <c r="AK1445" s="3" t="str">
        <f>HYPERLINK("https://knigipp.ru/api/getInfo/item/e484ac68-8aea-11ea-a247-ac1f6b442184")</f>
        <v>https://knigipp.ru/api/getInfo/item/e484ac68-8aea-11ea-a247-ac1f6b442184</v>
      </c>
      <c r="AL1445" s="3" t="s">
        <v>1207</v>
      </c>
    </row>
    <row r="1446" spans="1:38" ht="21" customHeight="1" outlineLevel="4" x14ac:dyDescent="0.2">
      <c r="A1446" s="39">
        <v>1084</v>
      </c>
      <c r="B1446" s="3" t="s">
        <v>6095</v>
      </c>
      <c r="C1446" s="49" t="s">
        <v>6096</v>
      </c>
      <c r="D1446" s="49"/>
      <c r="E1446" s="49"/>
      <c r="F1446" s="49"/>
      <c r="G1446" s="4" t="s">
        <v>6097</v>
      </c>
      <c r="H1446" s="8"/>
      <c r="I1446" s="9" t="s">
        <v>6093</v>
      </c>
      <c r="J1446" s="10"/>
      <c r="K1446" s="11">
        <v>30</v>
      </c>
      <c r="L1446" s="10"/>
      <c r="M1446" s="10" t="s">
        <v>47</v>
      </c>
      <c r="N1446" s="10"/>
      <c r="O1446" s="2">
        <v>5</v>
      </c>
      <c r="P1446" s="17">
        <f>119.5*(1-S3/100)</f>
        <v>119.5</v>
      </c>
      <c r="Q1446" s="18"/>
      <c r="R1446" s="10">
        <f>P1446*Q1446</f>
        <v>0</v>
      </c>
      <c r="S1446" s="19">
        <f>0.113*Q1446</f>
        <v>0</v>
      </c>
      <c r="T1446" s="20">
        <f>0.00016*Q1446</f>
        <v>0</v>
      </c>
      <c r="U1446" s="21"/>
      <c r="V1446" s="22" t="s">
        <v>6098</v>
      </c>
      <c r="W1446" s="22" t="s">
        <v>49</v>
      </c>
      <c r="X1446" s="3"/>
      <c r="Y1446" s="3"/>
      <c r="Z1446" s="3" t="s">
        <v>52</v>
      </c>
      <c r="AA1446" s="3"/>
      <c r="AB1446" s="3"/>
      <c r="AC1446" s="3" t="str">
        <f>HYPERLINK("https://knigipp.ru/api/getInfo/image/fa55108b-8aea-11ea-a247-ac1f6b442184")</f>
        <v>https://knigipp.ru/api/getInfo/image/fa55108b-8aea-11ea-a247-ac1f6b442184</v>
      </c>
      <c r="AD1446" s="32">
        <v>32</v>
      </c>
      <c r="AE1446" s="3"/>
      <c r="AF1446" s="3" t="s">
        <v>136</v>
      </c>
      <c r="AG1446" s="3"/>
      <c r="AH1446" s="3" t="s">
        <v>56</v>
      </c>
      <c r="AI1446" s="3"/>
      <c r="AJ1446" s="3"/>
      <c r="AK1446" s="3" t="str">
        <f>HYPERLINK("https://knigipp.ru/api/getInfo/item/fa55108b-8aea-11ea-a247-ac1f6b442184")</f>
        <v>https://knigipp.ru/api/getInfo/item/fa55108b-8aea-11ea-a247-ac1f6b442184</v>
      </c>
      <c r="AL1446" s="3" t="s">
        <v>1207</v>
      </c>
    </row>
    <row r="1447" spans="1:38" ht="21" customHeight="1" outlineLevel="4" x14ac:dyDescent="0.2">
      <c r="A1447" s="39">
        <v>1085</v>
      </c>
      <c r="B1447" s="3" t="s">
        <v>6099</v>
      </c>
      <c r="C1447" s="49" t="s">
        <v>6100</v>
      </c>
      <c r="D1447" s="49"/>
      <c r="E1447" s="49"/>
      <c r="F1447" s="49"/>
      <c r="G1447" s="4" t="s">
        <v>6101</v>
      </c>
      <c r="H1447" s="8"/>
      <c r="I1447" s="9" t="s">
        <v>6093</v>
      </c>
      <c r="J1447" s="10"/>
      <c r="K1447" s="11">
        <v>30</v>
      </c>
      <c r="L1447" s="10"/>
      <c r="M1447" s="10" t="s">
        <v>47</v>
      </c>
      <c r="N1447" s="10"/>
      <c r="O1447" s="2">
        <v>5</v>
      </c>
      <c r="P1447" s="17">
        <f>119.5*(1-S3/100)</f>
        <v>119.5</v>
      </c>
      <c r="Q1447" s="18"/>
      <c r="R1447" s="10">
        <f>P1447*Q1447</f>
        <v>0</v>
      </c>
      <c r="S1447" s="19">
        <f>0.113*Q1447</f>
        <v>0</v>
      </c>
      <c r="T1447" s="20">
        <f>0.00016*Q1447</f>
        <v>0</v>
      </c>
      <c r="U1447" s="21"/>
      <c r="V1447" s="22" t="s">
        <v>6102</v>
      </c>
      <c r="W1447" s="22" t="s">
        <v>49</v>
      </c>
      <c r="X1447" s="3"/>
      <c r="Y1447" s="3"/>
      <c r="Z1447" s="3" t="s">
        <v>52</v>
      </c>
      <c r="AA1447" s="3"/>
      <c r="AB1447" s="3"/>
      <c r="AC1447" s="3" t="str">
        <f>HYPERLINK("https://knigipp.ru/api/getInfo/image/16da6a32-8aeb-11ea-a247-ac1f6b442184")</f>
        <v>https://knigipp.ru/api/getInfo/image/16da6a32-8aeb-11ea-a247-ac1f6b442184</v>
      </c>
      <c r="AD1447" s="32">
        <v>32</v>
      </c>
      <c r="AE1447" s="3"/>
      <c r="AF1447" s="3" t="s">
        <v>136</v>
      </c>
      <c r="AG1447" s="3"/>
      <c r="AH1447" s="3" t="s">
        <v>56</v>
      </c>
      <c r="AI1447" s="3"/>
      <c r="AJ1447" s="3"/>
      <c r="AK1447" s="3" t="str">
        <f>HYPERLINK("https://knigipp.ru/api/getInfo/item/16da6a32-8aeb-11ea-a247-ac1f6b442184")</f>
        <v>https://knigipp.ru/api/getInfo/item/16da6a32-8aeb-11ea-a247-ac1f6b442184</v>
      </c>
      <c r="AL1447" s="3" t="s">
        <v>1207</v>
      </c>
    </row>
    <row r="1448" spans="1:38" ht="21" customHeight="1" outlineLevel="4" x14ac:dyDescent="0.2">
      <c r="A1448" s="39">
        <v>1086</v>
      </c>
      <c r="B1448" s="3" t="s">
        <v>6103</v>
      </c>
      <c r="C1448" s="49" t="s">
        <v>6104</v>
      </c>
      <c r="D1448" s="49"/>
      <c r="E1448" s="49"/>
      <c r="F1448" s="49"/>
      <c r="G1448" s="4" t="s">
        <v>6105</v>
      </c>
      <c r="H1448" s="8"/>
      <c r="I1448" s="9" t="s">
        <v>6106</v>
      </c>
      <c r="J1448" s="10"/>
      <c r="K1448" s="11">
        <v>30</v>
      </c>
      <c r="L1448" s="10"/>
      <c r="M1448" s="10" t="s">
        <v>47</v>
      </c>
      <c r="N1448" s="10"/>
      <c r="O1448" s="2">
        <v>5</v>
      </c>
      <c r="P1448" s="17">
        <f>119.5*(1-S3/100)</f>
        <v>119.5</v>
      </c>
      <c r="Q1448" s="18"/>
      <c r="R1448" s="10">
        <f>P1448*Q1448</f>
        <v>0</v>
      </c>
      <c r="S1448" s="19">
        <f>0.113*Q1448</f>
        <v>0</v>
      </c>
      <c r="T1448" s="20">
        <f>0.00016*Q1448</f>
        <v>0</v>
      </c>
      <c r="U1448" s="21"/>
      <c r="V1448" s="22" t="s">
        <v>6107</v>
      </c>
      <c r="W1448" s="22" t="s">
        <v>49</v>
      </c>
      <c r="X1448" s="3"/>
      <c r="Y1448" s="3"/>
      <c r="Z1448" s="3" t="s">
        <v>52</v>
      </c>
      <c r="AA1448" s="3"/>
      <c r="AB1448" s="3"/>
      <c r="AC1448" s="3" t="str">
        <f>HYPERLINK("https://knigipp.ru/api/getInfo/image/bdbc0d0f-52a6-11ec-a20f-ac1f6b442185")</f>
        <v>https://knigipp.ru/api/getInfo/image/bdbc0d0f-52a6-11ec-a20f-ac1f6b442185</v>
      </c>
      <c r="AD1448" s="32">
        <v>32</v>
      </c>
      <c r="AE1448" s="3"/>
      <c r="AF1448" s="3" t="s">
        <v>136</v>
      </c>
      <c r="AG1448" s="3"/>
      <c r="AH1448" s="3" t="s">
        <v>56</v>
      </c>
      <c r="AI1448" s="3"/>
      <c r="AJ1448" s="3"/>
      <c r="AK1448" s="3" t="str">
        <f>HYPERLINK("https://knigipp.ru/api/getInfo/item/bdbc0d0f-52a6-11ec-a20f-ac1f6b442185")</f>
        <v>https://knigipp.ru/api/getInfo/item/bdbc0d0f-52a6-11ec-a20f-ac1f6b442185</v>
      </c>
      <c r="AL1448" s="3" t="s">
        <v>1207</v>
      </c>
    </row>
    <row r="1449" spans="1:38" ht="23.1" customHeight="1" outlineLevel="3" x14ac:dyDescent="0.2">
      <c r="A1449" s="48" t="s">
        <v>6108</v>
      </c>
      <c r="B1449" s="48"/>
      <c r="C1449" s="48"/>
      <c r="D1449" s="48"/>
      <c r="E1449" s="48"/>
      <c r="F1449" s="48"/>
    </row>
    <row r="1450" spans="1:38" ht="21" customHeight="1" outlineLevel="4" x14ac:dyDescent="0.2">
      <c r="A1450" s="39">
        <v>1087</v>
      </c>
      <c r="B1450" s="3" t="s">
        <v>6109</v>
      </c>
      <c r="C1450" s="49" t="s">
        <v>6110</v>
      </c>
      <c r="D1450" s="49"/>
      <c r="E1450" s="49"/>
      <c r="F1450" s="49"/>
      <c r="G1450" s="4" t="s">
        <v>6111</v>
      </c>
      <c r="H1450" s="8"/>
      <c r="I1450" s="9" t="s">
        <v>6112</v>
      </c>
      <c r="J1450" s="10"/>
      <c r="K1450" s="11">
        <v>30</v>
      </c>
      <c r="L1450" s="10"/>
      <c r="M1450" s="10" t="s">
        <v>47</v>
      </c>
      <c r="N1450" s="10"/>
      <c r="O1450" s="2">
        <v>10</v>
      </c>
      <c r="P1450" s="17">
        <f>77*(1-S3/100)</f>
        <v>77</v>
      </c>
      <c r="Q1450" s="18"/>
      <c r="R1450" s="10">
        <f>P1450*Q1450</f>
        <v>0</v>
      </c>
      <c r="S1450" s="28">
        <f>0.05*Q1450</f>
        <v>0</v>
      </c>
      <c r="T1450" s="20">
        <f>0.00011*Q1450</f>
        <v>0</v>
      </c>
      <c r="U1450" s="21"/>
      <c r="V1450" s="22" t="s">
        <v>6113</v>
      </c>
      <c r="W1450" s="22" t="s">
        <v>49</v>
      </c>
      <c r="X1450" s="3"/>
      <c r="Y1450" s="3" t="s">
        <v>6114</v>
      </c>
      <c r="Z1450" s="3" t="s">
        <v>52</v>
      </c>
      <c r="AA1450" s="3"/>
      <c r="AB1450" s="3"/>
      <c r="AC1450" s="3" t="str">
        <f>HYPERLINK("https://knigipp.ru/api/getInfo/image/e5aafef4-25be-11f0-a279-00155d82e908")</f>
        <v>https://knigipp.ru/api/getInfo/image/e5aafef4-25be-11f0-a279-00155d82e908</v>
      </c>
      <c r="AD1450" s="32">
        <v>32</v>
      </c>
      <c r="AE1450" s="3"/>
      <c r="AF1450" s="3" t="s">
        <v>136</v>
      </c>
      <c r="AG1450" s="3"/>
      <c r="AH1450" s="3" t="s">
        <v>56</v>
      </c>
      <c r="AI1450" s="3"/>
      <c r="AJ1450" s="3"/>
      <c r="AK1450" s="3" t="str">
        <f>HYPERLINK("https://knigipp.ru/api/getInfo/item/e5aafef4-25be-11f0-a279-00155d82e908")</f>
        <v>https://knigipp.ru/api/getInfo/item/e5aafef4-25be-11f0-a279-00155d82e908</v>
      </c>
      <c r="AL1450" s="3" t="s">
        <v>6115</v>
      </c>
    </row>
    <row r="1451" spans="1:38" ht="21" customHeight="1" outlineLevel="4" x14ac:dyDescent="0.2">
      <c r="A1451" s="39">
        <v>1088</v>
      </c>
      <c r="B1451" s="3" t="s">
        <v>6116</v>
      </c>
      <c r="C1451" s="49" t="s">
        <v>6117</v>
      </c>
      <c r="D1451" s="49"/>
      <c r="E1451" s="49"/>
      <c r="F1451" s="49"/>
      <c r="G1451" s="4" t="s">
        <v>6118</v>
      </c>
      <c r="H1451" s="8"/>
      <c r="I1451" s="9" t="s">
        <v>6112</v>
      </c>
      <c r="J1451" s="10"/>
      <c r="K1451" s="11">
        <v>30</v>
      </c>
      <c r="L1451" s="10"/>
      <c r="M1451" s="10" t="s">
        <v>78</v>
      </c>
      <c r="N1451" s="10"/>
      <c r="O1451" s="2">
        <v>10</v>
      </c>
      <c r="P1451" s="17">
        <f>77*(1-S3/100)</f>
        <v>77</v>
      </c>
      <c r="Q1451" s="18"/>
      <c r="R1451" s="10">
        <f>P1451*Q1451</f>
        <v>0</v>
      </c>
      <c r="S1451" s="28">
        <f>0.05*Q1451</f>
        <v>0</v>
      </c>
      <c r="T1451" s="20">
        <f>0.00011*Q1451</f>
        <v>0</v>
      </c>
      <c r="U1451" s="21"/>
      <c r="V1451" s="22" t="s">
        <v>6119</v>
      </c>
      <c r="W1451" s="22" t="s">
        <v>49</v>
      </c>
      <c r="X1451" s="3"/>
      <c r="Y1451" s="3" t="s">
        <v>6120</v>
      </c>
      <c r="Z1451" s="3" t="s">
        <v>52</v>
      </c>
      <c r="AA1451" s="3"/>
      <c r="AB1451" s="3"/>
      <c r="AC1451" s="3" t="str">
        <f>HYPERLINK("https://knigipp.ru/api/getInfo/image/767e5f29-25be-11f0-a279-00155d82e908")</f>
        <v>https://knigipp.ru/api/getInfo/image/767e5f29-25be-11f0-a279-00155d82e908</v>
      </c>
      <c r="AD1451" s="32">
        <v>32</v>
      </c>
      <c r="AE1451" s="3"/>
      <c r="AF1451" s="3" t="s">
        <v>136</v>
      </c>
      <c r="AG1451" s="3"/>
      <c r="AH1451" s="3" t="s">
        <v>56</v>
      </c>
      <c r="AI1451" s="3"/>
      <c r="AJ1451" s="3"/>
      <c r="AK1451" s="3" t="str">
        <f>HYPERLINK("https://knigipp.ru/api/getInfo/item/767e5f29-25be-11f0-a279-00155d82e908")</f>
        <v>https://knigipp.ru/api/getInfo/item/767e5f29-25be-11f0-a279-00155d82e908</v>
      </c>
      <c r="AL1451" s="3" t="s">
        <v>6115</v>
      </c>
    </row>
    <row r="1452" spans="1:38" ht="23.1" customHeight="1" outlineLevel="3" x14ac:dyDescent="0.2">
      <c r="A1452" s="48" t="s">
        <v>6121</v>
      </c>
      <c r="B1452" s="48"/>
      <c r="C1452" s="48"/>
      <c r="D1452" s="48"/>
      <c r="E1452" s="48"/>
      <c r="F1452" s="48"/>
    </row>
    <row r="1453" spans="1:38" ht="21" customHeight="1" outlineLevel="4" x14ac:dyDescent="0.2">
      <c r="A1453" s="39">
        <v>1089</v>
      </c>
      <c r="B1453" s="3" t="s">
        <v>6122</v>
      </c>
      <c r="C1453" s="49" t="s">
        <v>6123</v>
      </c>
      <c r="D1453" s="49"/>
      <c r="E1453" s="49"/>
      <c r="F1453" s="49"/>
      <c r="G1453" s="4" t="s">
        <v>6124</v>
      </c>
      <c r="H1453" s="8"/>
      <c r="I1453" s="9" t="s">
        <v>6125</v>
      </c>
      <c r="J1453" s="10"/>
      <c r="K1453" s="11">
        <v>20</v>
      </c>
      <c r="L1453" s="10"/>
      <c r="M1453" s="10" t="s">
        <v>304</v>
      </c>
      <c r="N1453" s="10"/>
      <c r="O1453" s="2">
        <v>7</v>
      </c>
      <c r="P1453" s="17">
        <f>98*(1-S3/100)</f>
        <v>98</v>
      </c>
      <c r="Q1453" s="18"/>
      <c r="R1453" s="10">
        <f>P1453*Q1453</f>
        <v>0</v>
      </c>
      <c r="S1453" s="28">
        <f>0.16*Q1453</f>
        <v>0</v>
      </c>
      <c r="T1453" s="20">
        <f>0.00022*Q1453</f>
        <v>0</v>
      </c>
      <c r="U1453" s="21"/>
      <c r="V1453" s="22" t="s">
        <v>6126</v>
      </c>
      <c r="W1453" s="22" t="s">
        <v>49</v>
      </c>
      <c r="X1453" s="3"/>
      <c r="Y1453" s="3"/>
      <c r="Z1453" s="3" t="s">
        <v>6127</v>
      </c>
      <c r="AA1453" s="3"/>
      <c r="AB1453" s="3"/>
      <c r="AC1453" s="3" t="str">
        <f>HYPERLINK("https://knigipp.ru/api/getInfo/image/3a1501a4-c2da-11eb-a206-ac1f6b442185")</f>
        <v>https://knigipp.ru/api/getInfo/image/3a1501a4-c2da-11eb-a206-ac1f6b442185</v>
      </c>
      <c r="AD1453" s="32">
        <v>48</v>
      </c>
      <c r="AE1453" s="3"/>
      <c r="AF1453" s="3" t="s">
        <v>55</v>
      </c>
      <c r="AG1453" s="3"/>
      <c r="AH1453" s="3" t="s">
        <v>56</v>
      </c>
      <c r="AI1453" s="3"/>
      <c r="AJ1453" s="3"/>
      <c r="AK1453" s="3" t="str">
        <f>HYPERLINK("https://knigipp.ru/api/getInfo/item/3a1501a4-c2da-11eb-a206-ac1f6b442185")</f>
        <v>https://knigipp.ru/api/getInfo/item/3a1501a4-c2da-11eb-a206-ac1f6b442185</v>
      </c>
      <c r="AL1453" s="3" t="s">
        <v>6128</v>
      </c>
    </row>
    <row r="1454" spans="1:38" ht="21" customHeight="1" outlineLevel="4" x14ac:dyDescent="0.2">
      <c r="A1454" s="39">
        <v>1090</v>
      </c>
      <c r="B1454" s="3" t="s">
        <v>6129</v>
      </c>
      <c r="C1454" s="49" t="s">
        <v>6130</v>
      </c>
      <c r="D1454" s="49"/>
      <c r="E1454" s="49"/>
      <c r="F1454" s="49"/>
      <c r="G1454" s="4" t="s">
        <v>6131</v>
      </c>
      <c r="H1454" s="8"/>
      <c r="I1454" s="9" t="s">
        <v>6125</v>
      </c>
      <c r="J1454" s="10"/>
      <c r="K1454" s="11">
        <v>20</v>
      </c>
      <c r="L1454" s="10"/>
      <c r="M1454" s="10" t="s">
        <v>304</v>
      </c>
      <c r="N1454" s="10"/>
      <c r="O1454" s="2">
        <v>7</v>
      </c>
      <c r="P1454" s="17">
        <f>98*(1-S3/100)</f>
        <v>98</v>
      </c>
      <c r="Q1454" s="18"/>
      <c r="R1454" s="10">
        <f>P1454*Q1454</f>
        <v>0</v>
      </c>
      <c r="S1454" s="28">
        <f>0.16*Q1454</f>
        <v>0</v>
      </c>
      <c r="T1454" s="20">
        <f>0.00022*Q1454</f>
        <v>0</v>
      </c>
      <c r="U1454" s="21"/>
      <c r="V1454" s="22" t="s">
        <v>6132</v>
      </c>
      <c r="W1454" s="22" t="s">
        <v>49</v>
      </c>
      <c r="X1454" s="3"/>
      <c r="Y1454" s="3"/>
      <c r="Z1454" s="3" t="s">
        <v>6133</v>
      </c>
      <c r="AA1454" s="3"/>
      <c r="AB1454" s="3"/>
      <c r="AC1454" s="3" t="str">
        <f>HYPERLINK("https://knigipp.ru/api/getInfo/image/6804e987-c2da-11eb-a206-ac1f6b442185")</f>
        <v>https://knigipp.ru/api/getInfo/image/6804e987-c2da-11eb-a206-ac1f6b442185</v>
      </c>
      <c r="AD1454" s="32">
        <v>48</v>
      </c>
      <c r="AE1454" s="3"/>
      <c r="AF1454" s="3" t="s">
        <v>55</v>
      </c>
      <c r="AG1454" s="3"/>
      <c r="AH1454" s="3" t="s">
        <v>56</v>
      </c>
      <c r="AI1454" s="3"/>
      <c r="AJ1454" s="3"/>
      <c r="AK1454" s="3" t="str">
        <f>HYPERLINK("https://knigipp.ru/api/getInfo/item/6804e987-c2da-11eb-a206-ac1f6b442185")</f>
        <v>https://knigipp.ru/api/getInfo/item/6804e987-c2da-11eb-a206-ac1f6b442185</v>
      </c>
      <c r="AL1454" s="3" t="s">
        <v>6128</v>
      </c>
    </row>
    <row r="1455" spans="1:38" ht="21" customHeight="1" outlineLevel="4" x14ac:dyDescent="0.2">
      <c r="A1455" s="39">
        <v>1091</v>
      </c>
      <c r="B1455" s="3" t="s">
        <v>6134</v>
      </c>
      <c r="C1455" s="49" t="s">
        <v>6135</v>
      </c>
      <c r="D1455" s="49"/>
      <c r="E1455" s="49"/>
      <c r="F1455" s="49"/>
      <c r="G1455" s="4" t="s">
        <v>6136</v>
      </c>
      <c r="H1455" s="8"/>
      <c r="I1455" s="9" t="s">
        <v>6125</v>
      </c>
      <c r="J1455" s="10"/>
      <c r="K1455" s="11">
        <v>20</v>
      </c>
      <c r="L1455" s="10"/>
      <c r="M1455" s="10" t="s">
        <v>304</v>
      </c>
      <c r="N1455" s="10"/>
      <c r="O1455" s="2">
        <v>7</v>
      </c>
      <c r="P1455" s="17">
        <f>98*(1-S3/100)</f>
        <v>98</v>
      </c>
      <c r="Q1455" s="18"/>
      <c r="R1455" s="10">
        <f>P1455*Q1455</f>
        <v>0</v>
      </c>
      <c r="S1455" s="28">
        <f>0.16*Q1455</f>
        <v>0</v>
      </c>
      <c r="T1455" s="20">
        <f>0.00022*Q1455</f>
        <v>0</v>
      </c>
      <c r="U1455" s="21"/>
      <c r="V1455" s="22" t="s">
        <v>6137</v>
      </c>
      <c r="W1455" s="22" t="s">
        <v>49</v>
      </c>
      <c r="X1455" s="3"/>
      <c r="Y1455" s="3"/>
      <c r="Z1455" s="3" t="s">
        <v>6138</v>
      </c>
      <c r="AA1455" s="3"/>
      <c r="AB1455" s="3"/>
      <c r="AC1455" s="3" t="str">
        <f>HYPERLINK("https://knigipp.ru/api/getInfo/image/a54bf0c5-c2da-11eb-a206-ac1f6b442185")</f>
        <v>https://knigipp.ru/api/getInfo/image/a54bf0c5-c2da-11eb-a206-ac1f6b442185</v>
      </c>
      <c r="AD1455" s="32">
        <v>48</v>
      </c>
      <c r="AE1455" s="3"/>
      <c r="AF1455" s="3" t="s">
        <v>55</v>
      </c>
      <c r="AG1455" s="3"/>
      <c r="AH1455" s="3" t="s">
        <v>56</v>
      </c>
      <c r="AI1455" s="3"/>
      <c r="AJ1455" s="3"/>
      <c r="AK1455" s="3" t="str">
        <f>HYPERLINK("https://knigipp.ru/api/getInfo/item/a54bf0c5-c2da-11eb-a206-ac1f6b442185")</f>
        <v>https://knigipp.ru/api/getInfo/item/a54bf0c5-c2da-11eb-a206-ac1f6b442185</v>
      </c>
      <c r="AL1455" s="3" t="s">
        <v>6128</v>
      </c>
    </row>
    <row r="1456" spans="1:38" ht="23.1" customHeight="1" outlineLevel="3" x14ac:dyDescent="0.2">
      <c r="A1456" s="48" t="s">
        <v>6139</v>
      </c>
      <c r="B1456" s="48"/>
      <c r="C1456" s="48"/>
      <c r="D1456" s="48"/>
      <c r="E1456" s="48"/>
      <c r="F1456" s="48"/>
    </row>
    <row r="1457" spans="1:38" ht="21" customHeight="1" outlineLevel="4" x14ac:dyDescent="0.2">
      <c r="A1457" s="39">
        <v>1092</v>
      </c>
      <c r="B1457" s="3" t="s">
        <v>6140</v>
      </c>
      <c r="C1457" s="49" t="s">
        <v>6141</v>
      </c>
      <c r="D1457" s="49"/>
      <c r="E1457" s="49"/>
      <c r="F1457" s="49"/>
      <c r="G1457" s="4" t="s">
        <v>6142</v>
      </c>
      <c r="H1457" s="8"/>
      <c r="I1457" s="9" t="s">
        <v>6143</v>
      </c>
      <c r="J1457" s="10"/>
      <c r="K1457" s="11">
        <v>50</v>
      </c>
      <c r="L1457" s="10"/>
      <c r="M1457" s="10" t="s">
        <v>78</v>
      </c>
      <c r="N1457" s="10"/>
      <c r="O1457" s="2">
        <v>7</v>
      </c>
      <c r="P1457" s="17">
        <f>99*(1-S3/100)</f>
        <v>99</v>
      </c>
      <c r="Q1457" s="18"/>
      <c r="R1457" s="10">
        <f>P1457*Q1457</f>
        <v>0</v>
      </c>
      <c r="S1457" s="19">
        <f>0.077*Q1457</f>
        <v>0</v>
      </c>
      <c r="T1457" s="20">
        <f>0.00029*Q1457</f>
        <v>0</v>
      </c>
      <c r="U1457" s="21"/>
      <c r="V1457" s="22" t="s">
        <v>6144</v>
      </c>
      <c r="W1457" s="22" t="s">
        <v>49</v>
      </c>
      <c r="X1457" s="3"/>
      <c r="Y1457" s="3" t="s">
        <v>6145</v>
      </c>
      <c r="Z1457" s="3" t="s">
        <v>52</v>
      </c>
      <c r="AA1457" s="3"/>
      <c r="AB1457" s="3"/>
      <c r="AC1457" s="3" t="str">
        <f>HYPERLINK("https://knigipp.ru/api/getInfo/image/b0b2fa03-5346-11ec-a20f-ac1f6b442185")</f>
        <v>https://knigipp.ru/api/getInfo/image/b0b2fa03-5346-11ec-a20f-ac1f6b442185</v>
      </c>
      <c r="AD1457" s="32">
        <v>32</v>
      </c>
      <c r="AE1457" s="3"/>
      <c r="AF1457" s="3" t="s">
        <v>136</v>
      </c>
      <c r="AG1457" s="3"/>
      <c r="AH1457" s="3" t="s">
        <v>56</v>
      </c>
      <c r="AI1457" s="3"/>
      <c r="AJ1457" s="3"/>
      <c r="AK1457" s="3" t="str">
        <f>HYPERLINK("https://knigipp.ru/api/getInfo/item/b0b2fa03-5346-11ec-a20f-ac1f6b442185")</f>
        <v>https://knigipp.ru/api/getInfo/item/b0b2fa03-5346-11ec-a20f-ac1f6b442185</v>
      </c>
      <c r="AL1457" s="3" t="s">
        <v>6146</v>
      </c>
    </row>
    <row r="1458" spans="1:38" ht="23.1" customHeight="1" outlineLevel="3" x14ac:dyDescent="0.2">
      <c r="A1458" s="48" t="s">
        <v>6147</v>
      </c>
      <c r="B1458" s="48"/>
      <c r="C1458" s="48"/>
      <c r="D1458" s="48"/>
      <c r="E1458" s="48"/>
      <c r="F1458" s="48"/>
    </row>
    <row r="1459" spans="1:38" ht="21" customHeight="1" outlineLevel="4" x14ac:dyDescent="0.2">
      <c r="A1459" s="39">
        <v>1093</v>
      </c>
      <c r="B1459" s="3" t="s">
        <v>6148</v>
      </c>
      <c r="C1459" s="49" t="s">
        <v>6149</v>
      </c>
      <c r="D1459" s="49"/>
      <c r="E1459" s="49"/>
      <c r="F1459" s="49"/>
      <c r="G1459" s="4" t="s">
        <v>6150</v>
      </c>
      <c r="H1459" s="8"/>
      <c r="I1459" s="9" t="s">
        <v>6151</v>
      </c>
      <c r="J1459" s="10"/>
      <c r="K1459" s="11">
        <v>100</v>
      </c>
      <c r="L1459" s="11">
        <v>10</v>
      </c>
      <c r="M1459" s="10" t="s">
        <v>304</v>
      </c>
      <c r="N1459" s="10"/>
      <c r="O1459" s="2">
        <v>40</v>
      </c>
      <c r="P1459" s="17">
        <f>14.9*(1-S3/100)</f>
        <v>14.9</v>
      </c>
      <c r="Q1459" s="18"/>
      <c r="R1459" s="10">
        <f>P1459*Q1459</f>
        <v>0</v>
      </c>
      <c r="S1459" s="19">
        <f>0.018*Q1459</f>
        <v>0</v>
      </c>
      <c r="T1459" s="20">
        <f>0.00002*Q1459</f>
        <v>0</v>
      </c>
      <c r="U1459" s="21"/>
      <c r="V1459" s="22" t="s">
        <v>6152</v>
      </c>
      <c r="W1459" s="22" t="s">
        <v>49</v>
      </c>
      <c r="X1459" s="3"/>
      <c r="Y1459" s="3"/>
      <c r="Z1459" s="3"/>
      <c r="AA1459" s="3" t="s">
        <v>6153</v>
      </c>
      <c r="AB1459" s="3"/>
      <c r="AC1459" s="3" t="str">
        <f>HYPERLINK("https://knigipp.ru/api/getInfo/image/8d852c4a-ccf9-11e6-a6d3-5cf3fc4a2490")</f>
        <v>https://knigipp.ru/api/getInfo/image/8d852c4a-ccf9-11e6-a6d3-5cf3fc4a2490</v>
      </c>
      <c r="AD1459" s="3"/>
      <c r="AE1459" s="3"/>
      <c r="AF1459" s="3"/>
      <c r="AG1459" s="3"/>
      <c r="AH1459" s="3" t="s">
        <v>56</v>
      </c>
      <c r="AI1459" s="3"/>
      <c r="AJ1459" s="3" t="s">
        <v>6154</v>
      </c>
      <c r="AK1459" s="3" t="str">
        <f>HYPERLINK("https://knigipp.ru/api/getInfo/item/8d852c4a-ccf9-11e6-a6d3-5cf3fc4a2490")</f>
        <v>https://knigipp.ru/api/getInfo/item/8d852c4a-ccf9-11e6-a6d3-5cf3fc4a2490</v>
      </c>
      <c r="AL1459" s="3" t="s">
        <v>6155</v>
      </c>
    </row>
    <row r="1460" spans="1:38" ht="21" customHeight="1" outlineLevel="4" x14ac:dyDescent="0.2">
      <c r="A1460" s="39">
        <v>1094</v>
      </c>
      <c r="B1460" s="3" t="s">
        <v>6156</v>
      </c>
      <c r="C1460" s="49" t="s">
        <v>6157</v>
      </c>
      <c r="D1460" s="49"/>
      <c r="E1460" s="49"/>
      <c r="F1460" s="49"/>
      <c r="G1460" s="4" t="s">
        <v>6158</v>
      </c>
      <c r="H1460" s="8"/>
      <c r="I1460" s="9" t="s">
        <v>6151</v>
      </c>
      <c r="J1460" s="10"/>
      <c r="K1460" s="11">
        <v>100</v>
      </c>
      <c r="L1460" s="11">
        <v>10</v>
      </c>
      <c r="M1460" s="10" t="s">
        <v>304</v>
      </c>
      <c r="N1460" s="10"/>
      <c r="O1460" s="2">
        <v>40</v>
      </c>
      <c r="P1460" s="17">
        <f>14.9*(1-S3/100)</f>
        <v>14.9</v>
      </c>
      <c r="Q1460" s="18"/>
      <c r="R1460" s="10">
        <f>P1460*Q1460</f>
        <v>0</v>
      </c>
      <c r="S1460" s="19">
        <f>0.011*Q1460</f>
        <v>0</v>
      </c>
      <c r="T1460" s="20">
        <f>0.00038*Q1460</f>
        <v>0</v>
      </c>
      <c r="U1460" s="21"/>
      <c r="V1460" s="22" t="s">
        <v>6159</v>
      </c>
      <c r="W1460" s="22" t="s">
        <v>49</v>
      </c>
      <c r="X1460" s="3"/>
      <c r="Y1460" s="3"/>
      <c r="Z1460" s="3"/>
      <c r="AA1460" s="3" t="s">
        <v>6160</v>
      </c>
      <c r="AB1460" s="3"/>
      <c r="AC1460" s="3" t="str">
        <f>HYPERLINK("https://knigipp.ru/api/getInfo/image/eea46005-afea-11e7-b8ef-5cf3fc4a2490")</f>
        <v>https://knigipp.ru/api/getInfo/image/eea46005-afea-11e7-b8ef-5cf3fc4a2490</v>
      </c>
      <c r="AD1460" s="3"/>
      <c r="AE1460" s="3"/>
      <c r="AF1460" s="3"/>
      <c r="AG1460" s="3"/>
      <c r="AH1460" s="3" t="s">
        <v>56</v>
      </c>
      <c r="AI1460" s="3"/>
      <c r="AJ1460" s="3"/>
      <c r="AK1460" s="3" t="str">
        <f>HYPERLINK("https://knigipp.ru/api/getInfo/item/eea46005-afea-11e7-b8ef-5cf3fc4a2490")</f>
        <v>https://knigipp.ru/api/getInfo/item/eea46005-afea-11e7-b8ef-5cf3fc4a2490</v>
      </c>
      <c r="AL1460" s="3" t="s">
        <v>6155</v>
      </c>
    </row>
    <row r="1461" spans="1:38" ht="23.1" customHeight="1" outlineLevel="2" x14ac:dyDescent="0.2">
      <c r="A1461" s="47" t="s">
        <v>6161</v>
      </c>
      <c r="B1461" s="47"/>
      <c r="C1461" s="47"/>
      <c r="D1461" s="47"/>
      <c r="E1461" s="47"/>
      <c r="F1461" s="47"/>
    </row>
    <row r="1462" spans="1:38" ht="23.1" customHeight="1" outlineLevel="3" x14ac:dyDescent="0.2">
      <c r="A1462" s="48" t="s">
        <v>6162</v>
      </c>
      <c r="B1462" s="48"/>
      <c r="C1462" s="48"/>
      <c r="D1462" s="48"/>
      <c r="E1462" s="48"/>
      <c r="F1462" s="48"/>
    </row>
    <row r="1463" spans="1:38" ht="23.1" customHeight="1" outlineLevel="4" x14ac:dyDescent="0.2">
      <c r="A1463" s="55" t="s">
        <v>6163</v>
      </c>
      <c r="B1463" s="55"/>
      <c r="C1463" s="55"/>
      <c r="D1463" s="55"/>
      <c r="E1463" s="55"/>
      <c r="F1463" s="55"/>
    </row>
    <row r="1464" spans="1:38" ht="21" customHeight="1" outlineLevel="5" x14ac:dyDescent="0.2">
      <c r="A1464" s="40">
        <v>1095</v>
      </c>
      <c r="B1464" s="6" t="s">
        <v>6164</v>
      </c>
      <c r="C1464" s="54" t="s">
        <v>6165</v>
      </c>
      <c r="D1464" s="54"/>
      <c r="E1464" s="54"/>
      <c r="F1464" s="54"/>
      <c r="G1464" s="7" t="s">
        <v>6166</v>
      </c>
      <c r="H1464" s="12"/>
      <c r="I1464" s="13" t="s">
        <v>6167</v>
      </c>
      <c r="J1464" s="14"/>
      <c r="K1464" s="15">
        <v>10</v>
      </c>
      <c r="L1464" s="14"/>
      <c r="M1464" s="14" t="s">
        <v>47</v>
      </c>
      <c r="N1464" s="14"/>
      <c r="O1464" s="5">
        <v>1</v>
      </c>
      <c r="P1464" s="37">
        <f>1577*(1-S3/100)</f>
        <v>1577</v>
      </c>
      <c r="Q1464" s="18"/>
      <c r="R1464" s="14">
        <f>P1464*Q1464</f>
        <v>0</v>
      </c>
      <c r="S1464" s="24">
        <f>0.584*Q1464</f>
        <v>0</v>
      </c>
      <c r="T1464" s="25">
        <f>0.00076*Q1464</f>
        <v>0</v>
      </c>
      <c r="U1464" s="26" t="s">
        <v>62</v>
      </c>
      <c r="V1464" s="27" t="s">
        <v>6168</v>
      </c>
      <c r="W1464" s="27" t="s">
        <v>49</v>
      </c>
      <c r="X1464" s="6"/>
      <c r="Y1464" s="6" t="s">
        <v>6169</v>
      </c>
      <c r="Z1464" s="6" t="s">
        <v>52</v>
      </c>
      <c r="AA1464" s="6"/>
      <c r="AB1464" s="6"/>
      <c r="AC1464" s="6" t="str">
        <f>HYPERLINK("https://knigipp.ru/api/getInfo/image/f2c6a233-68c2-11f1-a29a-00155d82e908")</f>
        <v>https://knigipp.ru/api/getInfo/image/f2c6a233-68c2-11f1-a29a-00155d82e908</v>
      </c>
      <c r="AD1464" s="33">
        <v>80</v>
      </c>
      <c r="AE1464" s="6" t="s">
        <v>65</v>
      </c>
      <c r="AF1464" s="6" t="s">
        <v>127</v>
      </c>
      <c r="AG1464" s="6"/>
      <c r="AH1464" s="6" t="s">
        <v>56</v>
      </c>
      <c r="AI1464" s="6"/>
      <c r="AJ1464" s="6"/>
      <c r="AK1464" s="6" t="str">
        <f>HYPERLINK("https://knigipp.ru/api/getInfo/item/f2c6a233-68c2-11f1-a29a-00155d82e908")</f>
        <v>https://knigipp.ru/api/getInfo/item/f2c6a233-68c2-11f1-a29a-00155d82e908</v>
      </c>
      <c r="AL1464" s="6" t="s">
        <v>6170</v>
      </c>
    </row>
    <row r="1465" spans="1:38" ht="21" customHeight="1" outlineLevel="5" x14ac:dyDescent="0.2">
      <c r="A1465" s="40">
        <v>1096</v>
      </c>
      <c r="B1465" s="6" t="s">
        <v>6171</v>
      </c>
      <c r="C1465" s="54" t="s">
        <v>6172</v>
      </c>
      <c r="D1465" s="54"/>
      <c r="E1465" s="54"/>
      <c r="F1465" s="54"/>
      <c r="G1465" s="7" t="s">
        <v>6173</v>
      </c>
      <c r="H1465" s="12"/>
      <c r="I1465" s="13" t="s">
        <v>6174</v>
      </c>
      <c r="J1465" s="14"/>
      <c r="K1465" s="15">
        <v>10</v>
      </c>
      <c r="L1465" s="14"/>
      <c r="M1465" s="14" t="s">
        <v>47</v>
      </c>
      <c r="N1465" s="14"/>
      <c r="O1465" s="5">
        <v>1</v>
      </c>
      <c r="P1465" s="37">
        <f>1577*(1-S3/100)</f>
        <v>1577</v>
      </c>
      <c r="Q1465" s="18"/>
      <c r="R1465" s="14">
        <f>P1465*Q1465</f>
        <v>0</v>
      </c>
      <c r="S1465" s="36">
        <f>0.59*Q1465</f>
        <v>0</v>
      </c>
      <c r="T1465" s="25">
        <f>0.00069*Q1465</f>
        <v>0</v>
      </c>
      <c r="U1465" s="26" t="s">
        <v>62</v>
      </c>
      <c r="V1465" s="27" t="s">
        <v>6175</v>
      </c>
      <c r="W1465" s="27" t="s">
        <v>49</v>
      </c>
      <c r="X1465" s="6"/>
      <c r="Y1465" s="6" t="s">
        <v>6176</v>
      </c>
      <c r="Z1465" s="6" t="s">
        <v>52</v>
      </c>
      <c r="AA1465" s="6"/>
      <c r="AB1465" s="6"/>
      <c r="AC1465" s="6" t="str">
        <f>HYPERLINK("https://knigipp.ru/api/getInfo/image/b78c0608-68c2-11f1-a29a-00155d82e908")</f>
        <v>https://knigipp.ru/api/getInfo/image/b78c0608-68c2-11f1-a29a-00155d82e908</v>
      </c>
      <c r="AD1465" s="33">
        <v>80</v>
      </c>
      <c r="AE1465" s="6" t="s">
        <v>65</v>
      </c>
      <c r="AF1465" s="6" t="s">
        <v>127</v>
      </c>
      <c r="AG1465" s="6"/>
      <c r="AH1465" s="6" t="s">
        <v>56</v>
      </c>
      <c r="AI1465" s="6"/>
      <c r="AJ1465" s="6"/>
      <c r="AK1465" s="6" t="str">
        <f>HYPERLINK("https://knigipp.ru/api/getInfo/item/b78c0608-68c2-11f1-a29a-00155d82e908")</f>
        <v>https://knigipp.ru/api/getInfo/item/b78c0608-68c2-11f1-a29a-00155d82e908</v>
      </c>
      <c r="AL1465" s="6" t="s">
        <v>6170</v>
      </c>
    </row>
    <row r="1466" spans="1:38" ht="23.1" customHeight="1" outlineLevel="4" x14ac:dyDescent="0.2">
      <c r="A1466" s="55" t="s">
        <v>6177</v>
      </c>
      <c r="B1466" s="55"/>
      <c r="C1466" s="55"/>
      <c r="D1466" s="55"/>
      <c r="E1466" s="55"/>
      <c r="F1466" s="55"/>
    </row>
    <row r="1467" spans="1:38" ht="21" customHeight="1" outlineLevel="5" x14ac:dyDescent="0.2">
      <c r="A1467" s="40">
        <v>1097</v>
      </c>
      <c r="B1467" s="6" t="s">
        <v>6178</v>
      </c>
      <c r="C1467" s="54" t="s">
        <v>6179</v>
      </c>
      <c r="D1467" s="54"/>
      <c r="E1467" s="54"/>
      <c r="F1467" s="54"/>
      <c r="G1467" s="7" t="s">
        <v>6180</v>
      </c>
      <c r="H1467" s="12"/>
      <c r="I1467" s="13" t="s">
        <v>6181</v>
      </c>
      <c r="J1467" s="14"/>
      <c r="K1467" s="15">
        <v>20</v>
      </c>
      <c r="L1467" s="14"/>
      <c r="M1467" s="14" t="s">
        <v>47</v>
      </c>
      <c r="N1467" s="14"/>
      <c r="O1467" s="5">
        <v>1</v>
      </c>
      <c r="P1467" s="37">
        <f>1497*(1-S3/100)</f>
        <v>1497</v>
      </c>
      <c r="Q1467" s="18"/>
      <c r="R1467" s="14">
        <f>P1467*Q1467</f>
        <v>0</v>
      </c>
      <c r="S1467" s="24">
        <f>0.588*Q1467</f>
        <v>0</v>
      </c>
      <c r="T1467" s="25">
        <f>0.00071*Q1467</f>
        <v>0</v>
      </c>
      <c r="U1467" s="26" t="s">
        <v>62</v>
      </c>
      <c r="V1467" s="27" t="s">
        <v>6182</v>
      </c>
      <c r="W1467" s="27" t="s">
        <v>49</v>
      </c>
      <c r="X1467" s="6"/>
      <c r="Y1467" s="6" t="s">
        <v>6183</v>
      </c>
      <c r="Z1467" s="6" t="s">
        <v>52</v>
      </c>
      <c r="AA1467" s="6"/>
      <c r="AB1467" s="6"/>
      <c r="AC1467" s="6" t="str">
        <f>HYPERLINK("https://knigipp.ru/api/getInfo/image/012e898d-2cc1-11f1-a292-00155d82e908")</f>
        <v>https://knigipp.ru/api/getInfo/image/012e898d-2cc1-11f1-a292-00155d82e908</v>
      </c>
      <c r="AD1467" s="33">
        <v>112</v>
      </c>
      <c r="AE1467" s="6" t="s">
        <v>54</v>
      </c>
      <c r="AF1467" s="6" t="s">
        <v>55</v>
      </c>
      <c r="AG1467" s="6"/>
      <c r="AH1467" s="6" t="s">
        <v>56</v>
      </c>
      <c r="AI1467" s="6"/>
      <c r="AJ1467" s="6"/>
      <c r="AK1467" s="6" t="str">
        <f>HYPERLINK("https://knigipp.ru/api/getInfo/item/012e898d-2cc1-11f1-a292-00155d82e908")</f>
        <v>https://knigipp.ru/api/getInfo/item/012e898d-2cc1-11f1-a292-00155d82e908</v>
      </c>
      <c r="AL1467" s="6" t="s">
        <v>6184</v>
      </c>
    </row>
    <row r="1468" spans="1:38" ht="23.1" customHeight="1" outlineLevel="4" x14ac:dyDescent="0.2">
      <c r="A1468" s="55" t="s">
        <v>6185</v>
      </c>
      <c r="B1468" s="55"/>
      <c r="C1468" s="55"/>
      <c r="D1468" s="55"/>
      <c r="E1468" s="55"/>
      <c r="F1468" s="55"/>
    </row>
    <row r="1469" spans="1:38" ht="21" customHeight="1" outlineLevel="5" x14ac:dyDescent="0.2">
      <c r="A1469" s="40">
        <v>1098</v>
      </c>
      <c r="B1469" s="6" t="s">
        <v>6186</v>
      </c>
      <c r="C1469" s="54" t="s">
        <v>6187</v>
      </c>
      <c r="D1469" s="54"/>
      <c r="E1469" s="54"/>
      <c r="F1469" s="54"/>
      <c r="G1469" s="7" t="s">
        <v>6188</v>
      </c>
      <c r="H1469" s="12"/>
      <c r="I1469" s="13" t="s">
        <v>6189</v>
      </c>
      <c r="J1469" s="14"/>
      <c r="K1469" s="15">
        <v>20</v>
      </c>
      <c r="L1469" s="14"/>
      <c r="M1469" s="14" t="s">
        <v>47</v>
      </c>
      <c r="N1469" s="14"/>
      <c r="O1469" s="5">
        <v>1</v>
      </c>
      <c r="P1469" s="23">
        <f>499*(1-S3/100)</f>
        <v>499</v>
      </c>
      <c r="Q1469" s="18"/>
      <c r="R1469" s="14">
        <f t="shared" ref="R1469:R1476" si="57">P1469*Q1469</f>
        <v>0</v>
      </c>
      <c r="S1469" s="24">
        <f>0.166*Q1469</f>
        <v>0</v>
      </c>
      <c r="T1469" s="25">
        <f>0.00025*Q1469</f>
        <v>0</v>
      </c>
      <c r="U1469" s="26" t="s">
        <v>62</v>
      </c>
      <c r="V1469" s="27" t="s">
        <v>6190</v>
      </c>
      <c r="W1469" s="27" t="s">
        <v>49</v>
      </c>
      <c r="X1469" s="6"/>
      <c r="Y1469" s="6"/>
      <c r="Z1469" s="6" t="s">
        <v>384</v>
      </c>
      <c r="AA1469" s="6"/>
      <c r="AB1469" s="6"/>
      <c r="AC1469" s="6" t="str">
        <f>HYPERLINK("https://knigipp.ru/api/getInfo/image/139c945b-68c0-11f1-a29a-00155d82e908")</f>
        <v>https://knigipp.ru/api/getInfo/image/139c945b-68c0-11f1-a29a-00155d82e908</v>
      </c>
      <c r="AD1469" s="33">
        <v>32</v>
      </c>
      <c r="AE1469" s="6" t="s">
        <v>54</v>
      </c>
      <c r="AF1469" s="6" t="s">
        <v>55</v>
      </c>
      <c r="AG1469" s="6"/>
      <c r="AH1469" s="6"/>
      <c r="AI1469" s="6"/>
      <c r="AJ1469" s="6"/>
      <c r="AK1469" s="6" t="str">
        <f>HYPERLINK("https://knigipp.ru/api/getInfo/item/139c945b-68c0-11f1-a29a-00155d82e908")</f>
        <v>https://knigipp.ru/api/getInfo/item/139c945b-68c0-11f1-a29a-00155d82e908</v>
      </c>
      <c r="AL1469" s="6" t="s">
        <v>6191</v>
      </c>
    </row>
    <row r="1470" spans="1:38" ht="21" customHeight="1" outlineLevel="5" x14ac:dyDescent="0.2">
      <c r="A1470" s="40">
        <v>1099</v>
      </c>
      <c r="B1470" s="6" t="s">
        <v>6192</v>
      </c>
      <c r="C1470" s="54" t="s">
        <v>6193</v>
      </c>
      <c r="D1470" s="54"/>
      <c r="E1470" s="54"/>
      <c r="F1470" s="54"/>
      <c r="G1470" s="7" t="s">
        <v>6194</v>
      </c>
      <c r="H1470" s="12"/>
      <c r="I1470" s="13" t="s">
        <v>6189</v>
      </c>
      <c r="J1470" s="14"/>
      <c r="K1470" s="15">
        <v>20</v>
      </c>
      <c r="L1470" s="14"/>
      <c r="M1470" s="14" t="s">
        <v>47</v>
      </c>
      <c r="N1470" s="14"/>
      <c r="O1470" s="5">
        <v>1</v>
      </c>
      <c r="P1470" s="23">
        <f>499*(1-S3/100)</f>
        <v>499</v>
      </c>
      <c r="Q1470" s="18"/>
      <c r="R1470" s="14">
        <f t="shared" si="57"/>
        <v>0</v>
      </c>
      <c r="S1470" s="24">
        <f>0.166*Q1470</f>
        <v>0</v>
      </c>
      <c r="T1470" s="25">
        <f>0.00032*Q1470</f>
        <v>0</v>
      </c>
      <c r="U1470" s="26" t="s">
        <v>62</v>
      </c>
      <c r="V1470" s="27" t="s">
        <v>6195</v>
      </c>
      <c r="W1470" s="27" t="s">
        <v>49</v>
      </c>
      <c r="X1470" s="6"/>
      <c r="Y1470" s="6"/>
      <c r="Z1470" s="6" t="s">
        <v>384</v>
      </c>
      <c r="AA1470" s="6"/>
      <c r="AB1470" s="6"/>
      <c r="AC1470" s="6" t="str">
        <f>HYPERLINK("https://knigipp.ru/api/getInfo/image/e3691353-68bf-11f1-a29a-00155d82e908")</f>
        <v>https://knigipp.ru/api/getInfo/image/e3691353-68bf-11f1-a29a-00155d82e908</v>
      </c>
      <c r="AD1470" s="33">
        <v>32</v>
      </c>
      <c r="AE1470" s="6" t="s">
        <v>54</v>
      </c>
      <c r="AF1470" s="6" t="s">
        <v>55</v>
      </c>
      <c r="AG1470" s="6"/>
      <c r="AH1470" s="6"/>
      <c r="AI1470" s="6"/>
      <c r="AJ1470" s="6"/>
      <c r="AK1470" s="6" t="str">
        <f>HYPERLINK("https://knigipp.ru/api/getInfo/item/e3691353-68bf-11f1-a29a-00155d82e908")</f>
        <v>https://knigipp.ru/api/getInfo/item/e3691353-68bf-11f1-a29a-00155d82e908</v>
      </c>
      <c r="AL1470" s="6" t="s">
        <v>6191</v>
      </c>
    </row>
    <row r="1471" spans="1:38" ht="21" customHeight="1" outlineLevel="5" x14ac:dyDescent="0.2">
      <c r="A1471" s="40">
        <v>1100</v>
      </c>
      <c r="B1471" s="6" t="s">
        <v>6196</v>
      </c>
      <c r="C1471" s="54" t="s">
        <v>6197</v>
      </c>
      <c r="D1471" s="54"/>
      <c r="E1471" s="54"/>
      <c r="F1471" s="54"/>
      <c r="G1471" s="7" t="s">
        <v>6198</v>
      </c>
      <c r="H1471" s="12"/>
      <c r="I1471" s="13" t="s">
        <v>6199</v>
      </c>
      <c r="J1471" s="14"/>
      <c r="K1471" s="15">
        <v>20</v>
      </c>
      <c r="L1471" s="14"/>
      <c r="M1471" s="14" t="s">
        <v>47</v>
      </c>
      <c r="N1471" s="14"/>
      <c r="O1471" s="5">
        <v>1</v>
      </c>
      <c r="P1471" s="23">
        <f>499*(1-S3/100)</f>
        <v>499</v>
      </c>
      <c r="Q1471" s="18"/>
      <c r="R1471" s="14">
        <f t="shared" si="57"/>
        <v>0</v>
      </c>
      <c r="S1471" s="24">
        <f>0.165*Q1471</f>
        <v>0</v>
      </c>
      <c r="T1471" s="25">
        <f>0.00031*Q1471</f>
        <v>0</v>
      </c>
      <c r="U1471" s="26" t="s">
        <v>62</v>
      </c>
      <c r="V1471" s="27" t="s">
        <v>6200</v>
      </c>
      <c r="W1471" s="27" t="s">
        <v>49</v>
      </c>
      <c r="X1471" s="6"/>
      <c r="Y1471" s="6"/>
      <c r="Z1471" s="6" t="s">
        <v>384</v>
      </c>
      <c r="AA1471" s="6"/>
      <c r="AB1471" s="6"/>
      <c r="AC1471" s="6" t="str">
        <f>HYPERLINK("https://knigipp.ru/api/getInfo/image/82257da2-68c0-11f1-a29a-00155d82e908")</f>
        <v>https://knigipp.ru/api/getInfo/image/82257da2-68c0-11f1-a29a-00155d82e908</v>
      </c>
      <c r="AD1471" s="33">
        <v>32</v>
      </c>
      <c r="AE1471" s="6" t="s">
        <v>54</v>
      </c>
      <c r="AF1471" s="6" t="s">
        <v>55</v>
      </c>
      <c r="AG1471" s="6"/>
      <c r="AH1471" s="6"/>
      <c r="AI1471" s="6"/>
      <c r="AJ1471" s="6"/>
      <c r="AK1471" s="6" t="str">
        <f>HYPERLINK("https://knigipp.ru/api/getInfo/item/82257da2-68c0-11f1-a29a-00155d82e908")</f>
        <v>https://knigipp.ru/api/getInfo/item/82257da2-68c0-11f1-a29a-00155d82e908</v>
      </c>
      <c r="AL1471" s="6" t="s">
        <v>6191</v>
      </c>
    </row>
    <row r="1472" spans="1:38" ht="21" customHeight="1" outlineLevel="5" x14ac:dyDescent="0.2">
      <c r="A1472" s="40">
        <v>1101</v>
      </c>
      <c r="B1472" s="6" t="s">
        <v>6201</v>
      </c>
      <c r="C1472" s="54" t="s">
        <v>6202</v>
      </c>
      <c r="D1472" s="54"/>
      <c r="E1472" s="54"/>
      <c r="F1472" s="54"/>
      <c r="G1472" s="7" t="s">
        <v>6203</v>
      </c>
      <c r="H1472" s="12"/>
      <c r="I1472" s="13" t="s">
        <v>6199</v>
      </c>
      <c r="J1472" s="14"/>
      <c r="K1472" s="15">
        <v>20</v>
      </c>
      <c r="L1472" s="14"/>
      <c r="M1472" s="14" t="s">
        <v>47</v>
      </c>
      <c r="N1472" s="14"/>
      <c r="O1472" s="5">
        <v>1</v>
      </c>
      <c r="P1472" s="23">
        <f>499*(1-S3/100)</f>
        <v>499</v>
      </c>
      <c r="Q1472" s="18"/>
      <c r="R1472" s="14">
        <f t="shared" si="57"/>
        <v>0</v>
      </c>
      <c r="S1472" s="36">
        <f>0.17*Q1472</f>
        <v>0</v>
      </c>
      <c r="T1472" s="25">
        <f>0.00031*Q1472</f>
        <v>0</v>
      </c>
      <c r="U1472" s="26" t="s">
        <v>62</v>
      </c>
      <c r="V1472" s="27" t="s">
        <v>6204</v>
      </c>
      <c r="W1472" s="27" t="s">
        <v>49</v>
      </c>
      <c r="X1472" s="6"/>
      <c r="Y1472" s="6"/>
      <c r="Z1472" s="6" t="s">
        <v>384</v>
      </c>
      <c r="AA1472" s="6"/>
      <c r="AB1472" s="6"/>
      <c r="AC1472" s="6" t="str">
        <f>HYPERLINK("https://knigipp.ru/api/getInfo/image/575eca0d-68c0-11f1-a29a-00155d82e908")</f>
        <v>https://knigipp.ru/api/getInfo/image/575eca0d-68c0-11f1-a29a-00155d82e908</v>
      </c>
      <c r="AD1472" s="33">
        <v>32</v>
      </c>
      <c r="AE1472" s="6" t="s">
        <v>54</v>
      </c>
      <c r="AF1472" s="6" t="s">
        <v>55</v>
      </c>
      <c r="AG1472" s="6"/>
      <c r="AH1472" s="6"/>
      <c r="AI1472" s="6"/>
      <c r="AJ1472" s="6"/>
      <c r="AK1472" s="6" t="str">
        <f>HYPERLINK("https://knigipp.ru/api/getInfo/item/575eca0d-68c0-11f1-a29a-00155d82e908")</f>
        <v>https://knigipp.ru/api/getInfo/item/575eca0d-68c0-11f1-a29a-00155d82e908</v>
      </c>
      <c r="AL1472" s="6" t="s">
        <v>6191</v>
      </c>
    </row>
    <row r="1473" spans="1:38" ht="21" customHeight="1" outlineLevel="5" x14ac:dyDescent="0.2">
      <c r="A1473" s="40">
        <v>1102</v>
      </c>
      <c r="B1473" s="6" t="s">
        <v>6205</v>
      </c>
      <c r="C1473" s="54" t="s">
        <v>6206</v>
      </c>
      <c r="D1473" s="54"/>
      <c r="E1473" s="54"/>
      <c r="F1473" s="54"/>
      <c r="G1473" s="7" t="s">
        <v>6207</v>
      </c>
      <c r="H1473" s="12"/>
      <c r="I1473" s="13" t="s">
        <v>6208</v>
      </c>
      <c r="J1473" s="14"/>
      <c r="K1473" s="15">
        <v>65</v>
      </c>
      <c r="L1473" s="14"/>
      <c r="M1473" s="14" t="s">
        <v>47</v>
      </c>
      <c r="N1473" s="14"/>
      <c r="O1473" s="5">
        <v>1</v>
      </c>
      <c r="P1473" s="23">
        <f>499*(1-S3/100)</f>
        <v>499</v>
      </c>
      <c r="Q1473" s="18"/>
      <c r="R1473" s="14">
        <f t="shared" si="57"/>
        <v>0</v>
      </c>
      <c r="S1473" s="24">
        <f>0.195*Q1473</f>
        <v>0</v>
      </c>
      <c r="T1473" s="25">
        <f>0.00026*Q1473</f>
        <v>0</v>
      </c>
      <c r="U1473" s="26" t="s">
        <v>62</v>
      </c>
      <c r="V1473" s="27" t="s">
        <v>6209</v>
      </c>
      <c r="W1473" s="27" t="s">
        <v>49</v>
      </c>
      <c r="X1473" s="6"/>
      <c r="Y1473" s="6" t="s">
        <v>6210</v>
      </c>
      <c r="Z1473" s="6" t="s">
        <v>52</v>
      </c>
      <c r="AA1473" s="6"/>
      <c r="AB1473" s="6"/>
      <c r="AC1473" s="6" t="str">
        <f>HYPERLINK("https://knigipp.ru/api/getInfo/image/a635bb09-4790-11f1-a294-00155d82e908")</f>
        <v>https://knigipp.ru/api/getInfo/image/a635bb09-4790-11f1-a294-00155d82e908</v>
      </c>
      <c r="AD1473" s="33">
        <v>32</v>
      </c>
      <c r="AE1473" s="6" t="s">
        <v>54</v>
      </c>
      <c r="AF1473" s="6" t="s">
        <v>55</v>
      </c>
      <c r="AG1473" s="6"/>
      <c r="AH1473" s="6"/>
      <c r="AI1473" s="6"/>
      <c r="AJ1473" s="6"/>
      <c r="AK1473" s="6" t="str">
        <f>HYPERLINK("https://knigipp.ru/api/getInfo/item/a635bb09-4790-11f1-a294-00155d82e908")</f>
        <v>https://knigipp.ru/api/getInfo/item/a635bb09-4790-11f1-a294-00155d82e908</v>
      </c>
      <c r="AL1473" s="6" t="s">
        <v>6211</v>
      </c>
    </row>
    <row r="1474" spans="1:38" ht="21" customHeight="1" outlineLevel="5" x14ac:dyDescent="0.2">
      <c r="A1474" s="40">
        <v>1103</v>
      </c>
      <c r="B1474" s="6" t="s">
        <v>6212</v>
      </c>
      <c r="C1474" s="54" t="s">
        <v>6213</v>
      </c>
      <c r="D1474" s="54"/>
      <c r="E1474" s="54"/>
      <c r="F1474" s="54"/>
      <c r="G1474" s="7" t="s">
        <v>6214</v>
      </c>
      <c r="H1474" s="12"/>
      <c r="I1474" s="13" t="s">
        <v>6208</v>
      </c>
      <c r="J1474" s="14"/>
      <c r="K1474" s="15">
        <v>65</v>
      </c>
      <c r="L1474" s="14"/>
      <c r="M1474" s="14" t="s">
        <v>47</v>
      </c>
      <c r="N1474" s="14"/>
      <c r="O1474" s="5">
        <v>1</v>
      </c>
      <c r="P1474" s="23">
        <f>499*(1-S3/100)</f>
        <v>499</v>
      </c>
      <c r="Q1474" s="18"/>
      <c r="R1474" s="14">
        <f t="shared" si="57"/>
        <v>0</v>
      </c>
      <c r="S1474" s="36">
        <f>0.19*Q1474</f>
        <v>0</v>
      </c>
      <c r="T1474" s="25">
        <f>0.00026*Q1474</f>
        <v>0</v>
      </c>
      <c r="U1474" s="26" t="s">
        <v>62</v>
      </c>
      <c r="V1474" s="27" t="s">
        <v>6215</v>
      </c>
      <c r="W1474" s="27" t="s">
        <v>49</v>
      </c>
      <c r="X1474" s="6"/>
      <c r="Y1474" s="6" t="s">
        <v>6216</v>
      </c>
      <c r="Z1474" s="6" t="s">
        <v>52</v>
      </c>
      <c r="AA1474" s="6"/>
      <c r="AB1474" s="6"/>
      <c r="AC1474" s="6" t="str">
        <f>HYPERLINK("https://knigipp.ru/api/getInfo/image/e0060d9d-4790-11f1-a294-00155d82e908")</f>
        <v>https://knigipp.ru/api/getInfo/image/e0060d9d-4790-11f1-a294-00155d82e908</v>
      </c>
      <c r="AD1474" s="33">
        <v>32</v>
      </c>
      <c r="AE1474" s="6" t="s">
        <v>54</v>
      </c>
      <c r="AF1474" s="6" t="s">
        <v>55</v>
      </c>
      <c r="AG1474" s="6"/>
      <c r="AH1474" s="6"/>
      <c r="AI1474" s="6"/>
      <c r="AJ1474" s="6"/>
      <c r="AK1474" s="6" t="str">
        <f>HYPERLINK("https://knigipp.ru/api/getInfo/item/e0060d9d-4790-11f1-a294-00155d82e908")</f>
        <v>https://knigipp.ru/api/getInfo/item/e0060d9d-4790-11f1-a294-00155d82e908</v>
      </c>
      <c r="AL1474" s="6" t="s">
        <v>6211</v>
      </c>
    </row>
    <row r="1475" spans="1:38" ht="21" customHeight="1" outlineLevel="5" x14ac:dyDescent="0.2">
      <c r="A1475" s="40">
        <v>1104</v>
      </c>
      <c r="B1475" s="6" t="s">
        <v>6217</v>
      </c>
      <c r="C1475" s="54" t="s">
        <v>6218</v>
      </c>
      <c r="D1475" s="54"/>
      <c r="E1475" s="54"/>
      <c r="F1475" s="54"/>
      <c r="G1475" s="7" t="s">
        <v>6219</v>
      </c>
      <c r="H1475" s="12"/>
      <c r="I1475" s="13" t="s">
        <v>6208</v>
      </c>
      <c r="J1475" s="14"/>
      <c r="K1475" s="15">
        <v>65</v>
      </c>
      <c r="L1475" s="14"/>
      <c r="M1475" s="14" t="s">
        <v>47</v>
      </c>
      <c r="N1475" s="14"/>
      <c r="O1475" s="5">
        <v>1</v>
      </c>
      <c r="P1475" s="23">
        <f>499*(1-S3/100)</f>
        <v>499</v>
      </c>
      <c r="Q1475" s="18"/>
      <c r="R1475" s="14">
        <f t="shared" si="57"/>
        <v>0</v>
      </c>
      <c r="S1475" s="36">
        <f>0.19*Q1475</f>
        <v>0</v>
      </c>
      <c r="T1475" s="25">
        <f>0.00026*Q1475</f>
        <v>0</v>
      </c>
      <c r="U1475" s="26" t="s">
        <v>62</v>
      </c>
      <c r="V1475" s="27" t="s">
        <v>6220</v>
      </c>
      <c r="W1475" s="27" t="s">
        <v>49</v>
      </c>
      <c r="X1475" s="6"/>
      <c r="Y1475" s="6" t="s">
        <v>6221</v>
      </c>
      <c r="Z1475" s="6" t="s">
        <v>52</v>
      </c>
      <c r="AA1475" s="6"/>
      <c r="AB1475" s="6"/>
      <c r="AC1475" s="6" t="str">
        <f>HYPERLINK("https://knigipp.ru/api/getInfo/image/3b735543-4791-11f1-a294-00155d82e908")</f>
        <v>https://knigipp.ru/api/getInfo/image/3b735543-4791-11f1-a294-00155d82e908</v>
      </c>
      <c r="AD1475" s="33">
        <v>32</v>
      </c>
      <c r="AE1475" s="6" t="s">
        <v>54</v>
      </c>
      <c r="AF1475" s="6" t="s">
        <v>55</v>
      </c>
      <c r="AG1475" s="6"/>
      <c r="AH1475" s="6"/>
      <c r="AI1475" s="6"/>
      <c r="AJ1475" s="6"/>
      <c r="AK1475" s="6" t="str">
        <f>HYPERLINK("https://knigipp.ru/api/getInfo/item/3b735543-4791-11f1-a294-00155d82e908")</f>
        <v>https://knigipp.ru/api/getInfo/item/3b735543-4791-11f1-a294-00155d82e908</v>
      </c>
      <c r="AL1475" s="6" t="s">
        <v>6211</v>
      </c>
    </row>
    <row r="1476" spans="1:38" ht="21" customHeight="1" outlineLevel="5" x14ac:dyDescent="0.2">
      <c r="A1476" s="40">
        <v>1105</v>
      </c>
      <c r="B1476" s="6" t="s">
        <v>6222</v>
      </c>
      <c r="C1476" s="54" t="s">
        <v>6223</v>
      </c>
      <c r="D1476" s="54"/>
      <c r="E1476" s="54"/>
      <c r="F1476" s="54"/>
      <c r="G1476" s="7" t="s">
        <v>6224</v>
      </c>
      <c r="H1476" s="12"/>
      <c r="I1476" s="13" t="s">
        <v>6208</v>
      </c>
      <c r="J1476" s="14"/>
      <c r="K1476" s="15">
        <v>65</v>
      </c>
      <c r="L1476" s="14"/>
      <c r="M1476" s="14" t="s">
        <v>47</v>
      </c>
      <c r="N1476" s="14"/>
      <c r="O1476" s="5">
        <v>1</v>
      </c>
      <c r="P1476" s="23">
        <f>499*(1-S3/100)</f>
        <v>499</v>
      </c>
      <c r="Q1476" s="18"/>
      <c r="R1476" s="14">
        <f t="shared" si="57"/>
        <v>0</v>
      </c>
      <c r="S1476" s="36">
        <f>0.19*Q1476</f>
        <v>0</v>
      </c>
      <c r="T1476" s="25">
        <f>0.00032*Q1476</f>
        <v>0</v>
      </c>
      <c r="U1476" s="26" t="s">
        <v>62</v>
      </c>
      <c r="V1476" s="27" t="s">
        <v>6225</v>
      </c>
      <c r="W1476" s="27" t="s">
        <v>49</v>
      </c>
      <c r="X1476" s="6"/>
      <c r="Y1476" s="6" t="s">
        <v>6226</v>
      </c>
      <c r="Z1476" s="6" t="s">
        <v>52</v>
      </c>
      <c r="AA1476" s="6"/>
      <c r="AB1476" s="6"/>
      <c r="AC1476" s="6" t="str">
        <f>HYPERLINK("https://knigipp.ru/api/getInfo/image/0efe0831-4791-11f1-a294-00155d82e908")</f>
        <v>https://knigipp.ru/api/getInfo/image/0efe0831-4791-11f1-a294-00155d82e908</v>
      </c>
      <c r="AD1476" s="33">
        <v>32</v>
      </c>
      <c r="AE1476" s="6" t="s">
        <v>54</v>
      </c>
      <c r="AF1476" s="6" t="s">
        <v>55</v>
      </c>
      <c r="AG1476" s="6"/>
      <c r="AH1476" s="6"/>
      <c r="AI1476" s="6"/>
      <c r="AJ1476" s="6"/>
      <c r="AK1476" s="6" t="str">
        <f>HYPERLINK("https://knigipp.ru/api/getInfo/item/0efe0831-4791-11f1-a294-00155d82e908")</f>
        <v>https://knigipp.ru/api/getInfo/item/0efe0831-4791-11f1-a294-00155d82e908</v>
      </c>
      <c r="AL1476" s="6" t="s">
        <v>6211</v>
      </c>
    </row>
    <row r="1477" spans="1:38" ht="23.1" customHeight="1" outlineLevel="4" x14ac:dyDescent="0.2">
      <c r="A1477" s="55" t="s">
        <v>6227</v>
      </c>
      <c r="B1477" s="55"/>
      <c r="C1477" s="55"/>
      <c r="D1477" s="55"/>
      <c r="E1477" s="55"/>
      <c r="F1477" s="55"/>
    </row>
    <row r="1478" spans="1:38" ht="21" customHeight="1" outlineLevel="5" x14ac:dyDescent="0.2">
      <c r="A1478" s="39">
        <v>1106</v>
      </c>
      <c r="B1478" s="3" t="s">
        <v>6228</v>
      </c>
      <c r="C1478" s="49" t="s">
        <v>6229</v>
      </c>
      <c r="D1478" s="49"/>
      <c r="E1478" s="49"/>
      <c r="F1478" s="49"/>
      <c r="G1478" s="4" t="s">
        <v>6230</v>
      </c>
      <c r="H1478" s="8"/>
      <c r="I1478" s="9" t="s">
        <v>6231</v>
      </c>
      <c r="J1478" s="10"/>
      <c r="K1478" s="11">
        <v>20</v>
      </c>
      <c r="L1478" s="10"/>
      <c r="M1478" s="10" t="s">
        <v>47</v>
      </c>
      <c r="N1478" s="10"/>
      <c r="O1478" s="2">
        <v>1</v>
      </c>
      <c r="P1478" s="29">
        <f>1497*(1-S3/100)</f>
        <v>1497</v>
      </c>
      <c r="Q1478" s="18"/>
      <c r="R1478" s="10">
        <f t="shared" ref="R1478:R1485" si="58">P1478*Q1478</f>
        <v>0</v>
      </c>
      <c r="S1478" s="19">
        <f>0.659*Q1478</f>
        <v>0</v>
      </c>
      <c r="T1478" s="20">
        <f>0.00077*Q1478</f>
        <v>0</v>
      </c>
      <c r="U1478" s="21"/>
      <c r="V1478" s="22" t="s">
        <v>6232</v>
      </c>
      <c r="W1478" s="22" t="s">
        <v>49</v>
      </c>
      <c r="X1478" s="3"/>
      <c r="Y1478" s="3" t="s">
        <v>6233</v>
      </c>
      <c r="Z1478" s="3" t="s">
        <v>52</v>
      </c>
      <c r="AA1478" s="3"/>
      <c r="AB1478" s="3"/>
      <c r="AC1478" s="3" t="str">
        <f>HYPERLINK("https://knigipp.ru/api/getInfo/image/c762f36c-6d46-11f0-a284-00155d82e908")</f>
        <v>https://knigipp.ru/api/getInfo/image/c762f36c-6d46-11f0-a284-00155d82e908</v>
      </c>
      <c r="AD1478" s="32">
        <v>128</v>
      </c>
      <c r="AE1478" s="3" t="s">
        <v>54</v>
      </c>
      <c r="AF1478" s="3" t="s">
        <v>55</v>
      </c>
      <c r="AG1478" s="3"/>
      <c r="AH1478" s="3" t="s">
        <v>56</v>
      </c>
      <c r="AI1478" s="3"/>
      <c r="AJ1478" s="3"/>
      <c r="AK1478" s="3" t="str">
        <f>HYPERLINK("https://knigipp.ru/api/getInfo/item/c762f36c-6d46-11f0-a284-00155d82e908")</f>
        <v>https://knigipp.ru/api/getInfo/item/c762f36c-6d46-11f0-a284-00155d82e908</v>
      </c>
      <c r="AL1478" s="3" t="s">
        <v>6234</v>
      </c>
    </row>
    <row r="1479" spans="1:38" ht="21" customHeight="1" outlineLevel="5" x14ac:dyDescent="0.2">
      <c r="A1479" s="39">
        <v>1107</v>
      </c>
      <c r="B1479" s="3" t="s">
        <v>6235</v>
      </c>
      <c r="C1479" s="49" t="s">
        <v>6236</v>
      </c>
      <c r="D1479" s="49"/>
      <c r="E1479" s="49"/>
      <c r="F1479" s="49"/>
      <c r="G1479" s="4" t="s">
        <v>6237</v>
      </c>
      <c r="H1479" s="8"/>
      <c r="I1479" s="9" t="s">
        <v>6238</v>
      </c>
      <c r="J1479" s="10"/>
      <c r="K1479" s="11">
        <v>20</v>
      </c>
      <c r="L1479" s="10"/>
      <c r="M1479" s="10" t="s">
        <v>47</v>
      </c>
      <c r="N1479" s="10"/>
      <c r="O1479" s="2">
        <v>1</v>
      </c>
      <c r="P1479" s="29">
        <f>1497*(1-S3/100)</f>
        <v>1497</v>
      </c>
      <c r="Q1479" s="18"/>
      <c r="R1479" s="10">
        <f t="shared" si="58"/>
        <v>0</v>
      </c>
      <c r="S1479" s="19">
        <f>0.593*Q1479</f>
        <v>0</v>
      </c>
      <c r="T1479" s="20">
        <f>0.00073*Q1479</f>
        <v>0</v>
      </c>
      <c r="U1479" s="21"/>
      <c r="V1479" s="22" t="s">
        <v>6239</v>
      </c>
      <c r="W1479" s="22" t="s">
        <v>49</v>
      </c>
      <c r="X1479" s="3"/>
      <c r="Y1479" s="3" t="s">
        <v>6240</v>
      </c>
      <c r="Z1479" s="3" t="s">
        <v>384</v>
      </c>
      <c r="AA1479" s="3"/>
      <c r="AB1479" s="3"/>
      <c r="AC1479" s="3" t="str">
        <f>HYPERLINK("https://knigipp.ru/api/getInfo/image/058e1ed7-e572-11f0-a28c-00155d82e908")</f>
        <v>https://knigipp.ru/api/getInfo/image/058e1ed7-e572-11f0-a28c-00155d82e908</v>
      </c>
      <c r="AD1479" s="32">
        <v>112</v>
      </c>
      <c r="AE1479" s="3" t="s">
        <v>54</v>
      </c>
      <c r="AF1479" s="3" t="s">
        <v>55</v>
      </c>
      <c r="AG1479" s="3"/>
      <c r="AH1479" s="3" t="s">
        <v>56</v>
      </c>
      <c r="AI1479" s="3"/>
      <c r="AJ1479" s="3"/>
      <c r="AK1479" s="3" t="str">
        <f>HYPERLINK("https://knigipp.ru/api/getInfo/item/058e1ed7-e572-11f0-a28c-00155d82e908")</f>
        <v>https://knigipp.ru/api/getInfo/item/058e1ed7-e572-11f0-a28c-00155d82e908</v>
      </c>
      <c r="AL1479" s="3" t="s">
        <v>6241</v>
      </c>
    </row>
    <row r="1480" spans="1:38" ht="21" customHeight="1" outlineLevel="5" x14ac:dyDescent="0.2">
      <c r="A1480" s="39">
        <v>1108</v>
      </c>
      <c r="B1480" s="3" t="s">
        <v>6242</v>
      </c>
      <c r="C1480" s="49" t="s">
        <v>6243</v>
      </c>
      <c r="D1480" s="49"/>
      <c r="E1480" s="49"/>
      <c r="F1480" s="49"/>
      <c r="G1480" s="4" t="s">
        <v>6244</v>
      </c>
      <c r="H1480" s="8"/>
      <c r="I1480" s="9" t="s">
        <v>6245</v>
      </c>
      <c r="J1480" s="10"/>
      <c r="K1480" s="11">
        <v>20</v>
      </c>
      <c r="L1480" s="11">
        <v>5</v>
      </c>
      <c r="M1480" s="10" t="s">
        <v>47</v>
      </c>
      <c r="N1480" s="10"/>
      <c r="O1480" s="2">
        <v>1</v>
      </c>
      <c r="P1480" s="29">
        <f>1497*(1-S3/100)</f>
        <v>1497</v>
      </c>
      <c r="Q1480" s="18"/>
      <c r="R1480" s="10">
        <f t="shared" si="58"/>
        <v>0</v>
      </c>
      <c r="S1480" s="19">
        <f>0.661*Q1480</f>
        <v>0</v>
      </c>
      <c r="T1480" s="30">
        <f>0.0009*Q1480</f>
        <v>0</v>
      </c>
      <c r="U1480" s="21"/>
      <c r="V1480" s="22" t="s">
        <v>6246</v>
      </c>
      <c r="W1480" s="22" t="s">
        <v>49</v>
      </c>
      <c r="X1480" s="3"/>
      <c r="Y1480" s="3" t="s">
        <v>6247</v>
      </c>
      <c r="Z1480" s="3" t="s">
        <v>52</v>
      </c>
      <c r="AA1480" s="3"/>
      <c r="AB1480" s="3"/>
      <c r="AC1480" s="3" t="str">
        <f>HYPERLINK("https://knigipp.ru/api/getInfo/image/ed28c863-b660-11f0-a286-00155d82e908")</f>
        <v>https://knigipp.ru/api/getInfo/image/ed28c863-b660-11f0-a286-00155d82e908</v>
      </c>
      <c r="AD1480" s="32">
        <v>128</v>
      </c>
      <c r="AE1480" s="3" t="s">
        <v>54</v>
      </c>
      <c r="AF1480" s="3" t="s">
        <v>55</v>
      </c>
      <c r="AG1480" s="3"/>
      <c r="AH1480" s="3" t="s">
        <v>56</v>
      </c>
      <c r="AI1480" s="3"/>
      <c r="AJ1480" s="3"/>
      <c r="AK1480" s="3" t="str">
        <f>HYPERLINK("https://knigipp.ru/api/getInfo/item/ed28c863-b660-11f0-a286-00155d82e908")</f>
        <v>https://knigipp.ru/api/getInfo/item/ed28c863-b660-11f0-a286-00155d82e908</v>
      </c>
      <c r="AL1480" s="3" t="s">
        <v>6234</v>
      </c>
    </row>
    <row r="1481" spans="1:38" ht="21" customHeight="1" outlineLevel="5" x14ac:dyDescent="0.2">
      <c r="A1481" s="39">
        <v>1109</v>
      </c>
      <c r="B1481" s="3" t="s">
        <v>6248</v>
      </c>
      <c r="C1481" s="49" t="s">
        <v>6249</v>
      </c>
      <c r="D1481" s="49"/>
      <c r="E1481" s="49"/>
      <c r="F1481" s="49"/>
      <c r="G1481" s="4" t="s">
        <v>6250</v>
      </c>
      <c r="H1481" s="8"/>
      <c r="I1481" s="9" t="s">
        <v>6251</v>
      </c>
      <c r="J1481" s="10"/>
      <c r="K1481" s="11">
        <v>20</v>
      </c>
      <c r="L1481" s="10"/>
      <c r="M1481" s="10" t="s">
        <v>47</v>
      </c>
      <c r="N1481" s="10"/>
      <c r="O1481" s="2">
        <v>1</v>
      </c>
      <c r="P1481" s="29">
        <f>1497*(1-S3/100)</f>
        <v>1497</v>
      </c>
      <c r="Q1481" s="18"/>
      <c r="R1481" s="10">
        <f t="shared" si="58"/>
        <v>0</v>
      </c>
      <c r="S1481" s="28">
        <f>0.66*Q1481</f>
        <v>0</v>
      </c>
      <c r="T1481" s="20">
        <f>0.00077*Q1481</f>
        <v>0</v>
      </c>
      <c r="U1481" s="21"/>
      <c r="V1481" s="22" t="s">
        <v>6252</v>
      </c>
      <c r="W1481" s="22" t="s">
        <v>49</v>
      </c>
      <c r="X1481" s="3"/>
      <c r="Y1481" s="3" t="s">
        <v>6253</v>
      </c>
      <c r="Z1481" s="3" t="s">
        <v>52</v>
      </c>
      <c r="AA1481" s="3"/>
      <c r="AB1481" s="3"/>
      <c r="AC1481" s="3" t="str">
        <f>HYPERLINK("https://knigipp.ru/api/getInfo/image/0a1ce89f-6d47-11f0-a284-00155d82e908")</f>
        <v>https://knigipp.ru/api/getInfo/image/0a1ce89f-6d47-11f0-a284-00155d82e908</v>
      </c>
      <c r="AD1481" s="32">
        <v>128</v>
      </c>
      <c r="AE1481" s="3" t="s">
        <v>54</v>
      </c>
      <c r="AF1481" s="3" t="s">
        <v>55</v>
      </c>
      <c r="AG1481" s="3"/>
      <c r="AH1481" s="3" t="s">
        <v>56</v>
      </c>
      <c r="AI1481" s="3"/>
      <c r="AJ1481" s="3"/>
      <c r="AK1481" s="3" t="str">
        <f>HYPERLINK("https://knigipp.ru/api/getInfo/item/0a1ce89f-6d47-11f0-a284-00155d82e908")</f>
        <v>https://knigipp.ru/api/getInfo/item/0a1ce89f-6d47-11f0-a284-00155d82e908</v>
      </c>
      <c r="AL1481" s="3" t="s">
        <v>6234</v>
      </c>
    </row>
    <row r="1482" spans="1:38" ht="21" customHeight="1" outlineLevel="5" x14ac:dyDescent="0.2">
      <c r="A1482" s="39">
        <v>1110</v>
      </c>
      <c r="B1482" s="3" t="s">
        <v>6254</v>
      </c>
      <c r="C1482" s="49" t="s">
        <v>6255</v>
      </c>
      <c r="D1482" s="49"/>
      <c r="E1482" s="49"/>
      <c r="F1482" s="49"/>
      <c r="G1482" s="4" t="s">
        <v>6256</v>
      </c>
      <c r="H1482" s="8"/>
      <c r="I1482" s="9" t="s">
        <v>6257</v>
      </c>
      <c r="J1482" s="10"/>
      <c r="K1482" s="11">
        <v>20</v>
      </c>
      <c r="L1482" s="10"/>
      <c r="M1482" s="10" t="s">
        <v>47</v>
      </c>
      <c r="N1482" s="10"/>
      <c r="O1482" s="2">
        <v>1</v>
      </c>
      <c r="P1482" s="29">
        <f>1497*(1-S3/100)</f>
        <v>1497</v>
      </c>
      <c r="Q1482" s="18"/>
      <c r="R1482" s="10">
        <f t="shared" si="58"/>
        <v>0</v>
      </c>
      <c r="S1482" s="19">
        <f>0.589*Q1482</f>
        <v>0</v>
      </c>
      <c r="T1482" s="20">
        <f>0.00084*Q1482</f>
        <v>0</v>
      </c>
      <c r="U1482" s="21"/>
      <c r="V1482" s="22" t="s">
        <v>6258</v>
      </c>
      <c r="W1482" s="22" t="s">
        <v>49</v>
      </c>
      <c r="X1482" s="3"/>
      <c r="Y1482" s="3" t="s">
        <v>6259</v>
      </c>
      <c r="Z1482" s="3" t="s">
        <v>384</v>
      </c>
      <c r="AA1482" s="3"/>
      <c r="AB1482" s="3"/>
      <c r="AC1482" s="3" t="str">
        <f>HYPERLINK("https://knigipp.ru/api/getInfo/image/4e791336-13e3-11f1-a28f-00155d82e908")</f>
        <v>https://knigipp.ru/api/getInfo/image/4e791336-13e3-11f1-a28f-00155d82e908</v>
      </c>
      <c r="AD1482" s="32">
        <v>112</v>
      </c>
      <c r="AE1482" s="3" t="s">
        <v>54</v>
      </c>
      <c r="AF1482" s="3" t="s">
        <v>55</v>
      </c>
      <c r="AG1482" s="3"/>
      <c r="AH1482" s="3" t="s">
        <v>56</v>
      </c>
      <c r="AI1482" s="3"/>
      <c r="AJ1482" s="3"/>
      <c r="AK1482" s="3" t="str">
        <f>HYPERLINK("https://knigipp.ru/api/getInfo/item/4e791336-13e3-11f1-a28f-00155d82e908")</f>
        <v>https://knigipp.ru/api/getInfo/item/4e791336-13e3-11f1-a28f-00155d82e908</v>
      </c>
      <c r="AL1482" s="3" t="s">
        <v>6260</v>
      </c>
    </row>
    <row r="1483" spans="1:38" ht="21" customHeight="1" outlineLevel="5" x14ac:dyDescent="0.2">
      <c r="A1483" s="40">
        <v>1111</v>
      </c>
      <c r="B1483" s="6" t="s">
        <v>6261</v>
      </c>
      <c r="C1483" s="54" t="s">
        <v>6262</v>
      </c>
      <c r="D1483" s="54"/>
      <c r="E1483" s="54"/>
      <c r="F1483" s="54"/>
      <c r="G1483" s="7" t="s">
        <v>6263</v>
      </c>
      <c r="H1483" s="12"/>
      <c r="I1483" s="13" t="s">
        <v>6264</v>
      </c>
      <c r="J1483" s="14"/>
      <c r="K1483" s="15">
        <v>20</v>
      </c>
      <c r="L1483" s="14"/>
      <c r="M1483" s="14" t="s">
        <v>47</v>
      </c>
      <c r="N1483" s="14"/>
      <c r="O1483" s="5">
        <v>1</v>
      </c>
      <c r="P1483" s="37">
        <f>1497*(1-S3/100)</f>
        <v>1497</v>
      </c>
      <c r="Q1483" s="18"/>
      <c r="R1483" s="14">
        <f t="shared" si="58"/>
        <v>0</v>
      </c>
      <c r="S1483" s="24">
        <f>0.602*Q1483</f>
        <v>0</v>
      </c>
      <c r="T1483" s="31">
        <f>0.0007*Q1483</f>
        <v>0</v>
      </c>
      <c r="U1483" s="26" t="s">
        <v>62</v>
      </c>
      <c r="V1483" s="27" t="s">
        <v>6265</v>
      </c>
      <c r="W1483" s="27" t="s">
        <v>49</v>
      </c>
      <c r="X1483" s="6"/>
      <c r="Y1483" s="6"/>
      <c r="Z1483" s="6" t="s">
        <v>52</v>
      </c>
      <c r="AA1483" s="6"/>
      <c r="AB1483" s="6"/>
      <c r="AC1483" s="6" t="str">
        <f>HYPERLINK("https://knigipp.ru/api/getInfo/image/4ca08322-68be-11f1-a29a-00155d82e908")</f>
        <v>https://knigipp.ru/api/getInfo/image/4ca08322-68be-11f1-a29a-00155d82e908</v>
      </c>
      <c r="AD1483" s="33">
        <v>112</v>
      </c>
      <c r="AE1483" s="6" t="s">
        <v>54</v>
      </c>
      <c r="AF1483" s="6" t="s">
        <v>55</v>
      </c>
      <c r="AG1483" s="6"/>
      <c r="AH1483" s="6" t="s">
        <v>56</v>
      </c>
      <c r="AI1483" s="6"/>
      <c r="AJ1483" s="6"/>
      <c r="AK1483" s="6" t="str">
        <f>HYPERLINK("https://knigipp.ru/api/getInfo/item/4ca08322-68be-11f1-a29a-00155d82e908")</f>
        <v>https://knigipp.ru/api/getInfo/item/4ca08322-68be-11f1-a29a-00155d82e908</v>
      </c>
      <c r="AL1483" s="6" t="s">
        <v>6260</v>
      </c>
    </row>
    <row r="1484" spans="1:38" ht="21" customHeight="1" outlineLevel="5" x14ac:dyDescent="0.2">
      <c r="A1484" s="39">
        <v>1112</v>
      </c>
      <c r="B1484" s="3" t="s">
        <v>6266</v>
      </c>
      <c r="C1484" s="49" t="s">
        <v>6267</v>
      </c>
      <c r="D1484" s="49"/>
      <c r="E1484" s="49"/>
      <c r="F1484" s="49"/>
      <c r="G1484" s="4" t="s">
        <v>6268</v>
      </c>
      <c r="H1484" s="8"/>
      <c r="I1484" s="9" t="s">
        <v>6245</v>
      </c>
      <c r="J1484" s="10"/>
      <c r="K1484" s="11">
        <v>20</v>
      </c>
      <c r="L1484" s="11">
        <v>5</v>
      </c>
      <c r="M1484" s="10" t="s">
        <v>47</v>
      </c>
      <c r="N1484" s="10"/>
      <c r="O1484" s="2">
        <v>1</v>
      </c>
      <c r="P1484" s="29">
        <f>1497*(1-S3/100)</f>
        <v>1497</v>
      </c>
      <c r="Q1484" s="18"/>
      <c r="R1484" s="10">
        <f t="shared" si="58"/>
        <v>0</v>
      </c>
      <c r="S1484" s="19">
        <f>0.666*Q1484</f>
        <v>0</v>
      </c>
      <c r="T1484" s="20">
        <f>0.00078*Q1484</f>
        <v>0</v>
      </c>
      <c r="U1484" s="21"/>
      <c r="V1484" s="22" t="s">
        <v>6269</v>
      </c>
      <c r="W1484" s="22" t="s">
        <v>49</v>
      </c>
      <c r="X1484" s="3"/>
      <c r="Y1484" s="3" t="s">
        <v>6270</v>
      </c>
      <c r="Z1484" s="3" t="s">
        <v>757</v>
      </c>
      <c r="AA1484" s="3"/>
      <c r="AB1484" s="3"/>
      <c r="AC1484" s="3" t="str">
        <f>HYPERLINK("https://knigipp.ru/api/getInfo/image/31b9b019-b661-11f0-a286-00155d82e908")</f>
        <v>https://knigipp.ru/api/getInfo/image/31b9b019-b661-11f0-a286-00155d82e908</v>
      </c>
      <c r="AD1484" s="32">
        <v>128</v>
      </c>
      <c r="AE1484" s="3" t="s">
        <v>54</v>
      </c>
      <c r="AF1484" s="3" t="s">
        <v>55</v>
      </c>
      <c r="AG1484" s="3"/>
      <c r="AH1484" s="3" t="s">
        <v>56</v>
      </c>
      <c r="AI1484" s="3"/>
      <c r="AJ1484" s="3"/>
      <c r="AK1484" s="3" t="str">
        <f>HYPERLINK("https://knigipp.ru/api/getInfo/item/31b9b019-b661-11f0-a286-00155d82e908")</f>
        <v>https://knigipp.ru/api/getInfo/item/31b9b019-b661-11f0-a286-00155d82e908</v>
      </c>
      <c r="AL1484" s="3" t="s">
        <v>6234</v>
      </c>
    </row>
    <row r="1485" spans="1:38" ht="21" customHeight="1" outlineLevel="5" x14ac:dyDescent="0.2">
      <c r="A1485" s="39">
        <v>1113</v>
      </c>
      <c r="B1485" s="3" t="s">
        <v>6271</v>
      </c>
      <c r="C1485" s="49" t="s">
        <v>6272</v>
      </c>
      <c r="D1485" s="49"/>
      <c r="E1485" s="49"/>
      <c r="F1485" s="49"/>
      <c r="G1485" s="4" t="s">
        <v>6273</v>
      </c>
      <c r="H1485" s="8"/>
      <c r="I1485" s="9" t="s">
        <v>6245</v>
      </c>
      <c r="J1485" s="10"/>
      <c r="K1485" s="11">
        <v>20</v>
      </c>
      <c r="L1485" s="11">
        <v>5</v>
      </c>
      <c r="M1485" s="10" t="s">
        <v>47</v>
      </c>
      <c r="N1485" s="10"/>
      <c r="O1485" s="2">
        <v>1</v>
      </c>
      <c r="P1485" s="29">
        <f>1497*(1-S3/100)</f>
        <v>1497</v>
      </c>
      <c r="Q1485" s="18"/>
      <c r="R1485" s="10">
        <f t="shared" si="58"/>
        <v>0</v>
      </c>
      <c r="S1485" s="19">
        <f>0.663*Q1485</f>
        <v>0</v>
      </c>
      <c r="T1485" s="20">
        <f>0.00085*Q1485</f>
        <v>0</v>
      </c>
      <c r="U1485" s="21"/>
      <c r="V1485" s="22" t="s">
        <v>6274</v>
      </c>
      <c r="W1485" s="22" t="s">
        <v>49</v>
      </c>
      <c r="X1485" s="3"/>
      <c r="Y1485" s="3" t="s">
        <v>6275</v>
      </c>
      <c r="Z1485" s="3" t="s">
        <v>52</v>
      </c>
      <c r="AA1485" s="3"/>
      <c r="AB1485" s="3"/>
      <c r="AC1485" s="3" t="str">
        <f>HYPERLINK("https://knigipp.ru/api/getInfo/image/73faf100-b660-11f0-a286-00155d82e908")</f>
        <v>https://knigipp.ru/api/getInfo/image/73faf100-b660-11f0-a286-00155d82e908</v>
      </c>
      <c r="AD1485" s="32">
        <v>128</v>
      </c>
      <c r="AE1485" s="3" t="s">
        <v>54</v>
      </c>
      <c r="AF1485" s="3" t="s">
        <v>55</v>
      </c>
      <c r="AG1485" s="3"/>
      <c r="AH1485" s="3" t="s">
        <v>56</v>
      </c>
      <c r="AI1485" s="3"/>
      <c r="AJ1485" s="3"/>
      <c r="AK1485" s="3" t="str">
        <f>HYPERLINK("https://knigipp.ru/api/getInfo/item/73faf100-b660-11f0-a286-00155d82e908")</f>
        <v>https://knigipp.ru/api/getInfo/item/73faf100-b660-11f0-a286-00155d82e908</v>
      </c>
      <c r="AL1485" s="3" t="s">
        <v>6234</v>
      </c>
    </row>
    <row r="1486" spans="1:38" ht="23.1" customHeight="1" outlineLevel="4" x14ac:dyDescent="0.2">
      <c r="A1486" s="55" t="s">
        <v>6276</v>
      </c>
      <c r="B1486" s="55"/>
      <c r="C1486" s="55"/>
      <c r="D1486" s="55"/>
      <c r="E1486" s="55"/>
      <c r="F1486" s="55"/>
    </row>
    <row r="1487" spans="1:38" ht="21" customHeight="1" outlineLevel="5" x14ac:dyDescent="0.2">
      <c r="A1487" s="39">
        <v>1114</v>
      </c>
      <c r="B1487" s="3" t="s">
        <v>6277</v>
      </c>
      <c r="C1487" s="49" t="s">
        <v>6278</v>
      </c>
      <c r="D1487" s="49"/>
      <c r="E1487" s="49"/>
      <c r="F1487" s="49"/>
      <c r="G1487" s="4" t="s">
        <v>6279</v>
      </c>
      <c r="H1487" s="8"/>
      <c r="I1487" s="9" t="s">
        <v>6280</v>
      </c>
      <c r="J1487" s="10"/>
      <c r="K1487" s="11">
        <v>30</v>
      </c>
      <c r="L1487" s="10"/>
      <c r="M1487" s="10" t="s">
        <v>47</v>
      </c>
      <c r="N1487" s="10"/>
      <c r="O1487" s="2">
        <v>3</v>
      </c>
      <c r="P1487" s="17">
        <f>247*(1-S3/100)</f>
        <v>247</v>
      </c>
      <c r="Q1487" s="18"/>
      <c r="R1487" s="10">
        <f>P1487*Q1487</f>
        <v>0</v>
      </c>
      <c r="S1487" s="19">
        <f>0.125*Q1487</f>
        <v>0</v>
      </c>
      <c r="T1487" s="20">
        <f>0.00029*Q1487</f>
        <v>0</v>
      </c>
      <c r="U1487" s="21"/>
      <c r="V1487" s="22" t="s">
        <v>6281</v>
      </c>
      <c r="W1487" s="22" t="s">
        <v>49</v>
      </c>
      <c r="X1487" s="3"/>
      <c r="Y1487" s="3" t="s">
        <v>6282</v>
      </c>
      <c r="Z1487" s="3" t="s">
        <v>52</v>
      </c>
      <c r="AA1487" s="3"/>
      <c r="AB1487" s="3"/>
      <c r="AC1487" s="3" t="str">
        <f>HYPERLINK("https://knigipp.ru/api/getInfo/image/fc077e7d-6d44-11f0-a284-00155d82e908")</f>
        <v>https://knigipp.ru/api/getInfo/image/fc077e7d-6d44-11f0-a284-00155d82e908</v>
      </c>
      <c r="AD1487" s="32">
        <v>48</v>
      </c>
      <c r="AE1487" s="3" t="s">
        <v>54</v>
      </c>
      <c r="AF1487" s="3" t="s">
        <v>55</v>
      </c>
      <c r="AG1487" s="3"/>
      <c r="AH1487" s="3" t="s">
        <v>56</v>
      </c>
      <c r="AI1487" s="3"/>
      <c r="AJ1487" s="3"/>
      <c r="AK1487" s="3" t="str">
        <f>HYPERLINK("https://knigipp.ru/api/getInfo/item/fc077e7d-6d44-11f0-a284-00155d82e908")</f>
        <v>https://knigipp.ru/api/getInfo/item/fc077e7d-6d44-11f0-a284-00155d82e908</v>
      </c>
      <c r="AL1487" s="3" t="s">
        <v>6283</v>
      </c>
    </row>
    <row r="1488" spans="1:38" ht="21" customHeight="1" outlineLevel="5" x14ac:dyDescent="0.2">
      <c r="A1488" s="39">
        <v>1115</v>
      </c>
      <c r="B1488" s="3" t="s">
        <v>6284</v>
      </c>
      <c r="C1488" s="49" t="s">
        <v>6285</v>
      </c>
      <c r="D1488" s="49"/>
      <c r="E1488" s="49"/>
      <c r="F1488" s="49"/>
      <c r="G1488" s="4" t="s">
        <v>6286</v>
      </c>
      <c r="H1488" s="8"/>
      <c r="I1488" s="9" t="s">
        <v>6280</v>
      </c>
      <c r="J1488" s="10"/>
      <c r="K1488" s="11">
        <v>30</v>
      </c>
      <c r="L1488" s="10"/>
      <c r="M1488" s="10" t="s">
        <v>47</v>
      </c>
      <c r="N1488" s="10"/>
      <c r="O1488" s="2">
        <v>3</v>
      </c>
      <c r="P1488" s="17">
        <f>247*(1-S3/100)</f>
        <v>247</v>
      </c>
      <c r="Q1488" s="18"/>
      <c r="R1488" s="10">
        <f>P1488*Q1488</f>
        <v>0</v>
      </c>
      <c r="S1488" s="19">
        <f>0.125*Q1488</f>
        <v>0</v>
      </c>
      <c r="T1488" s="20">
        <f>0.00024*Q1488</f>
        <v>0</v>
      </c>
      <c r="U1488" s="21"/>
      <c r="V1488" s="22" t="s">
        <v>6287</v>
      </c>
      <c r="W1488" s="22" t="s">
        <v>49</v>
      </c>
      <c r="X1488" s="3"/>
      <c r="Y1488" s="3" t="s">
        <v>6288</v>
      </c>
      <c r="Z1488" s="3" t="s">
        <v>52</v>
      </c>
      <c r="AA1488" s="3"/>
      <c r="AB1488" s="3"/>
      <c r="AC1488" s="3" t="str">
        <f>HYPERLINK("https://knigipp.ru/api/getInfo/image/c2ee8ba1-55a3-11f0-a27e-00155d82e908")</f>
        <v>https://knigipp.ru/api/getInfo/image/c2ee8ba1-55a3-11f0-a27e-00155d82e908</v>
      </c>
      <c r="AD1488" s="32">
        <v>48</v>
      </c>
      <c r="AE1488" s="3" t="s">
        <v>54</v>
      </c>
      <c r="AF1488" s="3" t="s">
        <v>55</v>
      </c>
      <c r="AG1488" s="3"/>
      <c r="AH1488" s="3" t="s">
        <v>56</v>
      </c>
      <c r="AI1488" s="3"/>
      <c r="AJ1488" s="3"/>
      <c r="AK1488" s="3" t="str">
        <f>HYPERLINK("https://knigipp.ru/api/getInfo/item/c2ee8ba1-55a3-11f0-a27e-00155d82e908")</f>
        <v>https://knigipp.ru/api/getInfo/item/c2ee8ba1-55a3-11f0-a27e-00155d82e908</v>
      </c>
      <c r="AL1488" s="3" t="s">
        <v>6283</v>
      </c>
    </row>
    <row r="1489" spans="1:38" ht="21" customHeight="1" outlineLevel="5" x14ac:dyDescent="0.2">
      <c r="A1489" s="39">
        <v>1116</v>
      </c>
      <c r="B1489" s="3" t="s">
        <v>6289</v>
      </c>
      <c r="C1489" s="49" t="s">
        <v>6290</v>
      </c>
      <c r="D1489" s="49"/>
      <c r="E1489" s="49"/>
      <c r="F1489" s="49"/>
      <c r="G1489" s="4" t="s">
        <v>6291</v>
      </c>
      <c r="H1489" s="8"/>
      <c r="I1489" s="9" t="s">
        <v>6280</v>
      </c>
      <c r="J1489" s="10"/>
      <c r="K1489" s="11">
        <v>30</v>
      </c>
      <c r="L1489" s="10"/>
      <c r="M1489" s="10" t="s">
        <v>47</v>
      </c>
      <c r="N1489" s="10"/>
      <c r="O1489" s="2">
        <v>3</v>
      </c>
      <c r="P1489" s="17">
        <f>247*(1-S3/100)</f>
        <v>247</v>
      </c>
      <c r="Q1489" s="18"/>
      <c r="R1489" s="10">
        <f>P1489*Q1489</f>
        <v>0</v>
      </c>
      <c r="S1489" s="19">
        <f>0.124*Q1489</f>
        <v>0</v>
      </c>
      <c r="T1489" s="20">
        <f>0.00024*Q1489</f>
        <v>0</v>
      </c>
      <c r="U1489" s="21"/>
      <c r="V1489" s="22" t="s">
        <v>6292</v>
      </c>
      <c r="W1489" s="22" t="s">
        <v>49</v>
      </c>
      <c r="X1489" s="3"/>
      <c r="Y1489" s="3" t="s">
        <v>6293</v>
      </c>
      <c r="Z1489" s="3" t="s">
        <v>52</v>
      </c>
      <c r="AA1489" s="3"/>
      <c r="AB1489" s="3"/>
      <c r="AC1489" s="3" t="str">
        <f>HYPERLINK("https://knigipp.ru/api/getInfo/image/205a0b77-6d45-11f0-a284-00155d82e908")</f>
        <v>https://knigipp.ru/api/getInfo/image/205a0b77-6d45-11f0-a284-00155d82e908</v>
      </c>
      <c r="AD1489" s="32">
        <v>48</v>
      </c>
      <c r="AE1489" s="3" t="s">
        <v>54</v>
      </c>
      <c r="AF1489" s="3" t="s">
        <v>55</v>
      </c>
      <c r="AG1489" s="3"/>
      <c r="AH1489" s="3" t="s">
        <v>56</v>
      </c>
      <c r="AI1489" s="3"/>
      <c r="AJ1489" s="3"/>
      <c r="AK1489" s="3" t="str">
        <f>HYPERLINK("https://knigipp.ru/api/getInfo/item/205a0b77-6d45-11f0-a284-00155d82e908")</f>
        <v>https://knigipp.ru/api/getInfo/item/205a0b77-6d45-11f0-a284-00155d82e908</v>
      </c>
      <c r="AL1489" s="3" t="s">
        <v>6283</v>
      </c>
    </row>
    <row r="1490" spans="1:38" ht="21" customHeight="1" outlineLevel="5" x14ac:dyDescent="0.2">
      <c r="A1490" s="39">
        <v>1117</v>
      </c>
      <c r="B1490" s="3" t="s">
        <v>6294</v>
      </c>
      <c r="C1490" s="49" t="s">
        <v>6295</v>
      </c>
      <c r="D1490" s="49"/>
      <c r="E1490" s="49"/>
      <c r="F1490" s="49"/>
      <c r="G1490" s="4" t="s">
        <v>6296</v>
      </c>
      <c r="H1490" s="8"/>
      <c r="I1490" s="9" t="s">
        <v>6280</v>
      </c>
      <c r="J1490" s="10"/>
      <c r="K1490" s="11">
        <v>30</v>
      </c>
      <c r="L1490" s="10"/>
      <c r="M1490" s="10" t="s">
        <v>47</v>
      </c>
      <c r="N1490" s="10"/>
      <c r="O1490" s="2">
        <v>3</v>
      </c>
      <c r="P1490" s="17">
        <f>247*(1-S3/100)</f>
        <v>247</v>
      </c>
      <c r="Q1490" s="18"/>
      <c r="R1490" s="10">
        <f>P1490*Q1490</f>
        <v>0</v>
      </c>
      <c r="S1490" s="19">
        <f>0.125*Q1490</f>
        <v>0</v>
      </c>
      <c r="T1490" s="20">
        <f>0.00028*Q1490</f>
        <v>0</v>
      </c>
      <c r="U1490" s="21"/>
      <c r="V1490" s="22" t="s">
        <v>6297</v>
      </c>
      <c r="W1490" s="22" t="s">
        <v>49</v>
      </c>
      <c r="X1490" s="3"/>
      <c r="Y1490" s="3" t="s">
        <v>6298</v>
      </c>
      <c r="Z1490" s="3" t="s">
        <v>52</v>
      </c>
      <c r="AA1490" s="3"/>
      <c r="AB1490" s="3"/>
      <c r="AC1490" s="3" t="str">
        <f>HYPERLINK("https://knigipp.ru/api/getInfo/image/0bf5940c-55a4-11f0-a27e-00155d82e908")</f>
        <v>https://knigipp.ru/api/getInfo/image/0bf5940c-55a4-11f0-a27e-00155d82e908</v>
      </c>
      <c r="AD1490" s="32">
        <v>48</v>
      </c>
      <c r="AE1490" s="3" t="s">
        <v>54</v>
      </c>
      <c r="AF1490" s="3" t="s">
        <v>55</v>
      </c>
      <c r="AG1490" s="3"/>
      <c r="AH1490" s="3" t="s">
        <v>56</v>
      </c>
      <c r="AI1490" s="3"/>
      <c r="AJ1490" s="3"/>
      <c r="AK1490" s="3" t="str">
        <f>HYPERLINK("https://knigipp.ru/api/getInfo/item/0bf5940c-55a4-11f0-a27e-00155d82e908")</f>
        <v>https://knigipp.ru/api/getInfo/item/0bf5940c-55a4-11f0-a27e-00155d82e908</v>
      </c>
      <c r="AL1490" s="3" t="s">
        <v>6299</v>
      </c>
    </row>
    <row r="1491" spans="1:38" ht="23.1" customHeight="1" outlineLevel="3" x14ac:dyDescent="0.2">
      <c r="A1491" s="48" t="s">
        <v>6300</v>
      </c>
      <c r="B1491" s="48"/>
      <c r="C1491" s="48"/>
      <c r="D1491" s="48"/>
      <c r="E1491" s="48"/>
      <c r="F1491" s="48"/>
    </row>
    <row r="1492" spans="1:38" ht="23.1" customHeight="1" outlineLevel="4" x14ac:dyDescent="0.2">
      <c r="A1492" s="55" t="s">
        <v>6301</v>
      </c>
      <c r="B1492" s="55"/>
      <c r="C1492" s="55"/>
      <c r="D1492" s="55"/>
      <c r="E1492" s="55"/>
      <c r="F1492" s="55"/>
    </row>
    <row r="1493" spans="1:38" ht="21" customHeight="1" outlineLevel="5" x14ac:dyDescent="0.2">
      <c r="A1493" s="39">
        <v>1118</v>
      </c>
      <c r="B1493" s="3" t="s">
        <v>6302</v>
      </c>
      <c r="C1493" s="49" t="s">
        <v>6303</v>
      </c>
      <c r="D1493" s="49"/>
      <c r="E1493" s="49"/>
      <c r="F1493" s="49"/>
      <c r="G1493" s="4" t="s">
        <v>6304</v>
      </c>
      <c r="H1493" s="8"/>
      <c r="I1493" s="9" t="s">
        <v>6305</v>
      </c>
      <c r="J1493" s="10"/>
      <c r="K1493" s="11">
        <v>30</v>
      </c>
      <c r="L1493" s="10"/>
      <c r="M1493" s="10" t="s">
        <v>304</v>
      </c>
      <c r="N1493" s="10"/>
      <c r="O1493" s="2">
        <v>8</v>
      </c>
      <c r="P1493" s="17">
        <f>81.77*(1-S3/100)</f>
        <v>81.77</v>
      </c>
      <c r="Q1493" s="18"/>
      <c r="R1493" s="10">
        <f>P1493*Q1493</f>
        <v>0</v>
      </c>
      <c r="S1493" s="28">
        <f>0.17*Q1493</f>
        <v>0</v>
      </c>
      <c r="T1493" s="20">
        <f>0.00027*Q1493</f>
        <v>0</v>
      </c>
      <c r="U1493" s="21"/>
      <c r="V1493" s="22" t="s">
        <v>6306</v>
      </c>
      <c r="W1493" s="22" t="s">
        <v>49</v>
      </c>
      <c r="X1493" s="3"/>
      <c r="Y1493" s="3"/>
      <c r="Z1493" s="3" t="s">
        <v>52</v>
      </c>
      <c r="AA1493" s="3"/>
      <c r="AB1493" s="3"/>
      <c r="AC1493" s="3"/>
      <c r="AD1493" s="32">
        <v>16</v>
      </c>
      <c r="AE1493" s="3"/>
      <c r="AF1493" s="3" t="s">
        <v>136</v>
      </c>
      <c r="AG1493" s="3"/>
      <c r="AH1493" s="3" t="s">
        <v>56</v>
      </c>
      <c r="AI1493" s="3"/>
      <c r="AJ1493" s="3"/>
      <c r="AK1493" s="3"/>
      <c r="AL1493" s="3" t="s">
        <v>6307</v>
      </c>
    </row>
    <row r="1494" spans="1:38" ht="23.1" customHeight="1" outlineLevel="4" x14ac:dyDescent="0.2">
      <c r="A1494" s="55" t="s">
        <v>6308</v>
      </c>
      <c r="B1494" s="55"/>
      <c r="C1494" s="55"/>
      <c r="D1494" s="55"/>
      <c r="E1494" s="55"/>
      <c r="F1494" s="55"/>
    </row>
    <row r="1495" spans="1:38" ht="21" customHeight="1" outlineLevel="5" x14ac:dyDescent="0.2">
      <c r="A1495" s="39">
        <v>1119</v>
      </c>
      <c r="B1495" s="3" t="s">
        <v>6309</v>
      </c>
      <c r="C1495" s="49" t="s">
        <v>6310</v>
      </c>
      <c r="D1495" s="49"/>
      <c r="E1495" s="49"/>
      <c r="F1495" s="49"/>
      <c r="G1495" s="4" t="s">
        <v>6311</v>
      </c>
      <c r="H1495" s="8"/>
      <c r="I1495" s="9"/>
      <c r="J1495" s="10"/>
      <c r="K1495" s="11">
        <v>50</v>
      </c>
      <c r="L1495" s="10"/>
      <c r="M1495" s="10" t="s">
        <v>47</v>
      </c>
      <c r="N1495" s="10"/>
      <c r="O1495" s="2">
        <v>15</v>
      </c>
      <c r="P1495" s="17">
        <f>37*(1-S3/100)</f>
        <v>37</v>
      </c>
      <c r="Q1495" s="18"/>
      <c r="R1495" s="10">
        <f t="shared" ref="R1495:R1502" si="59">P1495*Q1495</f>
        <v>0</v>
      </c>
      <c r="S1495" s="19">
        <f>0.034*Q1495</f>
        <v>0</v>
      </c>
      <c r="T1495" s="20">
        <f>0.00009*Q1495</f>
        <v>0</v>
      </c>
      <c r="U1495" s="21"/>
      <c r="V1495" s="22" t="s">
        <v>6312</v>
      </c>
      <c r="W1495" s="22" t="s">
        <v>49</v>
      </c>
      <c r="X1495" s="3"/>
      <c r="Y1495" s="3" t="s">
        <v>6313</v>
      </c>
      <c r="Z1495" s="3" t="s">
        <v>52</v>
      </c>
      <c r="AA1495" s="3" t="s">
        <v>993</v>
      </c>
      <c r="AB1495" s="3"/>
      <c r="AC1495" s="3" t="str">
        <f>HYPERLINK("https://knigipp.ru/api/getInfo/image/de84c510-c107-11ee-a25a-00155d82e908")</f>
        <v>https://knigipp.ru/api/getInfo/image/de84c510-c107-11ee-a25a-00155d82e908</v>
      </c>
      <c r="AD1495" s="32">
        <v>12</v>
      </c>
      <c r="AE1495" s="3" t="s">
        <v>54</v>
      </c>
      <c r="AF1495" s="3" t="s">
        <v>136</v>
      </c>
      <c r="AG1495" s="3"/>
      <c r="AH1495" s="3" t="s">
        <v>56</v>
      </c>
      <c r="AI1495" s="3"/>
      <c r="AJ1495" s="3"/>
      <c r="AK1495" s="3" t="str">
        <f>HYPERLINK("https://knigipp.ru/api/getInfo/item/de84c510-c107-11ee-a25a-00155d82e908")</f>
        <v>https://knigipp.ru/api/getInfo/item/de84c510-c107-11ee-a25a-00155d82e908</v>
      </c>
      <c r="AL1495" s="3" t="s">
        <v>6314</v>
      </c>
    </row>
    <row r="1496" spans="1:38" ht="21" customHeight="1" outlineLevel="5" x14ac:dyDescent="0.2">
      <c r="A1496" s="39">
        <v>1120</v>
      </c>
      <c r="B1496" s="3" t="s">
        <v>6315</v>
      </c>
      <c r="C1496" s="49" t="s">
        <v>6316</v>
      </c>
      <c r="D1496" s="49"/>
      <c r="E1496" s="49"/>
      <c r="F1496" s="49"/>
      <c r="G1496" s="4" t="s">
        <v>6317</v>
      </c>
      <c r="H1496" s="8"/>
      <c r="I1496" s="9" t="s">
        <v>6318</v>
      </c>
      <c r="J1496" s="10"/>
      <c r="K1496" s="11">
        <v>50</v>
      </c>
      <c r="L1496" s="10"/>
      <c r="M1496" s="10" t="s">
        <v>47</v>
      </c>
      <c r="N1496" s="10"/>
      <c r="O1496" s="2">
        <v>15</v>
      </c>
      <c r="P1496" s="17">
        <f>37*(1-S3/100)</f>
        <v>37</v>
      </c>
      <c r="Q1496" s="18"/>
      <c r="R1496" s="10">
        <f t="shared" si="59"/>
        <v>0</v>
      </c>
      <c r="S1496" s="10">
        <v>0</v>
      </c>
      <c r="T1496" s="10">
        <v>0</v>
      </c>
      <c r="U1496" s="21"/>
      <c r="V1496" s="22" t="s">
        <v>6319</v>
      </c>
      <c r="W1496" s="22" t="s">
        <v>49</v>
      </c>
      <c r="X1496" s="3"/>
      <c r="Y1496" s="3" t="s">
        <v>6320</v>
      </c>
      <c r="Z1496" s="3" t="s">
        <v>52</v>
      </c>
      <c r="AA1496" s="3"/>
      <c r="AB1496" s="3"/>
      <c r="AC1496" s="3" t="str">
        <f>HYPERLINK("https://knigipp.ru/api/getInfo/image/f45eb062-20a8-11ee-a23c-00155d82e902")</f>
        <v>https://knigipp.ru/api/getInfo/image/f45eb062-20a8-11ee-a23c-00155d82e902</v>
      </c>
      <c r="AD1496" s="32">
        <v>12</v>
      </c>
      <c r="AE1496" s="3" t="s">
        <v>54</v>
      </c>
      <c r="AF1496" s="3" t="s">
        <v>136</v>
      </c>
      <c r="AG1496" s="3"/>
      <c r="AH1496" s="3" t="s">
        <v>56</v>
      </c>
      <c r="AI1496" s="3"/>
      <c r="AJ1496" s="3"/>
      <c r="AK1496" s="3" t="str">
        <f>HYPERLINK("https://knigipp.ru/api/getInfo/item/f45eb062-20a8-11ee-a23c-00155d82e902")</f>
        <v>https://knigipp.ru/api/getInfo/item/f45eb062-20a8-11ee-a23c-00155d82e902</v>
      </c>
      <c r="AL1496" s="3" t="s">
        <v>6314</v>
      </c>
    </row>
    <row r="1497" spans="1:38" ht="21" customHeight="1" outlineLevel="5" x14ac:dyDescent="0.2">
      <c r="A1497" s="39">
        <v>1121</v>
      </c>
      <c r="B1497" s="3" t="s">
        <v>6321</v>
      </c>
      <c r="C1497" s="49" t="s">
        <v>6322</v>
      </c>
      <c r="D1497" s="49"/>
      <c r="E1497" s="49"/>
      <c r="F1497" s="49"/>
      <c r="G1497" s="4" t="s">
        <v>6323</v>
      </c>
      <c r="H1497" s="8"/>
      <c r="I1497" s="9"/>
      <c r="J1497" s="10"/>
      <c r="K1497" s="11">
        <v>50</v>
      </c>
      <c r="L1497" s="10"/>
      <c r="M1497" s="10" t="s">
        <v>47</v>
      </c>
      <c r="N1497" s="10"/>
      <c r="O1497" s="2">
        <v>15</v>
      </c>
      <c r="P1497" s="17">
        <f>37*(1-S3/100)</f>
        <v>37</v>
      </c>
      <c r="Q1497" s="18"/>
      <c r="R1497" s="10">
        <f t="shared" si="59"/>
        <v>0</v>
      </c>
      <c r="S1497" s="19">
        <f t="shared" ref="S1497:S1502" si="60">0.034*Q1497</f>
        <v>0</v>
      </c>
      <c r="T1497" s="20">
        <f t="shared" ref="T1497:T1502" si="61">0.00009*Q1497</f>
        <v>0</v>
      </c>
      <c r="U1497" s="21"/>
      <c r="V1497" s="22" t="s">
        <v>6324</v>
      </c>
      <c r="W1497" s="22" t="s">
        <v>49</v>
      </c>
      <c r="X1497" s="3"/>
      <c r="Y1497" s="3" t="s">
        <v>6325</v>
      </c>
      <c r="Z1497" s="3" t="s">
        <v>52</v>
      </c>
      <c r="AA1497" s="3" t="s">
        <v>993</v>
      </c>
      <c r="AB1497" s="3"/>
      <c r="AC1497" s="3" t="str">
        <f>HYPERLINK("https://knigipp.ru/api/getInfo/image/5e44e388-c108-11ee-a25a-00155d82e908")</f>
        <v>https://knigipp.ru/api/getInfo/image/5e44e388-c108-11ee-a25a-00155d82e908</v>
      </c>
      <c r="AD1497" s="32">
        <v>12</v>
      </c>
      <c r="AE1497" s="3" t="s">
        <v>54</v>
      </c>
      <c r="AF1497" s="3" t="s">
        <v>136</v>
      </c>
      <c r="AG1497" s="3"/>
      <c r="AH1497" s="3" t="s">
        <v>56</v>
      </c>
      <c r="AI1497" s="3"/>
      <c r="AJ1497" s="3"/>
      <c r="AK1497" s="3" t="str">
        <f>HYPERLINK("https://knigipp.ru/api/getInfo/item/5e44e388-c108-11ee-a25a-00155d82e908")</f>
        <v>https://knigipp.ru/api/getInfo/item/5e44e388-c108-11ee-a25a-00155d82e908</v>
      </c>
      <c r="AL1497" s="3" t="s">
        <v>6314</v>
      </c>
    </row>
    <row r="1498" spans="1:38" ht="21" customHeight="1" outlineLevel="5" x14ac:dyDescent="0.2">
      <c r="A1498" s="39">
        <v>1122</v>
      </c>
      <c r="B1498" s="3" t="s">
        <v>6326</v>
      </c>
      <c r="C1498" s="49" t="s">
        <v>6327</v>
      </c>
      <c r="D1498" s="49"/>
      <c r="E1498" s="49"/>
      <c r="F1498" s="49"/>
      <c r="G1498" s="4" t="s">
        <v>6328</v>
      </c>
      <c r="H1498" s="8"/>
      <c r="I1498" s="9" t="s">
        <v>6318</v>
      </c>
      <c r="J1498" s="10"/>
      <c r="K1498" s="11">
        <v>50</v>
      </c>
      <c r="L1498" s="10"/>
      <c r="M1498" s="10" t="s">
        <v>47</v>
      </c>
      <c r="N1498" s="10"/>
      <c r="O1498" s="2">
        <v>15</v>
      </c>
      <c r="P1498" s="17">
        <f>37*(1-S3/100)</f>
        <v>37</v>
      </c>
      <c r="Q1498" s="18"/>
      <c r="R1498" s="10">
        <f t="shared" si="59"/>
        <v>0</v>
      </c>
      <c r="S1498" s="19">
        <f t="shared" si="60"/>
        <v>0</v>
      </c>
      <c r="T1498" s="20">
        <f t="shared" si="61"/>
        <v>0</v>
      </c>
      <c r="U1498" s="21"/>
      <c r="V1498" s="22" t="s">
        <v>6329</v>
      </c>
      <c r="W1498" s="22" t="s">
        <v>49</v>
      </c>
      <c r="X1498" s="3"/>
      <c r="Y1498" s="3" t="s">
        <v>6330</v>
      </c>
      <c r="Z1498" s="3" t="s">
        <v>52</v>
      </c>
      <c r="AA1498" s="3"/>
      <c r="AB1498" s="3"/>
      <c r="AC1498" s="3" t="str">
        <f>HYPERLINK("https://knigipp.ru/api/getInfo/image/1444949b-20a9-11ee-a23c-00155d82e902")</f>
        <v>https://knigipp.ru/api/getInfo/image/1444949b-20a9-11ee-a23c-00155d82e902</v>
      </c>
      <c r="AD1498" s="32">
        <v>12</v>
      </c>
      <c r="AE1498" s="3" t="s">
        <v>54</v>
      </c>
      <c r="AF1498" s="3" t="s">
        <v>136</v>
      </c>
      <c r="AG1498" s="3"/>
      <c r="AH1498" s="3" t="s">
        <v>56</v>
      </c>
      <c r="AI1498" s="3"/>
      <c r="AJ1498" s="3"/>
      <c r="AK1498" s="3" t="str">
        <f>HYPERLINK("https://knigipp.ru/api/getInfo/item/1444949b-20a9-11ee-a23c-00155d82e902")</f>
        <v>https://knigipp.ru/api/getInfo/item/1444949b-20a9-11ee-a23c-00155d82e902</v>
      </c>
      <c r="AL1498" s="3" t="s">
        <v>6314</v>
      </c>
    </row>
    <row r="1499" spans="1:38" ht="21" customHeight="1" outlineLevel="5" x14ac:dyDescent="0.2">
      <c r="A1499" s="39">
        <v>1123</v>
      </c>
      <c r="B1499" s="3" t="s">
        <v>6331</v>
      </c>
      <c r="C1499" s="49" t="s">
        <v>6332</v>
      </c>
      <c r="D1499" s="49"/>
      <c r="E1499" s="49"/>
      <c r="F1499" s="49"/>
      <c r="G1499" s="4" t="s">
        <v>6333</v>
      </c>
      <c r="H1499" s="8"/>
      <c r="I1499" s="9" t="s">
        <v>6318</v>
      </c>
      <c r="J1499" s="10"/>
      <c r="K1499" s="11">
        <v>50</v>
      </c>
      <c r="L1499" s="10"/>
      <c r="M1499" s="10" t="s">
        <v>78</v>
      </c>
      <c r="N1499" s="10"/>
      <c r="O1499" s="2">
        <v>15</v>
      </c>
      <c r="P1499" s="17">
        <f>37*(1-S3/100)</f>
        <v>37</v>
      </c>
      <c r="Q1499" s="18"/>
      <c r="R1499" s="10">
        <f t="shared" si="59"/>
        <v>0</v>
      </c>
      <c r="S1499" s="19">
        <f t="shared" si="60"/>
        <v>0</v>
      </c>
      <c r="T1499" s="20">
        <f t="shared" si="61"/>
        <v>0</v>
      </c>
      <c r="U1499" s="21"/>
      <c r="V1499" s="22" t="s">
        <v>6334</v>
      </c>
      <c r="W1499" s="22" t="s">
        <v>49</v>
      </c>
      <c r="X1499" s="3"/>
      <c r="Y1499" s="3" t="s">
        <v>6335</v>
      </c>
      <c r="Z1499" s="3" t="s">
        <v>52</v>
      </c>
      <c r="AA1499" s="3"/>
      <c r="AB1499" s="3"/>
      <c r="AC1499" s="3" t="str">
        <f>HYPERLINK("https://knigipp.ru/api/getInfo/image/8ed6adbd-20a6-11ee-a23c-00155d82e902")</f>
        <v>https://knigipp.ru/api/getInfo/image/8ed6adbd-20a6-11ee-a23c-00155d82e902</v>
      </c>
      <c r="AD1499" s="32">
        <v>12</v>
      </c>
      <c r="AE1499" s="3" t="s">
        <v>54</v>
      </c>
      <c r="AF1499" s="3" t="s">
        <v>136</v>
      </c>
      <c r="AG1499" s="3"/>
      <c r="AH1499" s="3" t="s">
        <v>56</v>
      </c>
      <c r="AI1499" s="3"/>
      <c r="AJ1499" s="3"/>
      <c r="AK1499" s="3" t="str">
        <f>HYPERLINK("https://knigipp.ru/api/getInfo/item/8ed6adbd-20a6-11ee-a23c-00155d82e902")</f>
        <v>https://knigipp.ru/api/getInfo/item/8ed6adbd-20a6-11ee-a23c-00155d82e902</v>
      </c>
      <c r="AL1499" s="3" t="s">
        <v>6314</v>
      </c>
    </row>
    <row r="1500" spans="1:38" ht="21" customHeight="1" outlineLevel="5" x14ac:dyDescent="0.2">
      <c r="A1500" s="39">
        <v>1124</v>
      </c>
      <c r="B1500" s="3" t="s">
        <v>6336</v>
      </c>
      <c r="C1500" s="49" t="s">
        <v>6337</v>
      </c>
      <c r="D1500" s="49"/>
      <c r="E1500" s="49"/>
      <c r="F1500" s="49"/>
      <c r="G1500" s="4" t="s">
        <v>6338</v>
      </c>
      <c r="H1500" s="8"/>
      <c r="I1500" s="9" t="s">
        <v>6318</v>
      </c>
      <c r="J1500" s="10"/>
      <c r="K1500" s="11">
        <v>50</v>
      </c>
      <c r="L1500" s="10"/>
      <c r="M1500" s="10" t="s">
        <v>47</v>
      </c>
      <c r="N1500" s="10"/>
      <c r="O1500" s="2">
        <v>15</v>
      </c>
      <c r="P1500" s="17">
        <f>37*(1-S3/100)</f>
        <v>37</v>
      </c>
      <c r="Q1500" s="18"/>
      <c r="R1500" s="10">
        <f t="shared" si="59"/>
        <v>0</v>
      </c>
      <c r="S1500" s="19">
        <f t="shared" si="60"/>
        <v>0</v>
      </c>
      <c r="T1500" s="20">
        <f t="shared" si="61"/>
        <v>0</v>
      </c>
      <c r="U1500" s="21"/>
      <c r="V1500" s="22" t="s">
        <v>6339</v>
      </c>
      <c r="W1500" s="22" t="s">
        <v>49</v>
      </c>
      <c r="X1500" s="3"/>
      <c r="Y1500" s="3" t="s">
        <v>6340</v>
      </c>
      <c r="Z1500" s="3" t="s">
        <v>52</v>
      </c>
      <c r="AA1500" s="3"/>
      <c r="AB1500" s="3"/>
      <c r="AC1500" s="3" t="str">
        <f>HYPERLINK("https://knigipp.ru/api/getInfo/image/368f3422-20a9-11ee-a23c-00155d82e902")</f>
        <v>https://knigipp.ru/api/getInfo/image/368f3422-20a9-11ee-a23c-00155d82e902</v>
      </c>
      <c r="AD1500" s="32">
        <v>12</v>
      </c>
      <c r="AE1500" s="3" t="s">
        <v>54</v>
      </c>
      <c r="AF1500" s="3" t="s">
        <v>136</v>
      </c>
      <c r="AG1500" s="3"/>
      <c r="AH1500" s="3" t="s">
        <v>56</v>
      </c>
      <c r="AI1500" s="3"/>
      <c r="AJ1500" s="3"/>
      <c r="AK1500" s="3" t="str">
        <f>HYPERLINK("https://knigipp.ru/api/getInfo/item/368f3422-20a9-11ee-a23c-00155d82e902")</f>
        <v>https://knigipp.ru/api/getInfo/item/368f3422-20a9-11ee-a23c-00155d82e902</v>
      </c>
      <c r="AL1500" s="3" t="s">
        <v>6314</v>
      </c>
    </row>
    <row r="1501" spans="1:38" ht="21" customHeight="1" outlineLevel="5" x14ac:dyDescent="0.2">
      <c r="A1501" s="39">
        <v>1125</v>
      </c>
      <c r="B1501" s="3" t="s">
        <v>6341</v>
      </c>
      <c r="C1501" s="49" t="s">
        <v>6342</v>
      </c>
      <c r="D1501" s="49"/>
      <c r="E1501" s="49"/>
      <c r="F1501" s="49"/>
      <c r="G1501" s="4" t="s">
        <v>6343</v>
      </c>
      <c r="H1501" s="8"/>
      <c r="I1501" s="9" t="s">
        <v>6318</v>
      </c>
      <c r="J1501" s="10"/>
      <c r="K1501" s="11">
        <v>50</v>
      </c>
      <c r="L1501" s="10"/>
      <c r="M1501" s="10" t="s">
        <v>47</v>
      </c>
      <c r="N1501" s="10"/>
      <c r="O1501" s="2">
        <v>15</v>
      </c>
      <c r="P1501" s="17">
        <f>37*(1-S3/100)</f>
        <v>37</v>
      </c>
      <c r="Q1501" s="18"/>
      <c r="R1501" s="10">
        <f t="shared" si="59"/>
        <v>0</v>
      </c>
      <c r="S1501" s="19">
        <f t="shared" si="60"/>
        <v>0</v>
      </c>
      <c r="T1501" s="20">
        <f t="shared" si="61"/>
        <v>0</v>
      </c>
      <c r="U1501" s="21"/>
      <c r="V1501" s="22" t="s">
        <v>6344</v>
      </c>
      <c r="W1501" s="22" t="s">
        <v>49</v>
      </c>
      <c r="X1501" s="3"/>
      <c r="Y1501" s="3" t="s">
        <v>6345</v>
      </c>
      <c r="Z1501" s="3" t="s">
        <v>52</v>
      </c>
      <c r="AA1501" s="3"/>
      <c r="AB1501" s="3"/>
      <c r="AC1501" s="3" t="str">
        <f>HYPERLINK("https://knigipp.ru/api/getInfo/image/b5868d7f-20a6-11ee-a23c-00155d82e902")</f>
        <v>https://knigipp.ru/api/getInfo/image/b5868d7f-20a6-11ee-a23c-00155d82e902</v>
      </c>
      <c r="AD1501" s="32">
        <v>12</v>
      </c>
      <c r="AE1501" s="3" t="s">
        <v>54</v>
      </c>
      <c r="AF1501" s="3" t="s">
        <v>136</v>
      </c>
      <c r="AG1501" s="3"/>
      <c r="AH1501" s="3" t="s">
        <v>56</v>
      </c>
      <c r="AI1501" s="3"/>
      <c r="AJ1501" s="3"/>
      <c r="AK1501" s="3" t="str">
        <f>HYPERLINK("https://knigipp.ru/api/getInfo/item/b5868d7f-20a6-11ee-a23c-00155d82e902")</f>
        <v>https://knigipp.ru/api/getInfo/item/b5868d7f-20a6-11ee-a23c-00155d82e902</v>
      </c>
      <c r="AL1501" s="3" t="s">
        <v>6314</v>
      </c>
    </row>
    <row r="1502" spans="1:38" ht="21" customHeight="1" outlineLevel="5" x14ac:dyDescent="0.2">
      <c r="A1502" s="39">
        <v>1126</v>
      </c>
      <c r="B1502" s="3" t="s">
        <v>6346</v>
      </c>
      <c r="C1502" s="49" t="s">
        <v>6347</v>
      </c>
      <c r="D1502" s="49"/>
      <c r="E1502" s="49"/>
      <c r="F1502" s="49"/>
      <c r="G1502" s="4" t="s">
        <v>6348</v>
      </c>
      <c r="H1502" s="8"/>
      <c r="I1502" s="9"/>
      <c r="J1502" s="10"/>
      <c r="K1502" s="11">
        <v>50</v>
      </c>
      <c r="L1502" s="10"/>
      <c r="M1502" s="10" t="s">
        <v>47</v>
      </c>
      <c r="N1502" s="10"/>
      <c r="O1502" s="2">
        <v>15</v>
      </c>
      <c r="P1502" s="17">
        <f>37*(1-S3/100)</f>
        <v>37</v>
      </c>
      <c r="Q1502" s="18"/>
      <c r="R1502" s="10">
        <f t="shared" si="59"/>
        <v>0</v>
      </c>
      <c r="S1502" s="19">
        <f t="shared" si="60"/>
        <v>0</v>
      </c>
      <c r="T1502" s="20">
        <f t="shared" si="61"/>
        <v>0</v>
      </c>
      <c r="U1502" s="21"/>
      <c r="V1502" s="22" t="s">
        <v>6349</v>
      </c>
      <c r="W1502" s="22" t="s">
        <v>49</v>
      </c>
      <c r="X1502" s="3"/>
      <c r="Y1502" s="3" t="s">
        <v>6350</v>
      </c>
      <c r="Z1502" s="3" t="s">
        <v>52</v>
      </c>
      <c r="AA1502" s="3" t="s">
        <v>993</v>
      </c>
      <c r="AB1502" s="3"/>
      <c r="AC1502" s="3" t="str">
        <f>HYPERLINK("https://knigipp.ru/api/getInfo/image/dbf9070b-c106-11ee-a25a-00155d82e908")</f>
        <v>https://knigipp.ru/api/getInfo/image/dbf9070b-c106-11ee-a25a-00155d82e908</v>
      </c>
      <c r="AD1502" s="32">
        <v>12</v>
      </c>
      <c r="AE1502" s="3" t="s">
        <v>54</v>
      </c>
      <c r="AF1502" s="3" t="s">
        <v>136</v>
      </c>
      <c r="AG1502" s="3"/>
      <c r="AH1502" s="3" t="s">
        <v>56</v>
      </c>
      <c r="AI1502" s="3"/>
      <c r="AJ1502" s="3"/>
      <c r="AK1502" s="3" t="str">
        <f>HYPERLINK("https://knigipp.ru/api/getInfo/item/dbf9070b-c106-11ee-a25a-00155d82e908")</f>
        <v>https://knigipp.ru/api/getInfo/item/dbf9070b-c106-11ee-a25a-00155d82e908</v>
      </c>
      <c r="AL1502" s="3" t="s">
        <v>6314</v>
      </c>
    </row>
    <row r="1503" spans="1:38" ht="23.1" customHeight="1" outlineLevel="4" x14ac:dyDescent="0.2">
      <c r="A1503" s="55" t="s">
        <v>6351</v>
      </c>
      <c r="B1503" s="55"/>
      <c r="C1503" s="55"/>
      <c r="D1503" s="55"/>
      <c r="E1503" s="55"/>
      <c r="F1503" s="55"/>
    </row>
    <row r="1504" spans="1:38" ht="21" customHeight="1" outlineLevel="5" x14ac:dyDescent="0.2">
      <c r="A1504" s="39">
        <v>1127</v>
      </c>
      <c r="B1504" s="3" t="s">
        <v>6352</v>
      </c>
      <c r="C1504" s="49" t="s">
        <v>6353</v>
      </c>
      <c r="D1504" s="49"/>
      <c r="E1504" s="49"/>
      <c r="F1504" s="49"/>
      <c r="G1504" s="4" t="s">
        <v>6354</v>
      </c>
      <c r="H1504" s="8"/>
      <c r="I1504" s="9" t="s">
        <v>6355</v>
      </c>
      <c r="J1504" s="10"/>
      <c r="K1504" s="11">
        <v>50</v>
      </c>
      <c r="L1504" s="11">
        <v>5</v>
      </c>
      <c r="M1504" s="10" t="s">
        <v>47</v>
      </c>
      <c r="N1504" s="10"/>
      <c r="O1504" s="2">
        <v>15</v>
      </c>
      <c r="P1504" s="17">
        <f>59*(1-S3/100)</f>
        <v>59</v>
      </c>
      <c r="Q1504" s="18"/>
      <c r="R1504" s="10">
        <f t="shared" ref="R1504:R1536" si="62">P1504*Q1504</f>
        <v>0</v>
      </c>
      <c r="S1504" s="19">
        <f>0.057*Q1504</f>
        <v>0</v>
      </c>
      <c r="T1504" s="20">
        <f>0.00017*Q1504</f>
        <v>0</v>
      </c>
      <c r="U1504" s="21"/>
      <c r="V1504" s="22" t="s">
        <v>6356</v>
      </c>
      <c r="W1504" s="22" t="s">
        <v>49</v>
      </c>
      <c r="X1504" s="3"/>
      <c r="Y1504" s="3"/>
      <c r="Z1504" s="3" t="s">
        <v>52</v>
      </c>
      <c r="AA1504" s="3"/>
      <c r="AB1504" s="3"/>
      <c r="AC1504" s="3" t="str">
        <f>HYPERLINK("https://knigipp.ru/api/getInfo/image/e3c1a16d-a3e8-11ee-a258-00155d82e908")</f>
        <v>https://knigipp.ru/api/getInfo/image/e3c1a16d-a3e8-11ee-a258-00155d82e908</v>
      </c>
      <c r="AD1504" s="32">
        <v>16</v>
      </c>
      <c r="AE1504" s="3"/>
      <c r="AF1504" s="3" t="s">
        <v>136</v>
      </c>
      <c r="AG1504" s="3"/>
      <c r="AH1504" s="3" t="s">
        <v>56</v>
      </c>
      <c r="AI1504" s="3"/>
      <c r="AJ1504" s="3" t="s">
        <v>6357</v>
      </c>
      <c r="AK1504" s="3" t="str">
        <f>HYPERLINK("https://knigipp.ru/api/getInfo/item/e3c1a16d-a3e8-11ee-a258-00155d82e908")</f>
        <v>https://knigipp.ru/api/getInfo/item/e3c1a16d-a3e8-11ee-a258-00155d82e908</v>
      </c>
      <c r="AL1504" s="3" t="s">
        <v>1155</v>
      </c>
    </row>
    <row r="1505" spans="1:38" ht="21" customHeight="1" outlineLevel="5" x14ac:dyDescent="0.2">
      <c r="A1505" s="39">
        <v>1128</v>
      </c>
      <c r="B1505" s="3" t="s">
        <v>6358</v>
      </c>
      <c r="C1505" s="49" t="s">
        <v>6359</v>
      </c>
      <c r="D1505" s="49"/>
      <c r="E1505" s="49"/>
      <c r="F1505" s="49"/>
      <c r="G1505" s="4" t="s">
        <v>6360</v>
      </c>
      <c r="H1505" s="8"/>
      <c r="I1505" s="9" t="s">
        <v>6355</v>
      </c>
      <c r="J1505" s="10"/>
      <c r="K1505" s="11">
        <v>50</v>
      </c>
      <c r="L1505" s="11">
        <v>5</v>
      </c>
      <c r="M1505" s="10" t="s">
        <v>47</v>
      </c>
      <c r="N1505" s="10"/>
      <c r="O1505" s="2">
        <v>15</v>
      </c>
      <c r="P1505" s="17">
        <f>59*(1-S3/100)</f>
        <v>59</v>
      </c>
      <c r="Q1505" s="18"/>
      <c r="R1505" s="10">
        <f t="shared" si="62"/>
        <v>0</v>
      </c>
      <c r="S1505" s="19">
        <f>0.055*Q1505</f>
        <v>0</v>
      </c>
      <c r="T1505" s="20">
        <f>0.00028*Q1505</f>
        <v>0</v>
      </c>
      <c r="U1505" s="21"/>
      <c r="V1505" s="22" t="s">
        <v>6361</v>
      </c>
      <c r="W1505" s="22" t="s">
        <v>49</v>
      </c>
      <c r="X1505" s="3"/>
      <c r="Y1505" s="3"/>
      <c r="Z1505" s="3" t="s">
        <v>52</v>
      </c>
      <c r="AA1505" s="3"/>
      <c r="AB1505" s="3"/>
      <c r="AC1505" s="3" t="str">
        <f>HYPERLINK("https://knigipp.ru/api/getInfo/image/87b92b78-bf63-11ee-a25a-00155d82e908")</f>
        <v>https://knigipp.ru/api/getInfo/image/87b92b78-bf63-11ee-a25a-00155d82e908</v>
      </c>
      <c r="AD1505" s="32">
        <v>16</v>
      </c>
      <c r="AE1505" s="3"/>
      <c r="AF1505" s="3" t="s">
        <v>136</v>
      </c>
      <c r="AG1505" s="3"/>
      <c r="AH1505" s="3" t="s">
        <v>56</v>
      </c>
      <c r="AI1505" s="3"/>
      <c r="AJ1505" s="3" t="s">
        <v>6357</v>
      </c>
      <c r="AK1505" s="3" t="str">
        <f>HYPERLINK("https://knigipp.ru/api/getInfo/item/87b92b78-bf63-11ee-a25a-00155d82e908")</f>
        <v>https://knigipp.ru/api/getInfo/item/87b92b78-bf63-11ee-a25a-00155d82e908</v>
      </c>
      <c r="AL1505" s="3" t="s">
        <v>1155</v>
      </c>
    </row>
    <row r="1506" spans="1:38" ht="21" customHeight="1" outlineLevel="5" x14ac:dyDescent="0.2">
      <c r="A1506" s="39">
        <v>1129</v>
      </c>
      <c r="B1506" s="3" t="s">
        <v>6362</v>
      </c>
      <c r="C1506" s="49" t="s">
        <v>6363</v>
      </c>
      <c r="D1506" s="49"/>
      <c r="E1506" s="49"/>
      <c r="F1506" s="49"/>
      <c r="G1506" s="4" t="s">
        <v>6364</v>
      </c>
      <c r="H1506" s="8"/>
      <c r="I1506" s="9" t="s">
        <v>6355</v>
      </c>
      <c r="J1506" s="10"/>
      <c r="K1506" s="11">
        <v>50</v>
      </c>
      <c r="L1506" s="11">
        <v>5</v>
      </c>
      <c r="M1506" s="10" t="s">
        <v>47</v>
      </c>
      <c r="N1506" s="10"/>
      <c r="O1506" s="2">
        <v>15</v>
      </c>
      <c r="P1506" s="17">
        <f>59*(1-S3/100)</f>
        <v>59</v>
      </c>
      <c r="Q1506" s="18"/>
      <c r="R1506" s="10">
        <f t="shared" si="62"/>
        <v>0</v>
      </c>
      <c r="S1506" s="19">
        <f>0.059*Q1506</f>
        <v>0</v>
      </c>
      <c r="T1506" s="20">
        <f>0.00016*Q1506</f>
        <v>0</v>
      </c>
      <c r="U1506" s="21"/>
      <c r="V1506" s="22" t="s">
        <v>6365</v>
      </c>
      <c r="W1506" s="22" t="s">
        <v>49</v>
      </c>
      <c r="X1506" s="3"/>
      <c r="Y1506" s="3"/>
      <c r="Z1506" s="3" t="s">
        <v>52</v>
      </c>
      <c r="AA1506" s="3"/>
      <c r="AB1506" s="3"/>
      <c r="AC1506" s="3" t="str">
        <f>HYPERLINK("https://knigipp.ru/api/getInfo/image/c1098b31-bf63-11ee-a25a-00155d82e908")</f>
        <v>https://knigipp.ru/api/getInfo/image/c1098b31-bf63-11ee-a25a-00155d82e908</v>
      </c>
      <c r="AD1506" s="32">
        <v>16</v>
      </c>
      <c r="AE1506" s="3"/>
      <c r="AF1506" s="3" t="s">
        <v>136</v>
      </c>
      <c r="AG1506" s="3"/>
      <c r="AH1506" s="3" t="s">
        <v>56</v>
      </c>
      <c r="AI1506" s="3"/>
      <c r="AJ1506" s="3" t="s">
        <v>6357</v>
      </c>
      <c r="AK1506" s="3" t="str">
        <f>HYPERLINK("https://knigipp.ru/api/getInfo/item/c1098b31-bf63-11ee-a25a-00155d82e908")</f>
        <v>https://knigipp.ru/api/getInfo/item/c1098b31-bf63-11ee-a25a-00155d82e908</v>
      </c>
      <c r="AL1506" s="3" t="s">
        <v>1155</v>
      </c>
    </row>
    <row r="1507" spans="1:38" ht="21" customHeight="1" outlineLevel="5" x14ac:dyDescent="0.2">
      <c r="A1507" s="39">
        <v>1130</v>
      </c>
      <c r="B1507" s="3" t="s">
        <v>6366</v>
      </c>
      <c r="C1507" s="49" t="s">
        <v>6367</v>
      </c>
      <c r="D1507" s="49"/>
      <c r="E1507" s="49"/>
      <c r="F1507" s="49"/>
      <c r="G1507" s="4" t="s">
        <v>6368</v>
      </c>
      <c r="H1507" s="8"/>
      <c r="I1507" s="9" t="s">
        <v>6355</v>
      </c>
      <c r="J1507" s="10"/>
      <c r="K1507" s="11">
        <v>50</v>
      </c>
      <c r="L1507" s="11">
        <v>5</v>
      </c>
      <c r="M1507" s="10" t="s">
        <v>78</v>
      </c>
      <c r="N1507" s="10"/>
      <c r="O1507" s="2">
        <v>15</v>
      </c>
      <c r="P1507" s="17">
        <f>59*(1-S3/100)</f>
        <v>59</v>
      </c>
      <c r="Q1507" s="18"/>
      <c r="R1507" s="10">
        <f t="shared" si="62"/>
        <v>0</v>
      </c>
      <c r="S1507" s="19">
        <f>0.061*Q1507</f>
        <v>0</v>
      </c>
      <c r="T1507" s="20">
        <f>0.00022*Q1507</f>
        <v>0</v>
      </c>
      <c r="U1507" s="21"/>
      <c r="V1507" s="22" t="s">
        <v>6369</v>
      </c>
      <c r="W1507" s="22" t="s">
        <v>49</v>
      </c>
      <c r="X1507" s="3"/>
      <c r="Y1507" s="3"/>
      <c r="Z1507" s="3" t="s">
        <v>52</v>
      </c>
      <c r="AA1507" s="3"/>
      <c r="AB1507" s="3"/>
      <c r="AC1507" s="3" t="str">
        <f>HYPERLINK("https://knigipp.ru/api/getInfo/image/82b1bb21-4f36-11ef-a262-00155d82e908")</f>
        <v>https://knigipp.ru/api/getInfo/image/82b1bb21-4f36-11ef-a262-00155d82e908</v>
      </c>
      <c r="AD1507" s="32">
        <v>16</v>
      </c>
      <c r="AE1507" s="3"/>
      <c r="AF1507" s="3" t="s">
        <v>136</v>
      </c>
      <c r="AG1507" s="3"/>
      <c r="AH1507" s="3" t="s">
        <v>56</v>
      </c>
      <c r="AI1507" s="3"/>
      <c r="AJ1507" s="3" t="s">
        <v>6357</v>
      </c>
      <c r="AK1507" s="3" t="str">
        <f>HYPERLINK("https://knigipp.ru/api/getInfo/item/82b1bb21-4f36-11ef-a262-00155d82e908")</f>
        <v>https://knigipp.ru/api/getInfo/item/82b1bb21-4f36-11ef-a262-00155d82e908</v>
      </c>
      <c r="AL1507" s="3" t="s">
        <v>1155</v>
      </c>
    </row>
    <row r="1508" spans="1:38" ht="21" customHeight="1" outlineLevel="5" x14ac:dyDescent="0.2">
      <c r="A1508" s="39">
        <v>1131</v>
      </c>
      <c r="B1508" s="3" t="s">
        <v>6370</v>
      </c>
      <c r="C1508" s="49" t="s">
        <v>6371</v>
      </c>
      <c r="D1508" s="49"/>
      <c r="E1508" s="49"/>
      <c r="F1508" s="49"/>
      <c r="G1508" s="4" t="s">
        <v>6372</v>
      </c>
      <c r="H1508" s="8"/>
      <c r="I1508" s="9" t="s">
        <v>6355</v>
      </c>
      <c r="J1508" s="10"/>
      <c r="K1508" s="11">
        <v>50</v>
      </c>
      <c r="L1508" s="11">
        <v>5</v>
      </c>
      <c r="M1508" s="10" t="s">
        <v>47</v>
      </c>
      <c r="N1508" s="10"/>
      <c r="O1508" s="2">
        <v>15</v>
      </c>
      <c r="P1508" s="17">
        <f>59*(1-S3/100)</f>
        <v>59</v>
      </c>
      <c r="Q1508" s="18"/>
      <c r="R1508" s="10">
        <f t="shared" si="62"/>
        <v>0</v>
      </c>
      <c r="S1508" s="19">
        <f>0.056*Q1508</f>
        <v>0</v>
      </c>
      <c r="T1508" s="20">
        <f>0.00012*Q1508</f>
        <v>0</v>
      </c>
      <c r="U1508" s="21"/>
      <c r="V1508" s="22" t="s">
        <v>6373</v>
      </c>
      <c r="W1508" s="22" t="s">
        <v>49</v>
      </c>
      <c r="X1508" s="3"/>
      <c r="Y1508" s="3"/>
      <c r="Z1508" s="3" t="s">
        <v>52</v>
      </c>
      <c r="AA1508" s="3"/>
      <c r="AB1508" s="3"/>
      <c r="AC1508" s="3" t="str">
        <f>HYPERLINK("https://knigipp.ru/api/getInfo/image/2714df71-d5b8-11eb-a209-ac1f6b442185")</f>
        <v>https://knigipp.ru/api/getInfo/image/2714df71-d5b8-11eb-a209-ac1f6b442185</v>
      </c>
      <c r="AD1508" s="32">
        <v>16</v>
      </c>
      <c r="AE1508" s="3"/>
      <c r="AF1508" s="3" t="s">
        <v>136</v>
      </c>
      <c r="AG1508" s="3"/>
      <c r="AH1508" s="3" t="s">
        <v>56</v>
      </c>
      <c r="AI1508" s="3"/>
      <c r="AJ1508" s="3" t="s">
        <v>6357</v>
      </c>
      <c r="AK1508" s="3" t="str">
        <f>HYPERLINK("https://knigipp.ru/api/getInfo/item/2714df71-d5b8-11eb-a209-ac1f6b442185")</f>
        <v>https://knigipp.ru/api/getInfo/item/2714df71-d5b8-11eb-a209-ac1f6b442185</v>
      </c>
      <c r="AL1508" s="3" t="s">
        <v>1155</v>
      </c>
    </row>
    <row r="1509" spans="1:38" ht="21" customHeight="1" outlineLevel="5" x14ac:dyDescent="0.2">
      <c r="A1509" s="39">
        <v>1132</v>
      </c>
      <c r="B1509" s="3" t="s">
        <v>6374</v>
      </c>
      <c r="C1509" s="49" t="s">
        <v>6375</v>
      </c>
      <c r="D1509" s="49"/>
      <c r="E1509" s="49"/>
      <c r="F1509" s="49"/>
      <c r="G1509" s="4" t="s">
        <v>6376</v>
      </c>
      <c r="H1509" s="8"/>
      <c r="I1509" s="9" t="s">
        <v>6355</v>
      </c>
      <c r="J1509" s="10"/>
      <c r="K1509" s="11">
        <v>50</v>
      </c>
      <c r="L1509" s="11">
        <v>5</v>
      </c>
      <c r="M1509" s="10" t="s">
        <v>47</v>
      </c>
      <c r="N1509" s="10"/>
      <c r="O1509" s="2">
        <v>15</v>
      </c>
      <c r="P1509" s="17">
        <f>59*(1-S3/100)</f>
        <v>59</v>
      </c>
      <c r="Q1509" s="18"/>
      <c r="R1509" s="10">
        <f t="shared" si="62"/>
        <v>0</v>
      </c>
      <c r="S1509" s="19">
        <f>0.057*Q1509</f>
        <v>0</v>
      </c>
      <c r="T1509" s="20">
        <f>0.00011*Q1509</f>
        <v>0</v>
      </c>
      <c r="U1509" s="21"/>
      <c r="V1509" s="22" t="s">
        <v>6377</v>
      </c>
      <c r="W1509" s="22" t="s">
        <v>49</v>
      </c>
      <c r="X1509" s="3"/>
      <c r="Y1509" s="3"/>
      <c r="Z1509" s="3" t="s">
        <v>52</v>
      </c>
      <c r="AA1509" s="3"/>
      <c r="AB1509" s="3"/>
      <c r="AC1509" s="3" t="str">
        <f>HYPERLINK("https://knigipp.ru/api/getInfo/image/5a14ef10-83a4-11e9-a226-ac1f6b442184")</f>
        <v>https://knigipp.ru/api/getInfo/image/5a14ef10-83a4-11e9-a226-ac1f6b442184</v>
      </c>
      <c r="AD1509" s="32">
        <v>16</v>
      </c>
      <c r="AE1509" s="3"/>
      <c r="AF1509" s="3" t="s">
        <v>136</v>
      </c>
      <c r="AG1509" s="3"/>
      <c r="AH1509" s="3" t="s">
        <v>56</v>
      </c>
      <c r="AI1509" s="3"/>
      <c r="AJ1509" s="3" t="s">
        <v>6357</v>
      </c>
      <c r="AK1509" s="3" t="str">
        <f>HYPERLINK("https://knigipp.ru/api/getInfo/item/5a14ef10-83a4-11e9-a226-ac1f6b442184")</f>
        <v>https://knigipp.ru/api/getInfo/item/5a14ef10-83a4-11e9-a226-ac1f6b442184</v>
      </c>
      <c r="AL1509" s="3" t="s">
        <v>1155</v>
      </c>
    </row>
    <row r="1510" spans="1:38" ht="21" customHeight="1" outlineLevel="5" x14ac:dyDescent="0.2">
      <c r="A1510" s="39">
        <v>1133</v>
      </c>
      <c r="B1510" s="3" t="s">
        <v>6378</v>
      </c>
      <c r="C1510" s="49" t="s">
        <v>6379</v>
      </c>
      <c r="D1510" s="49"/>
      <c r="E1510" s="49"/>
      <c r="F1510" s="49"/>
      <c r="G1510" s="4" t="s">
        <v>6380</v>
      </c>
      <c r="H1510" s="8"/>
      <c r="I1510" s="9" t="s">
        <v>6355</v>
      </c>
      <c r="J1510" s="10"/>
      <c r="K1510" s="11">
        <v>50</v>
      </c>
      <c r="L1510" s="11">
        <v>5</v>
      </c>
      <c r="M1510" s="10" t="s">
        <v>47</v>
      </c>
      <c r="N1510" s="10"/>
      <c r="O1510" s="2">
        <v>15</v>
      </c>
      <c r="P1510" s="17">
        <f>59*(1-S3/100)</f>
        <v>59</v>
      </c>
      <c r="Q1510" s="18"/>
      <c r="R1510" s="10">
        <f t="shared" si="62"/>
        <v>0</v>
      </c>
      <c r="S1510" s="19">
        <f>0.056*Q1510</f>
        <v>0</v>
      </c>
      <c r="T1510" s="20">
        <f>0.00012*Q1510</f>
        <v>0</v>
      </c>
      <c r="U1510" s="21"/>
      <c r="V1510" s="22" t="s">
        <v>6381</v>
      </c>
      <c r="W1510" s="22" t="s">
        <v>49</v>
      </c>
      <c r="X1510" s="3"/>
      <c r="Y1510" s="3"/>
      <c r="Z1510" s="3" t="s">
        <v>52</v>
      </c>
      <c r="AA1510" s="3"/>
      <c r="AB1510" s="3"/>
      <c r="AC1510" s="3" t="str">
        <f>HYPERLINK("https://knigipp.ru/api/getInfo/image/66e5d4d2-d0d3-11ea-a24a-ac1f6b442184")</f>
        <v>https://knigipp.ru/api/getInfo/image/66e5d4d2-d0d3-11ea-a24a-ac1f6b442184</v>
      </c>
      <c r="AD1510" s="32">
        <v>16</v>
      </c>
      <c r="AE1510" s="3"/>
      <c r="AF1510" s="3" t="s">
        <v>136</v>
      </c>
      <c r="AG1510" s="3"/>
      <c r="AH1510" s="3" t="s">
        <v>56</v>
      </c>
      <c r="AI1510" s="3"/>
      <c r="AJ1510" s="3" t="s">
        <v>6357</v>
      </c>
      <c r="AK1510" s="3" t="str">
        <f>HYPERLINK("https://knigipp.ru/api/getInfo/item/66e5d4d2-d0d3-11ea-a24a-ac1f6b442184")</f>
        <v>https://knigipp.ru/api/getInfo/item/66e5d4d2-d0d3-11ea-a24a-ac1f6b442184</v>
      </c>
      <c r="AL1510" s="3" t="s">
        <v>1155</v>
      </c>
    </row>
    <row r="1511" spans="1:38" ht="21" customHeight="1" outlineLevel="5" x14ac:dyDescent="0.2">
      <c r="A1511" s="39">
        <v>1134</v>
      </c>
      <c r="B1511" s="3" t="s">
        <v>6382</v>
      </c>
      <c r="C1511" s="49" t="s">
        <v>6383</v>
      </c>
      <c r="D1511" s="49"/>
      <c r="E1511" s="49"/>
      <c r="F1511" s="49"/>
      <c r="G1511" s="4" t="s">
        <v>6384</v>
      </c>
      <c r="H1511" s="8"/>
      <c r="I1511" s="9" t="s">
        <v>6355</v>
      </c>
      <c r="J1511" s="10"/>
      <c r="K1511" s="11">
        <v>50</v>
      </c>
      <c r="L1511" s="10"/>
      <c r="M1511" s="10" t="s">
        <v>47</v>
      </c>
      <c r="N1511" s="10"/>
      <c r="O1511" s="2">
        <v>15</v>
      </c>
      <c r="P1511" s="17">
        <f>59*(1-S3/100)</f>
        <v>59</v>
      </c>
      <c r="Q1511" s="18"/>
      <c r="R1511" s="10">
        <f t="shared" si="62"/>
        <v>0</v>
      </c>
      <c r="S1511" s="19">
        <f>0.054*Q1511</f>
        <v>0</v>
      </c>
      <c r="T1511" s="20">
        <f>0.00017*Q1511</f>
        <v>0</v>
      </c>
      <c r="U1511" s="21"/>
      <c r="V1511" s="22" t="s">
        <v>6385</v>
      </c>
      <c r="W1511" s="22" t="s">
        <v>49</v>
      </c>
      <c r="X1511" s="3"/>
      <c r="Y1511" s="3" t="s">
        <v>6386</v>
      </c>
      <c r="Z1511" s="3" t="s">
        <v>52</v>
      </c>
      <c r="AA1511" s="3"/>
      <c r="AB1511" s="3"/>
      <c r="AC1511" s="3" t="str">
        <f>HYPERLINK("https://knigipp.ru/api/getInfo/image/ef54f20b-13e1-11f1-a28f-00155d82e908")</f>
        <v>https://knigipp.ru/api/getInfo/image/ef54f20b-13e1-11f1-a28f-00155d82e908</v>
      </c>
      <c r="AD1511" s="32">
        <v>16</v>
      </c>
      <c r="AE1511" s="3"/>
      <c r="AF1511" s="3" t="s">
        <v>136</v>
      </c>
      <c r="AG1511" s="3"/>
      <c r="AH1511" s="3" t="s">
        <v>56</v>
      </c>
      <c r="AI1511" s="3"/>
      <c r="AJ1511" s="3"/>
      <c r="AK1511" s="3" t="str">
        <f>HYPERLINK("https://knigipp.ru/api/getInfo/item/ef54f20b-13e1-11f1-a28f-00155d82e908")</f>
        <v>https://knigipp.ru/api/getInfo/item/ef54f20b-13e1-11f1-a28f-00155d82e908</v>
      </c>
      <c r="AL1511" s="3" t="s">
        <v>1155</v>
      </c>
    </row>
    <row r="1512" spans="1:38" ht="21" customHeight="1" outlineLevel="5" x14ac:dyDescent="0.2">
      <c r="A1512" s="39">
        <v>1135</v>
      </c>
      <c r="B1512" s="3" t="s">
        <v>6387</v>
      </c>
      <c r="C1512" s="49" t="s">
        <v>6388</v>
      </c>
      <c r="D1512" s="49"/>
      <c r="E1512" s="49"/>
      <c r="F1512" s="49"/>
      <c r="G1512" s="4" t="s">
        <v>6389</v>
      </c>
      <c r="H1512" s="8"/>
      <c r="I1512" s="9" t="s">
        <v>6355</v>
      </c>
      <c r="J1512" s="10"/>
      <c r="K1512" s="11">
        <v>50</v>
      </c>
      <c r="L1512" s="11">
        <v>5</v>
      </c>
      <c r="M1512" s="10" t="s">
        <v>47</v>
      </c>
      <c r="N1512" s="10"/>
      <c r="O1512" s="2">
        <v>15</v>
      </c>
      <c r="P1512" s="17">
        <f>59*(1-S3/100)</f>
        <v>59</v>
      </c>
      <c r="Q1512" s="18"/>
      <c r="R1512" s="10">
        <f t="shared" si="62"/>
        <v>0</v>
      </c>
      <c r="S1512" s="19">
        <f>0.056*Q1512</f>
        <v>0</v>
      </c>
      <c r="T1512" s="20">
        <f>0.00012*Q1512</f>
        <v>0</v>
      </c>
      <c r="U1512" s="21"/>
      <c r="V1512" s="22" t="s">
        <v>6390</v>
      </c>
      <c r="W1512" s="22" t="s">
        <v>49</v>
      </c>
      <c r="X1512" s="3"/>
      <c r="Y1512" s="3"/>
      <c r="Z1512" s="3" t="s">
        <v>52</v>
      </c>
      <c r="AA1512" s="3" t="s">
        <v>6391</v>
      </c>
      <c r="AB1512" s="3"/>
      <c r="AC1512" s="3" t="str">
        <f>HYPERLINK("https://knigipp.ru/api/getInfo/image/6c25dc28-2b7a-11e8-ba06-5cf3fc4a2490")</f>
        <v>https://knigipp.ru/api/getInfo/image/6c25dc28-2b7a-11e8-ba06-5cf3fc4a2490</v>
      </c>
      <c r="AD1512" s="32">
        <v>16</v>
      </c>
      <c r="AE1512" s="3"/>
      <c r="AF1512" s="3" t="s">
        <v>136</v>
      </c>
      <c r="AG1512" s="3"/>
      <c r="AH1512" s="3" t="s">
        <v>56</v>
      </c>
      <c r="AI1512" s="3"/>
      <c r="AJ1512" s="3" t="s">
        <v>6357</v>
      </c>
      <c r="AK1512" s="3" t="str">
        <f>HYPERLINK("https://knigipp.ru/api/getInfo/item/6c25dc28-2b7a-11e8-ba06-5cf3fc4a2490")</f>
        <v>https://knigipp.ru/api/getInfo/item/6c25dc28-2b7a-11e8-ba06-5cf3fc4a2490</v>
      </c>
      <c r="AL1512" s="3" t="s">
        <v>1155</v>
      </c>
    </row>
    <row r="1513" spans="1:38" ht="21" customHeight="1" outlineLevel="5" x14ac:dyDescent="0.2">
      <c r="A1513" s="39">
        <v>1136</v>
      </c>
      <c r="B1513" s="3" t="s">
        <v>6392</v>
      </c>
      <c r="C1513" s="49" t="s">
        <v>6393</v>
      </c>
      <c r="D1513" s="49"/>
      <c r="E1513" s="49"/>
      <c r="F1513" s="49"/>
      <c r="G1513" s="4" t="s">
        <v>6394</v>
      </c>
      <c r="H1513" s="8"/>
      <c r="I1513" s="9" t="s">
        <v>6355</v>
      </c>
      <c r="J1513" s="10"/>
      <c r="K1513" s="11">
        <v>50</v>
      </c>
      <c r="L1513" s="10"/>
      <c r="M1513" s="10" t="s">
        <v>47</v>
      </c>
      <c r="N1513" s="10"/>
      <c r="O1513" s="2">
        <v>15</v>
      </c>
      <c r="P1513" s="17">
        <f>59*(1-S3/100)</f>
        <v>59</v>
      </c>
      <c r="Q1513" s="18"/>
      <c r="R1513" s="10">
        <f t="shared" si="62"/>
        <v>0</v>
      </c>
      <c r="S1513" s="19">
        <f>0.057*Q1513</f>
        <v>0</v>
      </c>
      <c r="T1513" s="20">
        <f>0.00011*Q1513</f>
        <v>0</v>
      </c>
      <c r="U1513" s="21"/>
      <c r="V1513" s="22" t="s">
        <v>6395</v>
      </c>
      <c r="W1513" s="22" t="s">
        <v>49</v>
      </c>
      <c r="X1513" s="3"/>
      <c r="Y1513" s="3"/>
      <c r="Z1513" s="3" t="s">
        <v>52</v>
      </c>
      <c r="AA1513" s="3" t="s">
        <v>6391</v>
      </c>
      <c r="AB1513" s="3"/>
      <c r="AC1513" s="3" t="str">
        <f>HYPERLINK("https://knigipp.ru/api/getInfo/image/9002f387-2b7a-11e8-ba06-5cf3fc4a2490")</f>
        <v>https://knigipp.ru/api/getInfo/image/9002f387-2b7a-11e8-ba06-5cf3fc4a2490</v>
      </c>
      <c r="AD1513" s="32">
        <v>16</v>
      </c>
      <c r="AE1513" s="3"/>
      <c r="AF1513" s="3" t="s">
        <v>136</v>
      </c>
      <c r="AG1513" s="3"/>
      <c r="AH1513" s="3" t="s">
        <v>56</v>
      </c>
      <c r="AI1513" s="3"/>
      <c r="AJ1513" s="3" t="s">
        <v>6357</v>
      </c>
      <c r="AK1513" s="3" t="str">
        <f>HYPERLINK("https://knigipp.ru/api/getInfo/item/9002f387-2b7a-11e8-ba06-5cf3fc4a2490")</f>
        <v>https://knigipp.ru/api/getInfo/item/9002f387-2b7a-11e8-ba06-5cf3fc4a2490</v>
      </c>
      <c r="AL1513" s="3" t="s">
        <v>1155</v>
      </c>
    </row>
    <row r="1514" spans="1:38" ht="21" customHeight="1" outlineLevel="5" x14ac:dyDescent="0.2">
      <c r="A1514" s="39">
        <v>1137</v>
      </c>
      <c r="B1514" s="3" t="s">
        <v>6396</v>
      </c>
      <c r="C1514" s="49" t="s">
        <v>6397</v>
      </c>
      <c r="D1514" s="49"/>
      <c r="E1514" s="49"/>
      <c r="F1514" s="49"/>
      <c r="G1514" s="4" t="s">
        <v>6398</v>
      </c>
      <c r="H1514" s="8"/>
      <c r="I1514" s="9" t="s">
        <v>6355</v>
      </c>
      <c r="J1514" s="10"/>
      <c r="K1514" s="11">
        <v>50</v>
      </c>
      <c r="L1514" s="11">
        <v>5</v>
      </c>
      <c r="M1514" s="10" t="s">
        <v>47</v>
      </c>
      <c r="N1514" s="10"/>
      <c r="O1514" s="2">
        <v>15</v>
      </c>
      <c r="P1514" s="17">
        <f>59*(1-S3/100)</f>
        <v>59</v>
      </c>
      <c r="Q1514" s="18"/>
      <c r="R1514" s="10">
        <f t="shared" si="62"/>
        <v>0</v>
      </c>
      <c r="S1514" s="19">
        <f>0.054*Q1514</f>
        <v>0</v>
      </c>
      <c r="T1514" s="20">
        <f>0.00022*Q1514</f>
        <v>0</v>
      </c>
      <c r="U1514" s="21"/>
      <c r="V1514" s="22" t="s">
        <v>6399</v>
      </c>
      <c r="W1514" s="22" t="s">
        <v>49</v>
      </c>
      <c r="X1514" s="3"/>
      <c r="Y1514" s="3"/>
      <c r="Z1514" s="3" t="s">
        <v>52</v>
      </c>
      <c r="AA1514" s="3"/>
      <c r="AB1514" s="3"/>
      <c r="AC1514" s="3" t="str">
        <f>HYPERLINK("https://knigipp.ru/api/getInfo/image/ecd74acc-a3e7-11ee-a258-00155d82e908")</f>
        <v>https://knigipp.ru/api/getInfo/image/ecd74acc-a3e7-11ee-a258-00155d82e908</v>
      </c>
      <c r="AD1514" s="32">
        <v>16</v>
      </c>
      <c r="AE1514" s="3"/>
      <c r="AF1514" s="3" t="s">
        <v>136</v>
      </c>
      <c r="AG1514" s="3"/>
      <c r="AH1514" s="3" t="s">
        <v>56</v>
      </c>
      <c r="AI1514" s="3"/>
      <c r="AJ1514" s="3" t="s">
        <v>6357</v>
      </c>
      <c r="AK1514" s="3" t="str">
        <f>HYPERLINK("https://knigipp.ru/api/getInfo/item/ecd74acc-a3e7-11ee-a258-00155d82e908")</f>
        <v>https://knigipp.ru/api/getInfo/item/ecd74acc-a3e7-11ee-a258-00155d82e908</v>
      </c>
      <c r="AL1514" s="3" t="s">
        <v>1155</v>
      </c>
    </row>
    <row r="1515" spans="1:38" ht="21" customHeight="1" outlineLevel="5" x14ac:dyDescent="0.2">
      <c r="A1515" s="39">
        <v>1138</v>
      </c>
      <c r="B1515" s="3" t="s">
        <v>6400</v>
      </c>
      <c r="C1515" s="49" t="s">
        <v>6401</v>
      </c>
      <c r="D1515" s="49"/>
      <c r="E1515" s="49"/>
      <c r="F1515" s="49"/>
      <c r="G1515" s="4" t="s">
        <v>6402</v>
      </c>
      <c r="H1515" s="8"/>
      <c r="I1515" s="9" t="s">
        <v>6355</v>
      </c>
      <c r="J1515" s="10"/>
      <c r="K1515" s="11">
        <v>50</v>
      </c>
      <c r="L1515" s="11">
        <v>5</v>
      </c>
      <c r="M1515" s="10" t="s">
        <v>47</v>
      </c>
      <c r="N1515" s="10"/>
      <c r="O1515" s="2">
        <v>15</v>
      </c>
      <c r="P1515" s="17">
        <f>59*(1-S3/100)</f>
        <v>59</v>
      </c>
      <c r="Q1515" s="18"/>
      <c r="R1515" s="10">
        <f t="shared" si="62"/>
        <v>0</v>
      </c>
      <c r="S1515" s="19">
        <f>0.259*Q1515</f>
        <v>0</v>
      </c>
      <c r="T1515" s="20">
        <f>0.00064*Q1515</f>
        <v>0</v>
      </c>
      <c r="U1515" s="21"/>
      <c r="V1515" s="22" t="s">
        <v>6403</v>
      </c>
      <c r="W1515" s="22" t="s">
        <v>49</v>
      </c>
      <c r="X1515" s="3"/>
      <c r="Y1515" s="3"/>
      <c r="Z1515" s="3" t="s">
        <v>52</v>
      </c>
      <c r="AA1515" s="3"/>
      <c r="AB1515" s="3"/>
      <c r="AC1515" s="3" t="str">
        <f>HYPERLINK("https://knigipp.ru/api/getInfo/image/a5ecd02c-f940-11ec-a213-ac1f6b442185")</f>
        <v>https://knigipp.ru/api/getInfo/image/a5ecd02c-f940-11ec-a213-ac1f6b442185</v>
      </c>
      <c r="AD1515" s="32">
        <v>16</v>
      </c>
      <c r="AE1515" s="3"/>
      <c r="AF1515" s="3" t="s">
        <v>136</v>
      </c>
      <c r="AG1515" s="3"/>
      <c r="AH1515" s="3" t="s">
        <v>56</v>
      </c>
      <c r="AI1515" s="3"/>
      <c r="AJ1515" s="3" t="s">
        <v>6357</v>
      </c>
      <c r="AK1515" s="3" t="str">
        <f>HYPERLINK("https://knigipp.ru/api/getInfo/item/a5ecd02c-f940-11ec-a213-ac1f6b442185")</f>
        <v>https://knigipp.ru/api/getInfo/item/a5ecd02c-f940-11ec-a213-ac1f6b442185</v>
      </c>
      <c r="AL1515" s="3" t="s">
        <v>1155</v>
      </c>
    </row>
    <row r="1516" spans="1:38" ht="21" customHeight="1" outlineLevel="5" x14ac:dyDescent="0.2">
      <c r="A1516" s="39">
        <v>1139</v>
      </c>
      <c r="B1516" s="3" t="s">
        <v>6404</v>
      </c>
      <c r="C1516" s="49" t="s">
        <v>6405</v>
      </c>
      <c r="D1516" s="49"/>
      <c r="E1516" s="49"/>
      <c r="F1516" s="49"/>
      <c r="G1516" s="4" t="s">
        <v>6406</v>
      </c>
      <c r="H1516" s="8"/>
      <c r="I1516" s="9" t="s">
        <v>6355</v>
      </c>
      <c r="J1516" s="10"/>
      <c r="K1516" s="11">
        <v>50</v>
      </c>
      <c r="L1516" s="11">
        <v>5</v>
      </c>
      <c r="M1516" s="10" t="s">
        <v>47</v>
      </c>
      <c r="N1516" s="10"/>
      <c r="O1516" s="2">
        <v>15</v>
      </c>
      <c r="P1516" s="17">
        <f>59*(1-S3/100)</f>
        <v>59</v>
      </c>
      <c r="Q1516" s="18"/>
      <c r="R1516" s="10">
        <f t="shared" si="62"/>
        <v>0</v>
      </c>
      <c r="S1516" s="19">
        <f>0.061*Q1516</f>
        <v>0</v>
      </c>
      <c r="T1516" s="20">
        <f>0.00022*Q1516</f>
        <v>0</v>
      </c>
      <c r="U1516" s="21"/>
      <c r="V1516" s="22" t="s">
        <v>6407</v>
      </c>
      <c r="W1516" s="22" t="s">
        <v>49</v>
      </c>
      <c r="X1516" s="3"/>
      <c r="Y1516" s="3"/>
      <c r="Z1516" s="3" t="s">
        <v>52</v>
      </c>
      <c r="AA1516" s="3"/>
      <c r="AB1516" s="3"/>
      <c r="AC1516" s="3" t="str">
        <f>HYPERLINK("https://knigipp.ru/api/getInfo/image/fc93bd86-bf63-11ee-a25a-00155d82e908")</f>
        <v>https://knigipp.ru/api/getInfo/image/fc93bd86-bf63-11ee-a25a-00155d82e908</v>
      </c>
      <c r="AD1516" s="32">
        <v>16</v>
      </c>
      <c r="AE1516" s="3"/>
      <c r="AF1516" s="3" t="s">
        <v>136</v>
      </c>
      <c r="AG1516" s="3"/>
      <c r="AH1516" s="3" t="s">
        <v>56</v>
      </c>
      <c r="AI1516" s="3"/>
      <c r="AJ1516" s="3" t="s">
        <v>6357</v>
      </c>
      <c r="AK1516" s="3" t="str">
        <f>HYPERLINK("https://knigipp.ru/api/getInfo/item/fc93bd86-bf63-11ee-a25a-00155d82e908")</f>
        <v>https://knigipp.ru/api/getInfo/item/fc93bd86-bf63-11ee-a25a-00155d82e908</v>
      </c>
      <c r="AL1516" s="3" t="s">
        <v>1155</v>
      </c>
    </row>
    <row r="1517" spans="1:38" ht="21" customHeight="1" outlineLevel="5" x14ac:dyDescent="0.2">
      <c r="A1517" s="39">
        <v>1140</v>
      </c>
      <c r="B1517" s="3" t="s">
        <v>6408</v>
      </c>
      <c r="C1517" s="49" t="s">
        <v>6409</v>
      </c>
      <c r="D1517" s="49"/>
      <c r="E1517" s="49"/>
      <c r="F1517" s="49"/>
      <c r="G1517" s="4" t="s">
        <v>6410</v>
      </c>
      <c r="H1517" s="8"/>
      <c r="I1517" s="9" t="s">
        <v>6355</v>
      </c>
      <c r="J1517" s="10"/>
      <c r="K1517" s="11">
        <v>50</v>
      </c>
      <c r="L1517" s="10"/>
      <c r="M1517" s="10" t="s">
        <v>47</v>
      </c>
      <c r="N1517" s="10"/>
      <c r="O1517" s="2">
        <v>15</v>
      </c>
      <c r="P1517" s="17">
        <f>59*(1-S3/100)</f>
        <v>59</v>
      </c>
      <c r="Q1517" s="18"/>
      <c r="R1517" s="10">
        <f t="shared" si="62"/>
        <v>0</v>
      </c>
      <c r="S1517" s="19">
        <f>0.057*Q1517</f>
        <v>0</v>
      </c>
      <c r="T1517" s="20">
        <f>0.00011*Q1517</f>
        <v>0</v>
      </c>
      <c r="U1517" s="21"/>
      <c r="V1517" s="22" t="s">
        <v>6411</v>
      </c>
      <c r="W1517" s="22" t="s">
        <v>49</v>
      </c>
      <c r="X1517" s="3"/>
      <c r="Y1517" s="3"/>
      <c r="Z1517" s="3" t="s">
        <v>52</v>
      </c>
      <c r="AA1517" s="3"/>
      <c r="AB1517" s="3"/>
      <c r="AC1517" s="3" t="str">
        <f>HYPERLINK("https://knigipp.ru/api/getInfo/image/5069aac7-a387-11ed-a22f-00155d82e902")</f>
        <v>https://knigipp.ru/api/getInfo/image/5069aac7-a387-11ed-a22f-00155d82e902</v>
      </c>
      <c r="AD1517" s="32">
        <v>16</v>
      </c>
      <c r="AE1517" s="3"/>
      <c r="AF1517" s="3" t="s">
        <v>136</v>
      </c>
      <c r="AG1517" s="3"/>
      <c r="AH1517" s="3" t="s">
        <v>56</v>
      </c>
      <c r="AI1517" s="3"/>
      <c r="AJ1517" s="3" t="s">
        <v>6357</v>
      </c>
      <c r="AK1517" s="3" t="str">
        <f>HYPERLINK("https://knigipp.ru/api/getInfo/item/5069aac7-a387-11ed-a22f-00155d82e902")</f>
        <v>https://knigipp.ru/api/getInfo/item/5069aac7-a387-11ed-a22f-00155d82e902</v>
      </c>
      <c r="AL1517" s="3" t="s">
        <v>1155</v>
      </c>
    </row>
    <row r="1518" spans="1:38" ht="21" customHeight="1" outlineLevel="5" x14ac:dyDescent="0.2">
      <c r="A1518" s="39">
        <v>1141</v>
      </c>
      <c r="B1518" s="3" t="s">
        <v>6412</v>
      </c>
      <c r="C1518" s="49" t="s">
        <v>6413</v>
      </c>
      <c r="D1518" s="49"/>
      <c r="E1518" s="49"/>
      <c r="F1518" s="49"/>
      <c r="G1518" s="4" t="s">
        <v>6414</v>
      </c>
      <c r="H1518" s="8"/>
      <c r="I1518" s="9" t="s">
        <v>6355</v>
      </c>
      <c r="J1518" s="10"/>
      <c r="K1518" s="11">
        <v>50</v>
      </c>
      <c r="L1518" s="11">
        <v>5</v>
      </c>
      <c r="M1518" s="10" t="s">
        <v>47</v>
      </c>
      <c r="N1518" s="10"/>
      <c r="O1518" s="2">
        <v>15</v>
      </c>
      <c r="P1518" s="17">
        <f>59*(1-S3/100)</f>
        <v>59</v>
      </c>
      <c r="Q1518" s="18"/>
      <c r="R1518" s="10">
        <f t="shared" si="62"/>
        <v>0</v>
      </c>
      <c r="S1518" s="19">
        <f>0.055*Q1518</f>
        <v>0</v>
      </c>
      <c r="T1518" s="20">
        <f>0.00017*Q1518</f>
        <v>0</v>
      </c>
      <c r="U1518" s="21"/>
      <c r="V1518" s="22" t="s">
        <v>6415</v>
      </c>
      <c r="W1518" s="22" t="s">
        <v>49</v>
      </c>
      <c r="X1518" s="3"/>
      <c r="Y1518" s="3"/>
      <c r="Z1518" s="3" t="s">
        <v>52</v>
      </c>
      <c r="AA1518" s="3"/>
      <c r="AB1518" s="3"/>
      <c r="AC1518" s="3" t="str">
        <f>HYPERLINK("https://knigipp.ru/api/getInfo/image/aa45f103-f941-11ec-a213-ac1f6b442185")</f>
        <v>https://knigipp.ru/api/getInfo/image/aa45f103-f941-11ec-a213-ac1f6b442185</v>
      </c>
      <c r="AD1518" s="32">
        <v>16</v>
      </c>
      <c r="AE1518" s="3"/>
      <c r="AF1518" s="3" t="s">
        <v>136</v>
      </c>
      <c r="AG1518" s="3"/>
      <c r="AH1518" s="3" t="s">
        <v>56</v>
      </c>
      <c r="AI1518" s="3"/>
      <c r="AJ1518" s="3" t="s">
        <v>6357</v>
      </c>
      <c r="AK1518" s="3" t="str">
        <f>HYPERLINK("https://knigipp.ru/api/getInfo/item/aa45f103-f941-11ec-a213-ac1f6b442185")</f>
        <v>https://knigipp.ru/api/getInfo/item/aa45f103-f941-11ec-a213-ac1f6b442185</v>
      </c>
      <c r="AL1518" s="3" t="s">
        <v>1155</v>
      </c>
    </row>
    <row r="1519" spans="1:38" ht="21" customHeight="1" outlineLevel="5" x14ac:dyDescent="0.2">
      <c r="A1519" s="39">
        <v>1142</v>
      </c>
      <c r="B1519" s="3" t="s">
        <v>6416</v>
      </c>
      <c r="C1519" s="49" t="s">
        <v>6417</v>
      </c>
      <c r="D1519" s="49"/>
      <c r="E1519" s="49"/>
      <c r="F1519" s="49"/>
      <c r="G1519" s="4" t="s">
        <v>6418</v>
      </c>
      <c r="H1519" s="8"/>
      <c r="I1519" s="9" t="s">
        <v>6355</v>
      </c>
      <c r="J1519" s="10"/>
      <c r="K1519" s="11">
        <v>50</v>
      </c>
      <c r="L1519" s="11">
        <v>5</v>
      </c>
      <c r="M1519" s="10" t="s">
        <v>47</v>
      </c>
      <c r="N1519" s="10"/>
      <c r="O1519" s="2">
        <v>15</v>
      </c>
      <c r="P1519" s="17">
        <f>59*(1-S3/100)</f>
        <v>59</v>
      </c>
      <c r="Q1519" s="18"/>
      <c r="R1519" s="10">
        <f t="shared" si="62"/>
        <v>0</v>
      </c>
      <c r="S1519" s="19">
        <f>0.056*Q1519</f>
        <v>0</v>
      </c>
      <c r="T1519" s="20">
        <f>0.00011*Q1519</f>
        <v>0</v>
      </c>
      <c r="U1519" s="21"/>
      <c r="V1519" s="22" t="s">
        <v>6419</v>
      </c>
      <c r="W1519" s="22" t="s">
        <v>49</v>
      </c>
      <c r="X1519" s="3"/>
      <c r="Y1519" s="3"/>
      <c r="Z1519" s="3" t="s">
        <v>52</v>
      </c>
      <c r="AA1519" s="3"/>
      <c r="AB1519" s="3"/>
      <c r="AC1519" s="3" t="str">
        <f>HYPERLINK("https://knigipp.ru/api/getInfo/image/391b5b11-f941-11ec-a213-ac1f6b442185")</f>
        <v>https://knigipp.ru/api/getInfo/image/391b5b11-f941-11ec-a213-ac1f6b442185</v>
      </c>
      <c r="AD1519" s="32">
        <v>16</v>
      </c>
      <c r="AE1519" s="3"/>
      <c r="AF1519" s="3" t="s">
        <v>136</v>
      </c>
      <c r="AG1519" s="3"/>
      <c r="AH1519" s="3" t="s">
        <v>56</v>
      </c>
      <c r="AI1519" s="3"/>
      <c r="AJ1519" s="3" t="s">
        <v>6357</v>
      </c>
      <c r="AK1519" s="3" t="str">
        <f>HYPERLINK("https://knigipp.ru/api/getInfo/item/391b5b11-f941-11ec-a213-ac1f6b442185")</f>
        <v>https://knigipp.ru/api/getInfo/item/391b5b11-f941-11ec-a213-ac1f6b442185</v>
      </c>
      <c r="AL1519" s="3" t="s">
        <v>1155</v>
      </c>
    </row>
    <row r="1520" spans="1:38" ht="21" customHeight="1" outlineLevel="5" x14ac:dyDescent="0.2">
      <c r="A1520" s="39">
        <v>1143</v>
      </c>
      <c r="B1520" s="3" t="s">
        <v>6420</v>
      </c>
      <c r="C1520" s="49" t="s">
        <v>6421</v>
      </c>
      <c r="D1520" s="49"/>
      <c r="E1520" s="49"/>
      <c r="F1520" s="49"/>
      <c r="G1520" s="4" t="s">
        <v>6422</v>
      </c>
      <c r="H1520" s="8"/>
      <c r="I1520" s="9" t="s">
        <v>6355</v>
      </c>
      <c r="J1520" s="10"/>
      <c r="K1520" s="11">
        <v>50</v>
      </c>
      <c r="L1520" s="11">
        <v>5</v>
      </c>
      <c r="M1520" s="10" t="s">
        <v>47</v>
      </c>
      <c r="N1520" s="10"/>
      <c r="O1520" s="2">
        <v>15</v>
      </c>
      <c r="P1520" s="17">
        <f>59*(1-S3/100)</f>
        <v>59</v>
      </c>
      <c r="Q1520" s="18"/>
      <c r="R1520" s="10">
        <f t="shared" si="62"/>
        <v>0</v>
      </c>
      <c r="S1520" s="19">
        <f>0.055*Q1520</f>
        <v>0</v>
      </c>
      <c r="T1520" s="20">
        <f>0.00031*Q1520</f>
        <v>0</v>
      </c>
      <c r="U1520" s="21"/>
      <c r="V1520" s="22" t="s">
        <v>6423</v>
      </c>
      <c r="W1520" s="22" t="s">
        <v>49</v>
      </c>
      <c r="X1520" s="3"/>
      <c r="Y1520" s="3"/>
      <c r="Z1520" s="3" t="s">
        <v>52</v>
      </c>
      <c r="AA1520" s="3"/>
      <c r="AB1520" s="3"/>
      <c r="AC1520" s="3" t="str">
        <f>HYPERLINK("https://knigipp.ru/api/getInfo/image/e7c8824a-5a29-11ea-a242-ac1f6b442184")</f>
        <v>https://knigipp.ru/api/getInfo/image/e7c8824a-5a29-11ea-a242-ac1f6b442184</v>
      </c>
      <c r="AD1520" s="32">
        <v>16</v>
      </c>
      <c r="AE1520" s="3"/>
      <c r="AF1520" s="3" t="s">
        <v>136</v>
      </c>
      <c r="AG1520" s="3"/>
      <c r="AH1520" s="3" t="s">
        <v>56</v>
      </c>
      <c r="AI1520" s="3"/>
      <c r="AJ1520" s="3" t="s">
        <v>6357</v>
      </c>
      <c r="AK1520" s="3" t="str">
        <f>HYPERLINK("https://knigipp.ru/api/getInfo/item/e7c8824a-5a29-11ea-a242-ac1f6b442184")</f>
        <v>https://knigipp.ru/api/getInfo/item/e7c8824a-5a29-11ea-a242-ac1f6b442184</v>
      </c>
      <c r="AL1520" s="3" t="s">
        <v>1155</v>
      </c>
    </row>
    <row r="1521" spans="1:38" ht="21" customHeight="1" outlineLevel="5" x14ac:dyDescent="0.2">
      <c r="A1521" s="39">
        <v>1144</v>
      </c>
      <c r="B1521" s="3" t="s">
        <v>6424</v>
      </c>
      <c r="C1521" s="49" t="s">
        <v>6425</v>
      </c>
      <c r="D1521" s="49"/>
      <c r="E1521" s="49"/>
      <c r="F1521" s="49"/>
      <c r="G1521" s="4" t="s">
        <v>6426</v>
      </c>
      <c r="H1521" s="8"/>
      <c r="I1521" s="9" t="s">
        <v>6355</v>
      </c>
      <c r="J1521" s="10"/>
      <c r="K1521" s="11">
        <v>50</v>
      </c>
      <c r="L1521" s="10"/>
      <c r="M1521" s="10" t="s">
        <v>47</v>
      </c>
      <c r="N1521" s="10"/>
      <c r="O1521" s="2">
        <v>15</v>
      </c>
      <c r="P1521" s="17">
        <f>59*(1-S3/100)</f>
        <v>59</v>
      </c>
      <c r="Q1521" s="18"/>
      <c r="R1521" s="10">
        <f t="shared" si="62"/>
        <v>0</v>
      </c>
      <c r="S1521" s="19">
        <f>0.054*Q1521</f>
        <v>0</v>
      </c>
      <c r="T1521" s="20">
        <f>0.00017*Q1521</f>
        <v>0</v>
      </c>
      <c r="U1521" s="21"/>
      <c r="V1521" s="22" t="s">
        <v>6427</v>
      </c>
      <c r="W1521" s="22" t="s">
        <v>49</v>
      </c>
      <c r="X1521" s="3"/>
      <c r="Y1521" s="3" t="s">
        <v>6386</v>
      </c>
      <c r="Z1521" s="3" t="s">
        <v>52</v>
      </c>
      <c r="AA1521" s="3"/>
      <c r="AB1521" s="3"/>
      <c r="AC1521" s="3" t="str">
        <f>HYPERLINK("https://knigipp.ru/api/getInfo/image/73322a81-13e1-11f1-a28f-00155d82e908")</f>
        <v>https://knigipp.ru/api/getInfo/image/73322a81-13e1-11f1-a28f-00155d82e908</v>
      </c>
      <c r="AD1521" s="32">
        <v>16</v>
      </c>
      <c r="AE1521" s="3"/>
      <c r="AF1521" s="3" t="s">
        <v>136</v>
      </c>
      <c r="AG1521" s="3"/>
      <c r="AH1521" s="3" t="s">
        <v>56</v>
      </c>
      <c r="AI1521" s="3"/>
      <c r="AJ1521" s="3"/>
      <c r="AK1521" s="3" t="str">
        <f>HYPERLINK("https://knigipp.ru/api/getInfo/item/73322a81-13e1-11f1-a28f-00155d82e908")</f>
        <v>https://knigipp.ru/api/getInfo/item/73322a81-13e1-11f1-a28f-00155d82e908</v>
      </c>
      <c r="AL1521" s="3" t="s">
        <v>1155</v>
      </c>
    </row>
    <row r="1522" spans="1:38" ht="21" customHeight="1" outlineLevel="5" x14ac:dyDescent="0.2">
      <c r="A1522" s="39">
        <v>1145</v>
      </c>
      <c r="B1522" s="3" t="s">
        <v>6428</v>
      </c>
      <c r="C1522" s="49" t="s">
        <v>6429</v>
      </c>
      <c r="D1522" s="49"/>
      <c r="E1522" s="49"/>
      <c r="F1522" s="49"/>
      <c r="G1522" s="4" t="s">
        <v>6430</v>
      </c>
      <c r="H1522" s="8"/>
      <c r="I1522" s="9" t="s">
        <v>6355</v>
      </c>
      <c r="J1522" s="10"/>
      <c r="K1522" s="11">
        <v>50</v>
      </c>
      <c r="L1522" s="11">
        <v>5</v>
      </c>
      <c r="M1522" s="10" t="s">
        <v>47</v>
      </c>
      <c r="N1522" s="10"/>
      <c r="O1522" s="2">
        <v>15</v>
      </c>
      <c r="P1522" s="17">
        <f>59*(1-S3/100)</f>
        <v>59</v>
      </c>
      <c r="Q1522" s="18"/>
      <c r="R1522" s="10">
        <f t="shared" si="62"/>
        <v>0</v>
      </c>
      <c r="S1522" s="19">
        <f>0.059*Q1522</f>
        <v>0</v>
      </c>
      <c r="T1522" s="20">
        <f>0.00011*Q1522</f>
        <v>0</v>
      </c>
      <c r="U1522" s="21"/>
      <c r="V1522" s="22" t="s">
        <v>6431</v>
      </c>
      <c r="W1522" s="22" t="s">
        <v>49</v>
      </c>
      <c r="X1522" s="3"/>
      <c r="Y1522" s="3" t="s">
        <v>6432</v>
      </c>
      <c r="Z1522" s="3" t="s">
        <v>52</v>
      </c>
      <c r="AA1522" s="3"/>
      <c r="AB1522" s="3"/>
      <c r="AC1522" s="3" t="str">
        <f>HYPERLINK("https://knigipp.ru/api/getInfo/image/62e12816-977a-11ef-a267-00155d82e908")</f>
        <v>https://knigipp.ru/api/getInfo/image/62e12816-977a-11ef-a267-00155d82e908</v>
      </c>
      <c r="AD1522" s="32">
        <v>16</v>
      </c>
      <c r="AE1522" s="3"/>
      <c r="AF1522" s="3" t="s">
        <v>136</v>
      </c>
      <c r="AG1522" s="3"/>
      <c r="AH1522" s="3" t="s">
        <v>56</v>
      </c>
      <c r="AI1522" s="3"/>
      <c r="AJ1522" s="3" t="s">
        <v>6357</v>
      </c>
      <c r="AK1522" s="3" t="str">
        <f>HYPERLINK("https://knigipp.ru/api/getInfo/item/62e12816-977a-11ef-a267-00155d82e908")</f>
        <v>https://knigipp.ru/api/getInfo/item/62e12816-977a-11ef-a267-00155d82e908</v>
      </c>
      <c r="AL1522" s="3" t="s">
        <v>1155</v>
      </c>
    </row>
    <row r="1523" spans="1:38" ht="21" customHeight="1" outlineLevel="5" x14ac:dyDescent="0.2">
      <c r="A1523" s="39">
        <v>1146</v>
      </c>
      <c r="B1523" s="3" t="s">
        <v>6433</v>
      </c>
      <c r="C1523" s="49" t="s">
        <v>6434</v>
      </c>
      <c r="D1523" s="49"/>
      <c r="E1523" s="49"/>
      <c r="F1523" s="49"/>
      <c r="G1523" s="4" t="s">
        <v>6435</v>
      </c>
      <c r="H1523" s="8"/>
      <c r="I1523" s="9" t="s">
        <v>6355</v>
      </c>
      <c r="J1523" s="10"/>
      <c r="K1523" s="11">
        <v>50</v>
      </c>
      <c r="L1523" s="10"/>
      <c r="M1523" s="10" t="s">
        <v>47</v>
      </c>
      <c r="N1523" s="10"/>
      <c r="O1523" s="2">
        <v>15</v>
      </c>
      <c r="P1523" s="17">
        <f>59*(1-S3/100)</f>
        <v>59</v>
      </c>
      <c r="Q1523" s="18"/>
      <c r="R1523" s="10">
        <f t="shared" si="62"/>
        <v>0</v>
      </c>
      <c r="S1523" s="19">
        <f>0.054*Q1523</f>
        <v>0</v>
      </c>
      <c r="T1523" s="20">
        <f>0.00002*Q1523</f>
        <v>0</v>
      </c>
      <c r="U1523" s="21"/>
      <c r="V1523" s="22" t="s">
        <v>6436</v>
      </c>
      <c r="W1523" s="22" t="s">
        <v>49</v>
      </c>
      <c r="X1523" s="3"/>
      <c r="Y1523" s="3" t="s">
        <v>6386</v>
      </c>
      <c r="Z1523" s="3" t="s">
        <v>52</v>
      </c>
      <c r="AA1523" s="3"/>
      <c r="AB1523" s="3"/>
      <c r="AC1523" s="3" t="str">
        <f>HYPERLINK("https://knigipp.ru/api/getInfo/image/5205ce74-13e1-11f1-a28f-00155d82e908")</f>
        <v>https://knigipp.ru/api/getInfo/image/5205ce74-13e1-11f1-a28f-00155d82e908</v>
      </c>
      <c r="AD1523" s="32">
        <v>16</v>
      </c>
      <c r="AE1523" s="3"/>
      <c r="AF1523" s="3" t="s">
        <v>136</v>
      </c>
      <c r="AG1523" s="3"/>
      <c r="AH1523" s="3" t="s">
        <v>56</v>
      </c>
      <c r="AI1523" s="3"/>
      <c r="AJ1523" s="3"/>
      <c r="AK1523" s="3" t="str">
        <f>HYPERLINK("https://knigipp.ru/api/getInfo/item/5205ce74-13e1-11f1-a28f-00155d82e908")</f>
        <v>https://knigipp.ru/api/getInfo/item/5205ce74-13e1-11f1-a28f-00155d82e908</v>
      </c>
      <c r="AL1523" s="3" t="s">
        <v>1155</v>
      </c>
    </row>
    <row r="1524" spans="1:38" ht="21" customHeight="1" outlineLevel="5" x14ac:dyDescent="0.2">
      <c r="A1524" s="39">
        <v>1147</v>
      </c>
      <c r="B1524" s="3" t="s">
        <v>6437</v>
      </c>
      <c r="C1524" s="49" t="s">
        <v>6438</v>
      </c>
      <c r="D1524" s="49"/>
      <c r="E1524" s="49"/>
      <c r="F1524" s="49"/>
      <c r="G1524" s="4" t="s">
        <v>6439</v>
      </c>
      <c r="H1524" s="8"/>
      <c r="I1524" s="9" t="s">
        <v>6355</v>
      </c>
      <c r="J1524" s="10"/>
      <c r="K1524" s="11">
        <v>50</v>
      </c>
      <c r="L1524" s="11">
        <v>5</v>
      </c>
      <c r="M1524" s="10" t="s">
        <v>47</v>
      </c>
      <c r="N1524" s="10"/>
      <c r="O1524" s="2">
        <v>15</v>
      </c>
      <c r="P1524" s="17">
        <f>59*(1-S3/100)</f>
        <v>59</v>
      </c>
      <c r="Q1524" s="18"/>
      <c r="R1524" s="10">
        <f t="shared" si="62"/>
        <v>0</v>
      </c>
      <c r="S1524" s="19">
        <f>0.054*Q1524</f>
        <v>0</v>
      </c>
      <c r="T1524" s="20">
        <f>0.00011*Q1524</f>
        <v>0</v>
      </c>
      <c r="U1524" s="21"/>
      <c r="V1524" s="22" t="s">
        <v>6440</v>
      </c>
      <c r="W1524" s="22" t="s">
        <v>49</v>
      </c>
      <c r="X1524" s="3"/>
      <c r="Y1524" s="3"/>
      <c r="Z1524" s="3" t="s">
        <v>52</v>
      </c>
      <c r="AA1524" s="3"/>
      <c r="AB1524" s="3"/>
      <c r="AC1524" s="3" t="str">
        <f>HYPERLINK("https://knigipp.ru/api/getInfo/image/4dde8867-f940-11ec-a213-ac1f6b442185")</f>
        <v>https://knigipp.ru/api/getInfo/image/4dde8867-f940-11ec-a213-ac1f6b442185</v>
      </c>
      <c r="AD1524" s="32">
        <v>16</v>
      </c>
      <c r="AE1524" s="3"/>
      <c r="AF1524" s="3" t="s">
        <v>136</v>
      </c>
      <c r="AG1524" s="3"/>
      <c r="AH1524" s="3" t="s">
        <v>56</v>
      </c>
      <c r="AI1524" s="3"/>
      <c r="AJ1524" s="3" t="s">
        <v>6357</v>
      </c>
      <c r="AK1524" s="3" t="str">
        <f>HYPERLINK("https://knigipp.ru/api/getInfo/item/4dde8867-f940-11ec-a213-ac1f6b442185")</f>
        <v>https://knigipp.ru/api/getInfo/item/4dde8867-f940-11ec-a213-ac1f6b442185</v>
      </c>
      <c r="AL1524" s="3" t="s">
        <v>1155</v>
      </c>
    </row>
    <row r="1525" spans="1:38" ht="21" customHeight="1" outlineLevel="5" x14ac:dyDescent="0.2">
      <c r="A1525" s="39">
        <v>1148</v>
      </c>
      <c r="B1525" s="3" t="s">
        <v>6441</v>
      </c>
      <c r="C1525" s="49" t="s">
        <v>6442</v>
      </c>
      <c r="D1525" s="49"/>
      <c r="E1525" s="49"/>
      <c r="F1525" s="49"/>
      <c r="G1525" s="4" t="s">
        <v>6443</v>
      </c>
      <c r="H1525" s="8"/>
      <c r="I1525" s="9" t="s">
        <v>6355</v>
      </c>
      <c r="J1525" s="10"/>
      <c r="K1525" s="11">
        <v>50</v>
      </c>
      <c r="L1525" s="11">
        <v>5</v>
      </c>
      <c r="M1525" s="10" t="s">
        <v>47</v>
      </c>
      <c r="N1525" s="10"/>
      <c r="O1525" s="2">
        <v>15</v>
      </c>
      <c r="P1525" s="17">
        <f>59*(1-S3/100)</f>
        <v>59</v>
      </c>
      <c r="Q1525" s="18"/>
      <c r="R1525" s="10">
        <f t="shared" si="62"/>
        <v>0</v>
      </c>
      <c r="S1525" s="19">
        <f>0.056*Q1525</f>
        <v>0</v>
      </c>
      <c r="T1525" s="20">
        <f>0.00017*Q1525</f>
        <v>0</v>
      </c>
      <c r="U1525" s="21"/>
      <c r="V1525" s="22" t="s">
        <v>6444</v>
      </c>
      <c r="W1525" s="22" t="s">
        <v>49</v>
      </c>
      <c r="X1525" s="3"/>
      <c r="Y1525" s="3" t="s">
        <v>6445</v>
      </c>
      <c r="Z1525" s="3" t="s">
        <v>52</v>
      </c>
      <c r="AA1525" s="3"/>
      <c r="AB1525" s="3"/>
      <c r="AC1525" s="3" t="str">
        <f>HYPERLINK("https://knigipp.ru/api/getInfo/image/c9955a7c-55a2-11f0-a27e-00155d82e908")</f>
        <v>https://knigipp.ru/api/getInfo/image/c9955a7c-55a2-11f0-a27e-00155d82e908</v>
      </c>
      <c r="AD1525" s="32">
        <v>16</v>
      </c>
      <c r="AE1525" s="3"/>
      <c r="AF1525" s="3" t="s">
        <v>136</v>
      </c>
      <c r="AG1525" s="3"/>
      <c r="AH1525" s="3" t="s">
        <v>56</v>
      </c>
      <c r="AI1525" s="3"/>
      <c r="AJ1525" s="3" t="s">
        <v>6357</v>
      </c>
      <c r="AK1525" s="3" t="str">
        <f>HYPERLINK("https://knigipp.ru/api/getInfo/item/c9955a7c-55a2-11f0-a27e-00155d82e908")</f>
        <v>https://knigipp.ru/api/getInfo/item/c9955a7c-55a2-11f0-a27e-00155d82e908</v>
      </c>
      <c r="AL1525" s="3" t="s">
        <v>1155</v>
      </c>
    </row>
    <row r="1526" spans="1:38" ht="21" customHeight="1" outlineLevel="5" x14ac:dyDescent="0.2">
      <c r="A1526" s="39">
        <v>1149</v>
      </c>
      <c r="B1526" s="3" t="s">
        <v>6446</v>
      </c>
      <c r="C1526" s="49" t="s">
        <v>6447</v>
      </c>
      <c r="D1526" s="49"/>
      <c r="E1526" s="49"/>
      <c r="F1526" s="49"/>
      <c r="G1526" s="4" t="s">
        <v>6448</v>
      </c>
      <c r="H1526" s="8"/>
      <c r="I1526" s="9" t="s">
        <v>6355</v>
      </c>
      <c r="J1526" s="10"/>
      <c r="K1526" s="11">
        <v>50</v>
      </c>
      <c r="L1526" s="11">
        <v>5</v>
      </c>
      <c r="M1526" s="10" t="s">
        <v>47</v>
      </c>
      <c r="N1526" s="10"/>
      <c r="O1526" s="2">
        <v>15</v>
      </c>
      <c r="P1526" s="17">
        <f>59*(1-S3/100)</f>
        <v>59</v>
      </c>
      <c r="Q1526" s="18"/>
      <c r="R1526" s="10">
        <f t="shared" si="62"/>
        <v>0</v>
      </c>
      <c r="S1526" s="19">
        <f>0.056*Q1526</f>
        <v>0</v>
      </c>
      <c r="T1526" s="20">
        <f>0.00017*Q1526</f>
        <v>0</v>
      </c>
      <c r="U1526" s="21"/>
      <c r="V1526" s="22" t="s">
        <v>6449</v>
      </c>
      <c r="W1526" s="22" t="s">
        <v>49</v>
      </c>
      <c r="X1526" s="3"/>
      <c r="Y1526" s="3" t="s">
        <v>6450</v>
      </c>
      <c r="Z1526" s="3" t="s">
        <v>52</v>
      </c>
      <c r="AA1526" s="3"/>
      <c r="AB1526" s="3"/>
      <c r="AC1526" s="3" t="str">
        <f>HYPERLINK("https://knigipp.ru/api/getInfo/image/3d1b93e6-55a2-11f0-a27e-00155d82e908")</f>
        <v>https://knigipp.ru/api/getInfo/image/3d1b93e6-55a2-11f0-a27e-00155d82e908</v>
      </c>
      <c r="AD1526" s="32">
        <v>16</v>
      </c>
      <c r="AE1526" s="3"/>
      <c r="AF1526" s="3" t="s">
        <v>136</v>
      </c>
      <c r="AG1526" s="3"/>
      <c r="AH1526" s="3" t="s">
        <v>56</v>
      </c>
      <c r="AI1526" s="3"/>
      <c r="AJ1526" s="3" t="s">
        <v>6357</v>
      </c>
      <c r="AK1526" s="3" t="str">
        <f>HYPERLINK("https://knigipp.ru/api/getInfo/item/3d1b93e6-55a2-11f0-a27e-00155d82e908")</f>
        <v>https://knigipp.ru/api/getInfo/item/3d1b93e6-55a2-11f0-a27e-00155d82e908</v>
      </c>
      <c r="AL1526" s="3" t="s">
        <v>1155</v>
      </c>
    </row>
    <row r="1527" spans="1:38" ht="21" customHeight="1" outlineLevel="5" x14ac:dyDescent="0.2">
      <c r="A1527" s="39">
        <v>1150</v>
      </c>
      <c r="B1527" s="3" t="s">
        <v>6451</v>
      </c>
      <c r="C1527" s="49" t="s">
        <v>6452</v>
      </c>
      <c r="D1527" s="49"/>
      <c r="E1527" s="49"/>
      <c r="F1527" s="49"/>
      <c r="G1527" s="4" t="s">
        <v>6453</v>
      </c>
      <c r="H1527" s="8"/>
      <c r="I1527" s="9" t="s">
        <v>6355</v>
      </c>
      <c r="J1527" s="10"/>
      <c r="K1527" s="11">
        <v>50</v>
      </c>
      <c r="L1527" s="11">
        <v>5</v>
      </c>
      <c r="M1527" s="10" t="s">
        <v>47</v>
      </c>
      <c r="N1527" s="10"/>
      <c r="O1527" s="2">
        <v>15</v>
      </c>
      <c r="P1527" s="17">
        <f>59*(1-S3/100)</f>
        <v>59</v>
      </c>
      <c r="Q1527" s="18"/>
      <c r="R1527" s="10">
        <f t="shared" si="62"/>
        <v>0</v>
      </c>
      <c r="S1527" s="19">
        <f>0.055*Q1527</f>
        <v>0</v>
      </c>
      <c r="T1527" s="20">
        <f>0.00011*Q1527</f>
        <v>0</v>
      </c>
      <c r="U1527" s="21"/>
      <c r="V1527" s="22" t="s">
        <v>6454</v>
      </c>
      <c r="W1527" s="22" t="s">
        <v>49</v>
      </c>
      <c r="X1527" s="3"/>
      <c r="Y1527" s="3"/>
      <c r="Z1527" s="3" t="s">
        <v>52</v>
      </c>
      <c r="AA1527" s="3"/>
      <c r="AB1527" s="3"/>
      <c r="AC1527" s="3" t="str">
        <f>HYPERLINK("https://knigipp.ru/api/getInfo/image/1c338f6a-d94b-11e9-a234-ac1f6b442184")</f>
        <v>https://knigipp.ru/api/getInfo/image/1c338f6a-d94b-11e9-a234-ac1f6b442184</v>
      </c>
      <c r="AD1527" s="32">
        <v>16</v>
      </c>
      <c r="AE1527" s="3"/>
      <c r="AF1527" s="3" t="s">
        <v>136</v>
      </c>
      <c r="AG1527" s="3"/>
      <c r="AH1527" s="3" t="s">
        <v>56</v>
      </c>
      <c r="AI1527" s="3"/>
      <c r="AJ1527" s="3" t="s">
        <v>6357</v>
      </c>
      <c r="AK1527" s="3" t="str">
        <f>HYPERLINK("https://knigipp.ru/api/getInfo/item/1c338f6a-d94b-11e9-a234-ac1f6b442184")</f>
        <v>https://knigipp.ru/api/getInfo/item/1c338f6a-d94b-11e9-a234-ac1f6b442184</v>
      </c>
      <c r="AL1527" s="3" t="s">
        <v>1155</v>
      </c>
    </row>
    <row r="1528" spans="1:38" ht="21" customHeight="1" outlineLevel="5" x14ac:dyDescent="0.2">
      <c r="A1528" s="39">
        <v>1151</v>
      </c>
      <c r="B1528" s="3" t="s">
        <v>6455</v>
      </c>
      <c r="C1528" s="49" t="s">
        <v>6456</v>
      </c>
      <c r="D1528" s="49"/>
      <c r="E1528" s="49"/>
      <c r="F1528" s="49"/>
      <c r="G1528" s="4" t="s">
        <v>6457</v>
      </c>
      <c r="H1528" s="8"/>
      <c r="I1528" s="9" t="s">
        <v>6355</v>
      </c>
      <c r="J1528" s="10"/>
      <c r="K1528" s="11">
        <v>50</v>
      </c>
      <c r="L1528" s="11">
        <v>5</v>
      </c>
      <c r="M1528" s="10" t="s">
        <v>47</v>
      </c>
      <c r="N1528" s="10"/>
      <c r="O1528" s="2">
        <v>15</v>
      </c>
      <c r="P1528" s="17">
        <f>59*(1-S3/100)</f>
        <v>59</v>
      </c>
      <c r="Q1528" s="18"/>
      <c r="R1528" s="10">
        <f t="shared" si="62"/>
        <v>0</v>
      </c>
      <c r="S1528" s="19">
        <f>0.057*Q1528</f>
        <v>0</v>
      </c>
      <c r="T1528" s="20">
        <f>0.00011*Q1528</f>
        <v>0</v>
      </c>
      <c r="U1528" s="21"/>
      <c r="V1528" s="22" t="s">
        <v>6458</v>
      </c>
      <c r="W1528" s="22" t="s">
        <v>49</v>
      </c>
      <c r="X1528" s="3"/>
      <c r="Y1528" s="3"/>
      <c r="Z1528" s="3" t="s">
        <v>52</v>
      </c>
      <c r="AA1528" s="3"/>
      <c r="AB1528" s="3"/>
      <c r="AC1528" s="3" t="str">
        <f>HYPERLINK("https://knigipp.ru/api/getInfo/image/541ad03e-ffb9-11ed-a23a-00155d82e902")</f>
        <v>https://knigipp.ru/api/getInfo/image/541ad03e-ffb9-11ed-a23a-00155d82e902</v>
      </c>
      <c r="AD1528" s="32">
        <v>16</v>
      </c>
      <c r="AE1528" s="3"/>
      <c r="AF1528" s="3" t="s">
        <v>136</v>
      </c>
      <c r="AG1528" s="3"/>
      <c r="AH1528" s="3" t="s">
        <v>56</v>
      </c>
      <c r="AI1528" s="3"/>
      <c r="AJ1528" s="3" t="s">
        <v>6357</v>
      </c>
      <c r="AK1528" s="3" t="str">
        <f>HYPERLINK("https://knigipp.ru/api/getInfo/item/541ad03e-ffb9-11ed-a23a-00155d82e902")</f>
        <v>https://knigipp.ru/api/getInfo/item/541ad03e-ffb9-11ed-a23a-00155d82e902</v>
      </c>
      <c r="AL1528" s="3" t="s">
        <v>1155</v>
      </c>
    </row>
    <row r="1529" spans="1:38" ht="21" customHeight="1" outlineLevel="5" x14ac:dyDescent="0.2">
      <c r="A1529" s="39">
        <v>1152</v>
      </c>
      <c r="B1529" s="3" t="s">
        <v>6459</v>
      </c>
      <c r="C1529" s="49" t="s">
        <v>6460</v>
      </c>
      <c r="D1529" s="49"/>
      <c r="E1529" s="49"/>
      <c r="F1529" s="49"/>
      <c r="G1529" s="4" t="s">
        <v>6461</v>
      </c>
      <c r="H1529" s="8"/>
      <c r="I1529" s="9" t="s">
        <v>6355</v>
      </c>
      <c r="J1529" s="10"/>
      <c r="K1529" s="11">
        <v>50</v>
      </c>
      <c r="L1529" s="11">
        <v>5</v>
      </c>
      <c r="M1529" s="10" t="s">
        <v>47</v>
      </c>
      <c r="N1529" s="10"/>
      <c r="O1529" s="2">
        <v>15</v>
      </c>
      <c r="P1529" s="17">
        <f>59*(1-S3/100)</f>
        <v>59</v>
      </c>
      <c r="Q1529" s="18"/>
      <c r="R1529" s="10">
        <f t="shared" si="62"/>
        <v>0</v>
      </c>
      <c r="S1529" s="19">
        <f>0.057*Q1529</f>
        <v>0</v>
      </c>
      <c r="T1529" s="20">
        <f>0.00011*Q1529</f>
        <v>0</v>
      </c>
      <c r="U1529" s="21"/>
      <c r="V1529" s="22" t="s">
        <v>6462</v>
      </c>
      <c r="W1529" s="22" t="s">
        <v>49</v>
      </c>
      <c r="X1529" s="3"/>
      <c r="Y1529" s="3"/>
      <c r="Z1529" s="3" t="s">
        <v>52</v>
      </c>
      <c r="AA1529" s="3" t="s">
        <v>6391</v>
      </c>
      <c r="AB1529" s="3"/>
      <c r="AC1529" s="3" t="str">
        <f>HYPERLINK("https://knigipp.ru/api/getInfo/image/e9cbd087-2b7a-11e8-ba06-5cf3fc4a2490")</f>
        <v>https://knigipp.ru/api/getInfo/image/e9cbd087-2b7a-11e8-ba06-5cf3fc4a2490</v>
      </c>
      <c r="AD1529" s="32">
        <v>16</v>
      </c>
      <c r="AE1529" s="3"/>
      <c r="AF1529" s="3" t="s">
        <v>136</v>
      </c>
      <c r="AG1529" s="3"/>
      <c r="AH1529" s="3" t="s">
        <v>56</v>
      </c>
      <c r="AI1529" s="3"/>
      <c r="AJ1529" s="3" t="s">
        <v>6357</v>
      </c>
      <c r="AK1529" s="3" t="str">
        <f>HYPERLINK("https://knigipp.ru/api/getInfo/item/e9cbd087-2b7a-11e8-ba06-5cf3fc4a2490")</f>
        <v>https://knigipp.ru/api/getInfo/item/e9cbd087-2b7a-11e8-ba06-5cf3fc4a2490</v>
      </c>
      <c r="AL1529" s="3" t="s">
        <v>1155</v>
      </c>
    </row>
    <row r="1530" spans="1:38" ht="21" customHeight="1" outlineLevel="5" x14ac:dyDescent="0.2">
      <c r="A1530" s="39">
        <v>1153</v>
      </c>
      <c r="B1530" s="3" t="s">
        <v>6463</v>
      </c>
      <c r="C1530" s="49" t="s">
        <v>6464</v>
      </c>
      <c r="D1530" s="49"/>
      <c r="E1530" s="49"/>
      <c r="F1530" s="49"/>
      <c r="G1530" s="4" t="s">
        <v>6465</v>
      </c>
      <c r="H1530" s="8"/>
      <c r="I1530" s="9" t="s">
        <v>6355</v>
      </c>
      <c r="J1530" s="10"/>
      <c r="K1530" s="11">
        <v>50</v>
      </c>
      <c r="L1530" s="11">
        <v>5</v>
      </c>
      <c r="M1530" s="10" t="s">
        <v>47</v>
      </c>
      <c r="N1530" s="10"/>
      <c r="O1530" s="2">
        <v>15</v>
      </c>
      <c r="P1530" s="17">
        <f>59*(1-S3/100)</f>
        <v>59</v>
      </c>
      <c r="Q1530" s="18"/>
      <c r="R1530" s="10">
        <f t="shared" si="62"/>
        <v>0</v>
      </c>
      <c r="S1530" s="19">
        <f>0.059*Q1530</f>
        <v>0</v>
      </c>
      <c r="T1530" s="20">
        <f>0.00011*Q1530</f>
        <v>0</v>
      </c>
      <c r="U1530" s="21"/>
      <c r="V1530" s="22" t="s">
        <v>6466</v>
      </c>
      <c r="W1530" s="22" t="s">
        <v>49</v>
      </c>
      <c r="X1530" s="3"/>
      <c r="Y1530" s="3"/>
      <c r="Z1530" s="3" t="s">
        <v>52</v>
      </c>
      <c r="AA1530" s="3"/>
      <c r="AB1530" s="3"/>
      <c r="AC1530" s="3" t="str">
        <f>HYPERLINK("https://knigipp.ru/api/getInfo/image/469059c8-d94b-11e9-a234-ac1f6b442184")</f>
        <v>https://knigipp.ru/api/getInfo/image/469059c8-d94b-11e9-a234-ac1f6b442184</v>
      </c>
      <c r="AD1530" s="32">
        <v>16</v>
      </c>
      <c r="AE1530" s="3"/>
      <c r="AF1530" s="3" t="s">
        <v>136</v>
      </c>
      <c r="AG1530" s="3"/>
      <c r="AH1530" s="3" t="s">
        <v>56</v>
      </c>
      <c r="AI1530" s="3"/>
      <c r="AJ1530" s="3" t="s">
        <v>6357</v>
      </c>
      <c r="AK1530" s="3" t="str">
        <f>HYPERLINK("https://knigipp.ru/api/getInfo/item/469059c8-d94b-11e9-a234-ac1f6b442184")</f>
        <v>https://knigipp.ru/api/getInfo/item/469059c8-d94b-11e9-a234-ac1f6b442184</v>
      </c>
      <c r="AL1530" s="3" t="s">
        <v>1155</v>
      </c>
    </row>
    <row r="1531" spans="1:38" ht="21" customHeight="1" outlineLevel="5" x14ac:dyDescent="0.2">
      <c r="A1531" s="39">
        <v>1154</v>
      </c>
      <c r="B1531" s="3" t="s">
        <v>6467</v>
      </c>
      <c r="C1531" s="49" t="s">
        <v>6468</v>
      </c>
      <c r="D1531" s="49"/>
      <c r="E1531" s="49"/>
      <c r="F1531" s="49"/>
      <c r="G1531" s="4" t="s">
        <v>6469</v>
      </c>
      <c r="H1531" s="8"/>
      <c r="I1531" s="9" t="s">
        <v>6355</v>
      </c>
      <c r="J1531" s="10"/>
      <c r="K1531" s="11">
        <v>50</v>
      </c>
      <c r="L1531" s="11">
        <v>5</v>
      </c>
      <c r="M1531" s="10" t="s">
        <v>47</v>
      </c>
      <c r="N1531" s="10"/>
      <c r="O1531" s="2">
        <v>15</v>
      </c>
      <c r="P1531" s="17">
        <f>59*(1-S3/100)</f>
        <v>59</v>
      </c>
      <c r="Q1531" s="18"/>
      <c r="R1531" s="10">
        <f t="shared" si="62"/>
        <v>0</v>
      </c>
      <c r="S1531" s="19">
        <f>0.059*Q1531</f>
        <v>0</v>
      </c>
      <c r="T1531" s="20">
        <f>0.00011*Q1531</f>
        <v>0</v>
      </c>
      <c r="U1531" s="21"/>
      <c r="V1531" s="22" t="s">
        <v>6470</v>
      </c>
      <c r="W1531" s="22" t="s">
        <v>49</v>
      </c>
      <c r="X1531" s="3"/>
      <c r="Y1531" s="3"/>
      <c r="Z1531" s="3" t="s">
        <v>52</v>
      </c>
      <c r="AA1531" s="3"/>
      <c r="AB1531" s="3"/>
      <c r="AC1531" s="3" t="str">
        <f>HYPERLINK("https://knigipp.ru/api/getInfo/image/8a9820a7-977a-11ef-a267-00155d82e908")</f>
        <v>https://knigipp.ru/api/getInfo/image/8a9820a7-977a-11ef-a267-00155d82e908</v>
      </c>
      <c r="AD1531" s="32">
        <v>16</v>
      </c>
      <c r="AE1531" s="3"/>
      <c r="AF1531" s="3" t="s">
        <v>136</v>
      </c>
      <c r="AG1531" s="3"/>
      <c r="AH1531" s="3" t="s">
        <v>56</v>
      </c>
      <c r="AI1531" s="3"/>
      <c r="AJ1531" s="3" t="s">
        <v>6357</v>
      </c>
      <c r="AK1531" s="3" t="str">
        <f>HYPERLINK("https://knigipp.ru/api/getInfo/item/8a9820a7-977a-11ef-a267-00155d82e908")</f>
        <v>https://knigipp.ru/api/getInfo/item/8a9820a7-977a-11ef-a267-00155d82e908</v>
      </c>
      <c r="AL1531" s="3" t="s">
        <v>1155</v>
      </c>
    </row>
    <row r="1532" spans="1:38" ht="21" customHeight="1" outlineLevel="5" x14ac:dyDescent="0.2">
      <c r="A1532" s="39">
        <v>1155</v>
      </c>
      <c r="B1532" s="3" t="s">
        <v>6471</v>
      </c>
      <c r="C1532" s="49" t="s">
        <v>6472</v>
      </c>
      <c r="D1532" s="49"/>
      <c r="E1532" s="49"/>
      <c r="F1532" s="49"/>
      <c r="G1532" s="4" t="s">
        <v>6473</v>
      </c>
      <c r="H1532" s="8"/>
      <c r="I1532" s="9" t="s">
        <v>6355</v>
      </c>
      <c r="J1532" s="10"/>
      <c r="K1532" s="11">
        <v>50</v>
      </c>
      <c r="L1532" s="11">
        <v>5</v>
      </c>
      <c r="M1532" s="10" t="s">
        <v>47</v>
      </c>
      <c r="N1532" s="10"/>
      <c r="O1532" s="2">
        <v>15</v>
      </c>
      <c r="P1532" s="17">
        <f>59*(1-S3/100)</f>
        <v>59</v>
      </c>
      <c r="Q1532" s="18"/>
      <c r="R1532" s="10">
        <f t="shared" si="62"/>
        <v>0</v>
      </c>
      <c r="S1532" s="19">
        <f>0.058*Q1532</f>
        <v>0</v>
      </c>
      <c r="T1532" s="20">
        <f>0.00017*Q1532</f>
        <v>0</v>
      </c>
      <c r="U1532" s="21"/>
      <c r="V1532" s="22" t="s">
        <v>6474</v>
      </c>
      <c r="W1532" s="22" t="s">
        <v>49</v>
      </c>
      <c r="X1532" s="3"/>
      <c r="Y1532" s="3"/>
      <c r="Z1532" s="3" t="s">
        <v>52</v>
      </c>
      <c r="AA1532" s="3"/>
      <c r="AB1532" s="3"/>
      <c r="AC1532" s="3" t="str">
        <f>HYPERLINK("https://knigipp.ru/api/getInfo/image/d19cc412-a386-11ed-a22f-00155d82e902")</f>
        <v>https://knigipp.ru/api/getInfo/image/d19cc412-a386-11ed-a22f-00155d82e902</v>
      </c>
      <c r="AD1532" s="32">
        <v>16</v>
      </c>
      <c r="AE1532" s="3"/>
      <c r="AF1532" s="3" t="s">
        <v>136</v>
      </c>
      <c r="AG1532" s="3"/>
      <c r="AH1532" s="3" t="s">
        <v>56</v>
      </c>
      <c r="AI1532" s="3"/>
      <c r="AJ1532" s="3" t="s">
        <v>6357</v>
      </c>
      <c r="AK1532" s="3" t="str">
        <f>HYPERLINK("https://knigipp.ru/api/getInfo/item/d19cc412-a386-11ed-a22f-00155d82e902")</f>
        <v>https://knigipp.ru/api/getInfo/item/d19cc412-a386-11ed-a22f-00155d82e902</v>
      </c>
      <c r="AL1532" s="3" t="s">
        <v>1155</v>
      </c>
    </row>
    <row r="1533" spans="1:38" ht="21" customHeight="1" outlineLevel="5" x14ac:dyDescent="0.2">
      <c r="A1533" s="39">
        <v>1156</v>
      </c>
      <c r="B1533" s="3" t="s">
        <v>6475</v>
      </c>
      <c r="C1533" s="49" t="s">
        <v>6476</v>
      </c>
      <c r="D1533" s="49"/>
      <c r="E1533" s="49"/>
      <c r="F1533" s="49"/>
      <c r="G1533" s="4" t="s">
        <v>6477</v>
      </c>
      <c r="H1533" s="8"/>
      <c r="I1533" s="9" t="s">
        <v>6355</v>
      </c>
      <c r="J1533" s="10"/>
      <c r="K1533" s="11">
        <v>50</v>
      </c>
      <c r="L1533" s="11">
        <v>5</v>
      </c>
      <c r="M1533" s="10" t="s">
        <v>47</v>
      </c>
      <c r="N1533" s="10"/>
      <c r="O1533" s="2">
        <v>15</v>
      </c>
      <c r="P1533" s="17">
        <f>59*(1-S3/100)</f>
        <v>59</v>
      </c>
      <c r="Q1533" s="18"/>
      <c r="R1533" s="10">
        <f t="shared" si="62"/>
        <v>0</v>
      </c>
      <c r="S1533" s="19">
        <f>0.056*Q1533</f>
        <v>0</v>
      </c>
      <c r="T1533" s="20">
        <f>0.00017*Q1533</f>
        <v>0</v>
      </c>
      <c r="U1533" s="21"/>
      <c r="V1533" s="22" t="s">
        <v>6478</v>
      </c>
      <c r="W1533" s="22" t="s">
        <v>49</v>
      </c>
      <c r="X1533" s="3"/>
      <c r="Y1533" s="3" t="s">
        <v>6479</v>
      </c>
      <c r="Z1533" s="3" t="s">
        <v>52</v>
      </c>
      <c r="AA1533" s="3"/>
      <c r="AB1533" s="3"/>
      <c r="AC1533" s="3" t="str">
        <f>HYPERLINK("https://knigipp.ru/api/getInfo/image/6d159676-55a2-11f0-a27e-00155d82e908")</f>
        <v>https://knigipp.ru/api/getInfo/image/6d159676-55a2-11f0-a27e-00155d82e908</v>
      </c>
      <c r="AD1533" s="32">
        <v>16</v>
      </c>
      <c r="AE1533" s="3"/>
      <c r="AF1533" s="3" t="s">
        <v>136</v>
      </c>
      <c r="AG1533" s="3"/>
      <c r="AH1533" s="3" t="s">
        <v>56</v>
      </c>
      <c r="AI1533" s="3"/>
      <c r="AJ1533" s="3" t="s">
        <v>6357</v>
      </c>
      <c r="AK1533" s="3" t="str">
        <f>HYPERLINK("https://knigipp.ru/api/getInfo/item/6d159676-55a2-11f0-a27e-00155d82e908")</f>
        <v>https://knigipp.ru/api/getInfo/item/6d159676-55a2-11f0-a27e-00155d82e908</v>
      </c>
      <c r="AL1533" s="3" t="s">
        <v>1155</v>
      </c>
    </row>
    <row r="1534" spans="1:38" ht="21" customHeight="1" outlineLevel="5" x14ac:dyDescent="0.2">
      <c r="A1534" s="39">
        <v>1157</v>
      </c>
      <c r="B1534" s="3" t="s">
        <v>6480</v>
      </c>
      <c r="C1534" s="49" t="s">
        <v>6481</v>
      </c>
      <c r="D1534" s="49"/>
      <c r="E1534" s="49"/>
      <c r="F1534" s="49"/>
      <c r="G1534" s="4" t="s">
        <v>6482</v>
      </c>
      <c r="H1534" s="8"/>
      <c r="I1534" s="9" t="s">
        <v>6355</v>
      </c>
      <c r="J1534" s="10"/>
      <c r="K1534" s="11">
        <v>50</v>
      </c>
      <c r="L1534" s="11">
        <v>5</v>
      </c>
      <c r="M1534" s="10" t="s">
        <v>47</v>
      </c>
      <c r="N1534" s="10"/>
      <c r="O1534" s="2">
        <v>15</v>
      </c>
      <c r="P1534" s="17">
        <f>59*(1-S3/100)</f>
        <v>59</v>
      </c>
      <c r="Q1534" s="18"/>
      <c r="R1534" s="10">
        <f t="shared" si="62"/>
        <v>0</v>
      </c>
      <c r="S1534" s="19">
        <f>0.056*Q1534</f>
        <v>0</v>
      </c>
      <c r="T1534" s="20">
        <f>0.00012*Q1534</f>
        <v>0</v>
      </c>
      <c r="U1534" s="21"/>
      <c r="V1534" s="22" t="s">
        <v>6483</v>
      </c>
      <c r="W1534" s="22" t="s">
        <v>49</v>
      </c>
      <c r="X1534" s="3"/>
      <c r="Y1534" s="3"/>
      <c r="Z1534" s="3" t="s">
        <v>52</v>
      </c>
      <c r="AA1534" s="3" t="s">
        <v>4738</v>
      </c>
      <c r="AB1534" s="3"/>
      <c r="AC1534" s="3" t="str">
        <f>HYPERLINK("https://knigipp.ru/api/getInfo/image/caf22907-7f39-11ef-a265-00155d82e908")</f>
        <v>https://knigipp.ru/api/getInfo/image/caf22907-7f39-11ef-a265-00155d82e908</v>
      </c>
      <c r="AD1534" s="32">
        <v>16</v>
      </c>
      <c r="AE1534" s="3"/>
      <c r="AF1534" s="3" t="s">
        <v>136</v>
      </c>
      <c r="AG1534" s="3"/>
      <c r="AH1534" s="3" t="s">
        <v>56</v>
      </c>
      <c r="AI1534" s="3"/>
      <c r="AJ1534" s="3" t="s">
        <v>6357</v>
      </c>
      <c r="AK1534" s="3" t="str">
        <f>HYPERLINK("https://knigipp.ru/api/getInfo/item/caf22907-7f39-11ef-a265-00155d82e908")</f>
        <v>https://knigipp.ru/api/getInfo/item/caf22907-7f39-11ef-a265-00155d82e908</v>
      </c>
      <c r="AL1534" s="3" t="s">
        <v>1155</v>
      </c>
    </row>
    <row r="1535" spans="1:38" ht="21" customHeight="1" outlineLevel="5" x14ac:dyDescent="0.2">
      <c r="A1535" s="39">
        <v>1158</v>
      </c>
      <c r="B1535" s="3" t="s">
        <v>6484</v>
      </c>
      <c r="C1535" s="49" t="s">
        <v>6485</v>
      </c>
      <c r="D1535" s="49"/>
      <c r="E1535" s="49"/>
      <c r="F1535" s="49"/>
      <c r="G1535" s="4" t="s">
        <v>6486</v>
      </c>
      <c r="H1535" s="8"/>
      <c r="I1535" s="9" t="s">
        <v>6355</v>
      </c>
      <c r="J1535" s="10"/>
      <c r="K1535" s="11">
        <v>50</v>
      </c>
      <c r="L1535" s="11">
        <v>5</v>
      </c>
      <c r="M1535" s="10" t="s">
        <v>47</v>
      </c>
      <c r="N1535" s="10"/>
      <c r="O1535" s="2">
        <v>15</v>
      </c>
      <c r="P1535" s="17">
        <f>59*(1-S3/100)</f>
        <v>59</v>
      </c>
      <c r="Q1535" s="18"/>
      <c r="R1535" s="10">
        <f t="shared" si="62"/>
        <v>0</v>
      </c>
      <c r="S1535" s="19">
        <f>0.057*Q1535</f>
        <v>0</v>
      </c>
      <c r="T1535" s="20">
        <f>0.00017*Q1535</f>
        <v>0</v>
      </c>
      <c r="U1535" s="21"/>
      <c r="V1535" s="22" t="s">
        <v>6487</v>
      </c>
      <c r="W1535" s="22" t="s">
        <v>49</v>
      </c>
      <c r="X1535" s="3"/>
      <c r="Y1535" s="3"/>
      <c r="Z1535" s="3" t="s">
        <v>52</v>
      </c>
      <c r="AA1535" s="3"/>
      <c r="AB1535" s="3"/>
      <c r="AC1535" s="3" t="str">
        <f>HYPERLINK("https://knigipp.ru/api/getInfo/image/71839cbc-a3e9-11ee-a258-00155d82e908")</f>
        <v>https://knigipp.ru/api/getInfo/image/71839cbc-a3e9-11ee-a258-00155d82e908</v>
      </c>
      <c r="AD1535" s="32">
        <v>16</v>
      </c>
      <c r="AE1535" s="3"/>
      <c r="AF1535" s="3" t="s">
        <v>136</v>
      </c>
      <c r="AG1535" s="3"/>
      <c r="AH1535" s="3" t="s">
        <v>56</v>
      </c>
      <c r="AI1535" s="3"/>
      <c r="AJ1535" s="3" t="s">
        <v>6357</v>
      </c>
      <c r="AK1535" s="3" t="str">
        <f>HYPERLINK("https://knigipp.ru/api/getInfo/item/71839cbc-a3e9-11ee-a258-00155d82e908")</f>
        <v>https://knigipp.ru/api/getInfo/item/71839cbc-a3e9-11ee-a258-00155d82e908</v>
      </c>
      <c r="AL1535" s="3" t="s">
        <v>1155</v>
      </c>
    </row>
    <row r="1536" spans="1:38" ht="21" customHeight="1" outlineLevel="5" x14ac:dyDescent="0.2">
      <c r="A1536" s="39">
        <v>1159</v>
      </c>
      <c r="B1536" s="3" t="s">
        <v>6488</v>
      </c>
      <c r="C1536" s="49" t="s">
        <v>6489</v>
      </c>
      <c r="D1536" s="49"/>
      <c r="E1536" s="49"/>
      <c r="F1536" s="49"/>
      <c r="G1536" s="4" t="s">
        <v>6490</v>
      </c>
      <c r="H1536" s="8"/>
      <c r="I1536" s="9" t="s">
        <v>6355</v>
      </c>
      <c r="J1536" s="10"/>
      <c r="K1536" s="11">
        <v>50</v>
      </c>
      <c r="L1536" s="11">
        <v>5</v>
      </c>
      <c r="M1536" s="10" t="s">
        <v>47</v>
      </c>
      <c r="N1536" s="10"/>
      <c r="O1536" s="2">
        <v>15</v>
      </c>
      <c r="P1536" s="17">
        <f>59*(1-S3/100)</f>
        <v>59</v>
      </c>
      <c r="Q1536" s="18"/>
      <c r="R1536" s="10">
        <f t="shared" si="62"/>
        <v>0</v>
      </c>
      <c r="S1536" s="11">
        <f>259*Q1536</f>
        <v>0</v>
      </c>
      <c r="T1536" s="20">
        <f>0.00064*Q1536</f>
        <v>0</v>
      </c>
      <c r="U1536" s="21"/>
      <c r="V1536" s="22" t="s">
        <v>6491</v>
      </c>
      <c r="W1536" s="22" t="s">
        <v>49</v>
      </c>
      <c r="X1536" s="3"/>
      <c r="Y1536" s="3"/>
      <c r="Z1536" s="3" t="s">
        <v>52</v>
      </c>
      <c r="AA1536" s="3"/>
      <c r="AB1536" s="3"/>
      <c r="AC1536" s="3" t="str">
        <f>HYPERLINK("https://knigipp.ru/api/getInfo/image/8c11f073-a386-11ed-a22f-00155d82e902")</f>
        <v>https://knigipp.ru/api/getInfo/image/8c11f073-a386-11ed-a22f-00155d82e902</v>
      </c>
      <c r="AD1536" s="32">
        <v>16</v>
      </c>
      <c r="AE1536" s="3"/>
      <c r="AF1536" s="3" t="s">
        <v>136</v>
      </c>
      <c r="AG1536" s="3"/>
      <c r="AH1536" s="3" t="s">
        <v>56</v>
      </c>
      <c r="AI1536" s="3"/>
      <c r="AJ1536" s="3" t="s">
        <v>6357</v>
      </c>
      <c r="AK1536" s="3" t="str">
        <f>HYPERLINK("https://knigipp.ru/api/getInfo/item/8c11f073-a386-11ed-a22f-00155d82e902")</f>
        <v>https://knigipp.ru/api/getInfo/item/8c11f073-a386-11ed-a22f-00155d82e902</v>
      </c>
      <c r="AL1536" s="3" t="s">
        <v>1155</v>
      </c>
    </row>
    <row r="1537" spans="1:38" ht="23.1" customHeight="1" outlineLevel="4" x14ac:dyDescent="0.2">
      <c r="A1537" s="55" t="s">
        <v>6492</v>
      </c>
      <c r="B1537" s="55"/>
      <c r="C1537" s="55"/>
      <c r="D1537" s="55"/>
      <c r="E1537" s="55"/>
      <c r="F1537" s="55"/>
    </row>
    <row r="1538" spans="1:38" ht="21" customHeight="1" outlineLevel="5" x14ac:dyDescent="0.2">
      <c r="A1538" s="39">
        <v>1160</v>
      </c>
      <c r="B1538" s="3" t="s">
        <v>6493</v>
      </c>
      <c r="C1538" s="49" t="s">
        <v>6494</v>
      </c>
      <c r="D1538" s="49"/>
      <c r="E1538" s="49"/>
      <c r="F1538" s="49"/>
      <c r="G1538" s="4" t="s">
        <v>6495</v>
      </c>
      <c r="H1538" s="8"/>
      <c r="I1538" s="9" t="s">
        <v>6496</v>
      </c>
      <c r="J1538" s="10"/>
      <c r="K1538" s="11">
        <v>50</v>
      </c>
      <c r="L1538" s="10"/>
      <c r="M1538" s="10" t="s">
        <v>47</v>
      </c>
      <c r="N1538" s="10"/>
      <c r="O1538" s="2">
        <v>25</v>
      </c>
      <c r="P1538" s="17">
        <f>29*(1-S3/100)</f>
        <v>29</v>
      </c>
      <c r="Q1538" s="18"/>
      <c r="R1538" s="10">
        <f t="shared" ref="R1538:R1544" si="63">P1538*Q1538</f>
        <v>0</v>
      </c>
      <c r="S1538" s="28">
        <f>0.03*Q1538</f>
        <v>0</v>
      </c>
      <c r="T1538" s="20">
        <f>0.00003*Q1538</f>
        <v>0</v>
      </c>
      <c r="U1538" s="21"/>
      <c r="V1538" s="22" t="s">
        <v>6497</v>
      </c>
      <c r="W1538" s="22" t="s">
        <v>49</v>
      </c>
      <c r="X1538" s="3"/>
      <c r="Y1538" s="3"/>
      <c r="Z1538" s="3" t="s">
        <v>52</v>
      </c>
      <c r="AA1538" s="3"/>
      <c r="AB1538" s="3"/>
      <c r="AC1538" s="3" t="str">
        <f>HYPERLINK("https://knigipp.ru/api/getInfo/image/c2136c1b-b9a2-11ed-a230-00155d82e902")</f>
        <v>https://knigipp.ru/api/getInfo/image/c2136c1b-b9a2-11ed-a230-00155d82e902</v>
      </c>
      <c r="AD1538" s="32">
        <v>16</v>
      </c>
      <c r="AE1538" s="3"/>
      <c r="AF1538" s="3" t="s">
        <v>136</v>
      </c>
      <c r="AG1538" s="3"/>
      <c r="AH1538" s="3" t="s">
        <v>56</v>
      </c>
      <c r="AI1538" s="3"/>
      <c r="AJ1538" s="3"/>
      <c r="AK1538" s="3" t="str">
        <f>HYPERLINK("https://knigipp.ru/api/getInfo/item/c2136c1b-b9a2-11ed-a230-00155d82e902")</f>
        <v>https://knigipp.ru/api/getInfo/item/c2136c1b-b9a2-11ed-a230-00155d82e902</v>
      </c>
      <c r="AL1538" s="3" t="s">
        <v>5247</v>
      </c>
    </row>
    <row r="1539" spans="1:38" ht="21" customHeight="1" outlineLevel="5" x14ac:dyDescent="0.2">
      <c r="A1539" s="39">
        <v>1161</v>
      </c>
      <c r="B1539" s="3" t="s">
        <v>6498</v>
      </c>
      <c r="C1539" s="49" t="s">
        <v>6499</v>
      </c>
      <c r="D1539" s="49"/>
      <c r="E1539" s="49"/>
      <c r="F1539" s="49"/>
      <c r="G1539" s="4" t="s">
        <v>6500</v>
      </c>
      <c r="H1539" s="8"/>
      <c r="I1539" s="9" t="s">
        <v>6496</v>
      </c>
      <c r="J1539" s="10"/>
      <c r="K1539" s="11">
        <v>50</v>
      </c>
      <c r="L1539" s="10"/>
      <c r="M1539" s="10" t="s">
        <v>47</v>
      </c>
      <c r="N1539" s="10"/>
      <c r="O1539" s="2">
        <v>25</v>
      </c>
      <c r="P1539" s="17">
        <f>29*(1-S3/100)</f>
        <v>29</v>
      </c>
      <c r="Q1539" s="18"/>
      <c r="R1539" s="10">
        <f t="shared" si="63"/>
        <v>0</v>
      </c>
      <c r="S1539" s="28">
        <f>0.03*Q1539</f>
        <v>0</v>
      </c>
      <c r="T1539" s="20">
        <f>0.00003*Q1539</f>
        <v>0</v>
      </c>
      <c r="U1539" s="21"/>
      <c r="V1539" s="22" t="s">
        <v>6501</v>
      </c>
      <c r="W1539" s="22" t="s">
        <v>49</v>
      </c>
      <c r="X1539" s="3"/>
      <c r="Y1539" s="3"/>
      <c r="Z1539" s="3" t="s">
        <v>52</v>
      </c>
      <c r="AA1539" s="3"/>
      <c r="AB1539" s="3"/>
      <c r="AC1539" s="3" t="str">
        <f>HYPERLINK("https://knigipp.ru/api/getInfo/image/9f600f33-b9a3-11ed-a230-00155d82e902")</f>
        <v>https://knigipp.ru/api/getInfo/image/9f600f33-b9a3-11ed-a230-00155d82e902</v>
      </c>
      <c r="AD1539" s="32">
        <v>16</v>
      </c>
      <c r="AE1539" s="3"/>
      <c r="AF1539" s="3" t="s">
        <v>136</v>
      </c>
      <c r="AG1539" s="3"/>
      <c r="AH1539" s="3" t="s">
        <v>56</v>
      </c>
      <c r="AI1539" s="3"/>
      <c r="AJ1539" s="3"/>
      <c r="AK1539" s="3" t="str">
        <f>HYPERLINK("https://knigipp.ru/api/getInfo/item/9f600f33-b9a3-11ed-a230-00155d82e902")</f>
        <v>https://knigipp.ru/api/getInfo/item/9f600f33-b9a3-11ed-a230-00155d82e902</v>
      </c>
      <c r="AL1539" s="3" t="s">
        <v>5247</v>
      </c>
    </row>
    <row r="1540" spans="1:38" ht="21" customHeight="1" outlineLevel="5" x14ac:dyDescent="0.2">
      <c r="A1540" s="39">
        <v>1162</v>
      </c>
      <c r="B1540" s="3" t="s">
        <v>6502</v>
      </c>
      <c r="C1540" s="49" t="s">
        <v>6503</v>
      </c>
      <c r="D1540" s="49"/>
      <c r="E1540" s="49"/>
      <c r="F1540" s="49"/>
      <c r="G1540" s="4" t="s">
        <v>6504</v>
      </c>
      <c r="H1540" s="8"/>
      <c r="I1540" s="9" t="s">
        <v>6496</v>
      </c>
      <c r="J1540" s="10"/>
      <c r="K1540" s="11">
        <v>50</v>
      </c>
      <c r="L1540" s="10"/>
      <c r="M1540" s="10" t="s">
        <v>47</v>
      </c>
      <c r="N1540" s="10"/>
      <c r="O1540" s="2">
        <v>25</v>
      </c>
      <c r="P1540" s="17">
        <f>29*(1-S3/100)</f>
        <v>29</v>
      </c>
      <c r="Q1540" s="18"/>
      <c r="R1540" s="10">
        <f t="shared" si="63"/>
        <v>0</v>
      </c>
      <c r="S1540" s="10">
        <v>0</v>
      </c>
      <c r="T1540" s="10">
        <v>0</v>
      </c>
      <c r="U1540" s="21"/>
      <c r="V1540" s="22" t="s">
        <v>6505</v>
      </c>
      <c r="W1540" s="22" t="s">
        <v>49</v>
      </c>
      <c r="X1540" s="3"/>
      <c r="Y1540" s="3"/>
      <c r="Z1540" s="3" t="s">
        <v>52</v>
      </c>
      <c r="AA1540" s="3"/>
      <c r="AB1540" s="3"/>
      <c r="AC1540" s="3" t="str">
        <f>HYPERLINK("https://knigipp.ru/api/getInfo/image/254b5660-b9a3-11ed-a230-00155d82e902")</f>
        <v>https://knigipp.ru/api/getInfo/image/254b5660-b9a3-11ed-a230-00155d82e902</v>
      </c>
      <c r="AD1540" s="32">
        <v>16</v>
      </c>
      <c r="AE1540" s="3"/>
      <c r="AF1540" s="3" t="s">
        <v>136</v>
      </c>
      <c r="AG1540" s="3"/>
      <c r="AH1540" s="3" t="s">
        <v>56</v>
      </c>
      <c r="AI1540" s="3"/>
      <c r="AJ1540" s="3"/>
      <c r="AK1540" s="3" t="str">
        <f>HYPERLINK("https://knigipp.ru/api/getInfo/item/254b5660-b9a3-11ed-a230-00155d82e902")</f>
        <v>https://knigipp.ru/api/getInfo/item/254b5660-b9a3-11ed-a230-00155d82e902</v>
      </c>
      <c r="AL1540" s="3" t="s">
        <v>5247</v>
      </c>
    </row>
    <row r="1541" spans="1:38" ht="21" customHeight="1" outlineLevel="5" x14ac:dyDescent="0.2">
      <c r="A1541" s="39">
        <v>1163</v>
      </c>
      <c r="B1541" s="3" t="s">
        <v>6506</v>
      </c>
      <c r="C1541" s="49" t="s">
        <v>6507</v>
      </c>
      <c r="D1541" s="49"/>
      <c r="E1541" s="49"/>
      <c r="F1541" s="49"/>
      <c r="G1541" s="4" t="s">
        <v>6508</v>
      </c>
      <c r="H1541" s="8"/>
      <c r="I1541" s="9" t="s">
        <v>6496</v>
      </c>
      <c r="J1541" s="10"/>
      <c r="K1541" s="11">
        <v>50</v>
      </c>
      <c r="L1541" s="10"/>
      <c r="M1541" s="10" t="s">
        <v>47</v>
      </c>
      <c r="N1541" s="10"/>
      <c r="O1541" s="2">
        <v>25</v>
      </c>
      <c r="P1541" s="17">
        <f>29*(1-S3/100)</f>
        <v>29</v>
      </c>
      <c r="Q1541" s="18"/>
      <c r="R1541" s="10">
        <f t="shared" si="63"/>
        <v>0</v>
      </c>
      <c r="S1541" s="10">
        <v>0</v>
      </c>
      <c r="T1541" s="10">
        <v>0</v>
      </c>
      <c r="U1541" s="21"/>
      <c r="V1541" s="22" t="s">
        <v>6509</v>
      </c>
      <c r="W1541" s="22" t="s">
        <v>49</v>
      </c>
      <c r="X1541" s="3"/>
      <c r="Y1541" s="3"/>
      <c r="Z1541" s="3" t="s">
        <v>52</v>
      </c>
      <c r="AA1541" s="3"/>
      <c r="AB1541" s="3"/>
      <c r="AC1541" s="3" t="str">
        <f>HYPERLINK("https://knigipp.ru/api/getInfo/image/1c5eb229-b9a4-11ed-a230-00155d82e902")</f>
        <v>https://knigipp.ru/api/getInfo/image/1c5eb229-b9a4-11ed-a230-00155d82e902</v>
      </c>
      <c r="AD1541" s="32">
        <v>16</v>
      </c>
      <c r="AE1541" s="3"/>
      <c r="AF1541" s="3" t="s">
        <v>136</v>
      </c>
      <c r="AG1541" s="3"/>
      <c r="AH1541" s="3" t="s">
        <v>56</v>
      </c>
      <c r="AI1541" s="3"/>
      <c r="AJ1541" s="3"/>
      <c r="AK1541" s="3" t="str">
        <f>HYPERLINK("https://knigipp.ru/api/getInfo/item/1c5eb229-b9a4-11ed-a230-00155d82e902")</f>
        <v>https://knigipp.ru/api/getInfo/item/1c5eb229-b9a4-11ed-a230-00155d82e902</v>
      </c>
      <c r="AL1541" s="3" t="s">
        <v>5247</v>
      </c>
    </row>
    <row r="1542" spans="1:38" ht="21" customHeight="1" outlineLevel="5" x14ac:dyDescent="0.2">
      <c r="A1542" s="39">
        <v>1164</v>
      </c>
      <c r="B1542" s="3" t="s">
        <v>6510</v>
      </c>
      <c r="C1542" s="49" t="s">
        <v>6511</v>
      </c>
      <c r="D1542" s="49"/>
      <c r="E1542" s="49"/>
      <c r="F1542" s="49"/>
      <c r="G1542" s="4" t="s">
        <v>6512</v>
      </c>
      <c r="H1542" s="8"/>
      <c r="I1542" s="9" t="s">
        <v>6496</v>
      </c>
      <c r="J1542" s="10"/>
      <c r="K1542" s="11">
        <v>50</v>
      </c>
      <c r="L1542" s="10"/>
      <c r="M1542" s="10" t="s">
        <v>78</v>
      </c>
      <c r="N1542" s="10"/>
      <c r="O1542" s="2">
        <v>25</v>
      </c>
      <c r="P1542" s="17">
        <f>29*(1-S3/100)</f>
        <v>29</v>
      </c>
      <c r="Q1542" s="18"/>
      <c r="R1542" s="10">
        <f t="shared" si="63"/>
        <v>0</v>
      </c>
      <c r="S1542" s="10">
        <v>0</v>
      </c>
      <c r="T1542" s="10">
        <v>0</v>
      </c>
      <c r="U1542" s="21"/>
      <c r="V1542" s="22" t="s">
        <v>6513</v>
      </c>
      <c r="W1542" s="22" t="s">
        <v>49</v>
      </c>
      <c r="X1542" s="3"/>
      <c r="Y1542" s="3"/>
      <c r="Z1542" s="3" t="s">
        <v>52</v>
      </c>
      <c r="AA1542" s="3"/>
      <c r="AB1542" s="3"/>
      <c r="AC1542" s="3" t="str">
        <f>HYPERLINK("https://knigipp.ru/api/getInfo/image/0377a30d-b9a3-11ed-a230-00155d82e902")</f>
        <v>https://knigipp.ru/api/getInfo/image/0377a30d-b9a3-11ed-a230-00155d82e902</v>
      </c>
      <c r="AD1542" s="32">
        <v>16</v>
      </c>
      <c r="AE1542" s="3"/>
      <c r="AF1542" s="3" t="s">
        <v>136</v>
      </c>
      <c r="AG1542" s="3"/>
      <c r="AH1542" s="3" t="s">
        <v>56</v>
      </c>
      <c r="AI1542" s="3"/>
      <c r="AJ1542" s="3"/>
      <c r="AK1542" s="3" t="str">
        <f>HYPERLINK("https://knigipp.ru/api/getInfo/item/0377a30d-b9a3-11ed-a230-00155d82e902")</f>
        <v>https://knigipp.ru/api/getInfo/item/0377a30d-b9a3-11ed-a230-00155d82e902</v>
      </c>
      <c r="AL1542" s="3" t="s">
        <v>5247</v>
      </c>
    </row>
    <row r="1543" spans="1:38" ht="21" customHeight="1" outlineLevel="5" x14ac:dyDescent="0.2">
      <c r="A1543" s="39">
        <v>1165</v>
      </c>
      <c r="B1543" s="3" t="s">
        <v>6514</v>
      </c>
      <c r="C1543" s="49" t="s">
        <v>6515</v>
      </c>
      <c r="D1543" s="49"/>
      <c r="E1543" s="49"/>
      <c r="F1543" s="49"/>
      <c r="G1543" s="4" t="s">
        <v>6516</v>
      </c>
      <c r="H1543" s="8"/>
      <c r="I1543" s="9" t="s">
        <v>6517</v>
      </c>
      <c r="J1543" s="10"/>
      <c r="K1543" s="11">
        <v>50</v>
      </c>
      <c r="L1543" s="10"/>
      <c r="M1543" s="10" t="s">
        <v>47</v>
      </c>
      <c r="N1543" s="10"/>
      <c r="O1543" s="2">
        <v>25</v>
      </c>
      <c r="P1543" s="17">
        <f>29*(1-S3/100)</f>
        <v>29</v>
      </c>
      <c r="Q1543" s="18"/>
      <c r="R1543" s="10">
        <f t="shared" si="63"/>
        <v>0</v>
      </c>
      <c r="S1543" s="28">
        <f>0.03*Q1543</f>
        <v>0</v>
      </c>
      <c r="T1543" s="20">
        <f>0.00003*Q1543</f>
        <v>0</v>
      </c>
      <c r="U1543" s="21"/>
      <c r="V1543" s="22" t="s">
        <v>6518</v>
      </c>
      <c r="W1543" s="22" t="s">
        <v>49</v>
      </c>
      <c r="X1543" s="3"/>
      <c r="Y1543" s="3"/>
      <c r="Z1543" s="3" t="s">
        <v>52</v>
      </c>
      <c r="AA1543" s="3"/>
      <c r="AB1543" s="3"/>
      <c r="AC1543" s="3" t="str">
        <f>HYPERLINK("https://knigipp.ru/api/getInfo/image/ad98acfe-99b3-11e9-a227-ac1f6b442184")</f>
        <v>https://knigipp.ru/api/getInfo/image/ad98acfe-99b3-11e9-a227-ac1f6b442184</v>
      </c>
      <c r="AD1543" s="32">
        <v>16</v>
      </c>
      <c r="AE1543" s="3"/>
      <c r="AF1543" s="3" t="s">
        <v>136</v>
      </c>
      <c r="AG1543" s="3"/>
      <c r="AH1543" s="3" t="s">
        <v>56</v>
      </c>
      <c r="AI1543" s="3"/>
      <c r="AJ1543" s="3"/>
      <c r="AK1543" s="3" t="str">
        <f>HYPERLINK("https://knigipp.ru/api/getInfo/item/ad98acfe-99b3-11e9-a227-ac1f6b442184")</f>
        <v>https://knigipp.ru/api/getInfo/item/ad98acfe-99b3-11e9-a227-ac1f6b442184</v>
      </c>
      <c r="AL1543" s="3" t="s">
        <v>5247</v>
      </c>
    </row>
    <row r="1544" spans="1:38" ht="21" customHeight="1" outlineLevel="5" x14ac:dyDescent="0.2">
      <c r="A1544" s="39">
        <v>1166</v>
      </c>
      <c r="B1544" s="3" t="s">
        <v>6519</v>
      </c>
      <c r="C1544" s="49" t="s">
        <v>6520</v>
      </c>
      <c r="D1544" s="49"/>
      <c r="E1544" s="49"/>
      <c r="F1544" s="49"/>
      <c r="G1544" s="4" t="s">
        <v>6521</v>
      </c>
      <c r="H1544" s="8"/>
      <c r="I1544" s="9" t="s">
        <v>6496</v>
      </c>
      <c r="J1544" s="10"/>
      <c r="K1544" s="11">
        <v>50</v>
      </c>
      <c r="L1544" s="10"/>
      <c r="M1544" s="10" t="s">
        <v>47</v>
      </c>
      <c r="N1544" s="10"/>
      <c r="O1544" s="2">
        <v>25</v>
      </c>
      <c r="P1544" s="17">
        <f>29*(1-S3/100)</f>
        <v>29</v>
      </c>
      <c r="Q1544" s="18"/>
      <c r="R1544" s="10">
        <f t="shared" si="63"/>
        <v>0</v>
      </c>
      <c r="S1544" s="10">
        <v>0</v>
      </c>
      <c r="T1544" s="10">
        <v>0</v>
      </c>
      <c r="U1544" s="21"/>
      <c r="V1544" s="22" t="s">
        <v>6522</v>
      </c>
      <c r="W1544" s="22" t="s">
        <v>49</v>
      </c>
      <c r="X1544" s="3"/>
      <c r="Y1544" s="3"/>
      <c r="Z1544" s="3" t="s">
        <v>52</v>
      </c>
      <c r="AA1544" s="3"/>
      <c r="AB1544" s="3"/>
      <c r="AC1544" s="3" t="str">
        <f>HYPERLINK("https://knigipp.ru/api/getInfo/image/47cf69f1-b9a3-11ed-a230-00155d82e902")</f>
        <v>https://knigipp.ru/api/getInfo/image/47cf69f1-b9a3-11ed-a230-00155d82e902</v>
      </c>
      <c r="AD1544" s="32">
        <v>16</v>
      </c>
      <c r="AE1544" s="3"/>
      <c r="AF1544" s="3" t="s">
        <v>136</v>
      </c>
      <c r="AG1544" s="3"/>
      <c r="AH1544" s="3" t="s">
        <v>56</v>
      </c>
      <c r="AI1544" s="3"/>
      <c r="AJ1544" s="3"/>
      <c r="AK1544" s="3" t="str">
        <f>HYPERLINK("https://knigipp.ru/api/getInfo/item/47cf69f1-b9a3-11ed-a230-00155d82e902")</f>
        <v>https://knigipp.ru/api/getInfo/item/47cf69f1-b9a3-11ed-a230-00155d82e902</v>
      </c>
      <c r="AL1544" s="3" t="s">
        <v>5247</v>
      </c>
    </row>
    <row r="1545" spans="1:38" ht="23.1" customHeight="1" outlineLevel="4" x14ac:dyDescent="0.2">
      <c r="A1545" s="55" t="s">
        <v>6523</v>
      </c>
      <c r="B1545" s="55"/>
      <c r="C1545" s="55"/>
      <c r="D1545" s="55"/>
      <c r="E1545" s="55"/>
      <c r="F1545" s="55"/>
    </row>
    <row r="1546" spans="1:38" ht="21" customHeight="1" outlineLevel="5" x14ac:dyDescent="0.2">
      <c r="A1546" s="39">
        <v>1167</v>
      </c>
      <c r="B1546" s="3" t="s">
        <v>6524</v>
      </c>
      <c r="C1546" s="49" t="s">
        <v>6525</v>
      </c>
      <c r="D1546" s="49"/>
      <c r="E1546" s="49"/>
      <c r="F1546" s="49"/>
      <c r="G1546" s="4" t="s">
        <v>6526</v>
      </c>
      <c r="H1546" s="8"/>
      <c r="I1546" s="9" t="s">
        <v>6527</v>
      </c>
      <c r="J1546" s="10"/>
      <c r="K1546" s="11">
        <v>50</v>
      </c>
      <c r="L1546" s="10"/>
      <c r="M1546" s="10" t="s">
        <v>47</v>
      </c>
      <c r="N1546" s="10"/>
      <c r="O1546" s="2">
        <v>25</v>
      </c>
      <c r="P1546" s="17">
        <f>24*(1-S3/100)</f>
        <v>24</v>
      </c>
      <c r="Q1546" s="18"/>
      <c r="R1546" s="10">
        <f>P1546*Q1546</f>
        <v>0</v>
      </c>
      <c r="S1546" s="28">
        <f>0.03*Q1546</f>
        <v>0</v>
      </c>
      <c r="T1546" s="30">
        <f>0.0002*Q1546</f>
        <v>0</v>
      </c>
      <c r="U1546" s="21"/>
      <c r="V1546" s="22" t="s">
        <v>6528</v>
      </c>
      <c r="W1546" s="22" t="s">
        <v>49</v>
      </c>
      <c r="X1546" s="3"/>
      <c r="Y1546" s="3"/>
      <c r="Z1546" s="3" t="s">
        <v>52</v>
      </c>
      <c r="AA1546" s="3"/>
      <c r="AB1546" s="3"/>
      <c r="AC1546" s="3" t="str">
        <f>HYPERLINK("https://knigipp.ru/api/getInfo/image/51d443d8-7541-11ec-a210-ac1f6b442185")</f>
        <v>https://knigipp.ru/api/getInfo/image/51d443d8-7541-11ec-a210-ac1f6b442185</v>
      </c>
      <c r="AD1546" s="32">
        <v>16</v>
      </c>
      <c r="AE1546" s="3"/>
      <c r="AF1546" s="3" t="s">
        <v>136</v>
      </c>
      <c r="AG1546" s="3"/>
      <c r="AH1546" s="3" t="s">
        <v>56</v>
      </c>
      <c r="AI1546" s="3"/>
      <c r="AJ1546" s="3"/>
      <c r="AK1546" s="3" t="str">
        <f>HYPERLINK("https://knigipp.ru/api/getInfo/item/51d443d8-7541-11ec-a210-ac1f6b442185")</f>
        <v>https://knigipp.ru/api/getInfo/item/51d443d8-7541-11ec-a210-ac1f6b442185</v>
      </c>
      <c r="AL1546" s="3" t="s">
        <v>628</v>
      </c>
    </row>
    <row r="1547" spans="1:38" ht="21" customHeight="1" outlineLevel="5" x14ac:dyDescent="0.2">
      <c r="A1547" s="39">
        <v>1168</v>
      </c>
      <c r="B1547" s="3" t="s">
        <v>6529</v>
      </c>
      <c r="C1547" s="49" t="s">
        <v>6530</v>
      </c>
      <c r="D1547" s="49"/>
      <c r="E1547" s="49"/>
      <c r="F1547" s="49"/>
      <c r="G1547" s="4" t="s">
        <v>6531</v>
      </c>
      <c r="H1547" s="8"/>
      <c r="I1547" s="9" t="s">
        <v>6527</v>
      </c>
      <c r="J1547" s="10"/>
      <c r="K1547" s="11">
        <v>50</v>
      </c>
      <c r="L1547" s="10"/>
      <c r="M1547" s="10" t="s">
        <v>47</v>
      </c>
      <c r="N1547" s="10"/>
      <c r="O1547" s="2">
        <v>25</v>
      </c>
      <c r="P1547" s="17">
        <f>24*(1-S3/100)</f>
        <v>24</v>
      </c>
      <c r="Q1547" s="18"/>
      <c r="R1547" s="10">
        <f>P1547*Q1547</f>
        <v>0</v>
      </c>
      <c r="S1547" s="19">
        <f>0.028*Q1547</f>
        <v>0</v>
      </c>
      <c r="T1547" s="20">
        <f>0.00012*Q1547</f>
        <v>0</v>
      </c>
      <c r="U1547" s="21"/>
      <c r="V1547" s="22" t="s">
        <v>6532</v>
      </c>
      <c r="W1547" s="22" t="s">
        <v>49</v>
      </c>
      <c r="X1547" s="3"/>
      <c r="Y1547" s="3"/>
      <c r="Z1547" s="3" t="s">
        <v>52</v>
      </c>
      <c r="AA1547" s="3"/>
      <c r="AB1547" s="3"/>
      <c r="AC1547" s="3" t="str">
        <f>HYPERLINK("https://knigipp.ru/api/getInfo/image/c60b0fb0-7540-11ec-a210-ac1f6b442185")</f>
        <v>https://knigipp.ru/api/getInfo/image/c60b0fb0-7540-11ec-a210-ac1f6b442185</v>
      </c>
      <c r="AD1547" s="32">
        <v>16</v>
      </c>
      <c r="AE1547" s="3"/>
      <c r="AF1547" s="3" t="s">
        <v>136</v>
      </c>
      <c r="AG1547" s="3"/>
      <c r="AH1547" s="3" t="s">
        <v>56</v>
      </c>
      <c r="AI1547" s="3"/>
      <c r="AJ1547" s="3"/>
      <c r="AK1547" s="3" t="str">
        <f>HYPERLINK("https://knigipp.ru/api/getInfo/item/c60b0fb0-7540-11ec-a210-ac1f6b442185")</f>
        <v>https://knigipp.ru/api/getInfo/item/c60b0fb0-7540-11ec-a210-ac1f6b442185</v>
      </c>
      <c r="AL1547" s="3" t="s">
        <v>628</v>
      </c>
    </row>
    <row r="1548" spans="1:38" ht="21" customHeight="1" outlineLevel="5" x14ac:dyDescent="0.2">
      <c r="A1548" s="39">
        <v>1169</v>
      </c>
      <c r="B1548" s="3" t="s">
        <v>6533</v>
      </c>
      <c r="C1548" s="49" t="s">
        <v>6534</v>
      </c>
      <c r="D1548" s="49"/>
      <c r="E1548" s="49"/>
      <c r="F1548" s="49"/>
      <c r="G1548" s="4" t="s">
        <v>6535</v>
      </c>
      <c r="H1548" s="8"/>
      <c r="I1548" s="9" t="s">
        <v>6527</v>
      </c>
      <c r="J1548" s="10"/>
      <c r="K1548" s="11">
        <v>50</v>
      </c>
      <c r="L1548" s="10"/>
      <c r="M1548" s="10" t="s">
        <v>47</v>
      </c>
      <c r="N1548" s="10"/>
      <c r="O1548" s="2">
        <v>25</v>
      </c>
      <c r="P1548" s="17">
        <f>24*(1-S3/100)</f>
        <v>24</v>
      </c>
      <c r="Q1548" s="18"/>
      <c r="R1548" s="10">
        <f>P1548*Q1548</f>
        <v>0</v>
      </c>
      <c r="S1548" s="19">
        <f>0.027*Q1548</f>
        <v>0</v>
      </c>
      <c r="T1548" s="20">
        <f>0.00015*Q1548</f>
        <v>0</v>
      </c>
      <c r="U1548" s="21"/>
      <c r="V1548" s="22" t="s">
        <v>6536</v>
      </c>
      <c r="W1548" s="22" t="s">
        <v>49</v>
      </c>
      <c r="X1548" s="3"/>
      <c r="Y1548" s="3"/>
      <c r="Z1548" s="3" t="s">
        <v>52</v>
      </c>
      <c r="AA1548" s="3"/>
      <c r="AB1548" s="3"/>
      <c r="AC1548" s="3" t="str">
        <f>HYPERLINK("https://knigipp.ru/api/getInfo/image/824592f0-7541-11ec-a210-ac1f6b442185")</f>
        <v>https://knigipp.ru/api/getInfo/image/824592f0-7541-11ec-a210-ac1f6b442185</v>
      </c>
      <c r="AD1548" s="32">
        <v>16</v>
      </c>
      <c r="AE1548" s="3"/>
      <c r="AF1548" s="3" t="s">
        <v>136</v>
      </c>
      <c r="AG1548" s="3"/>
      <c r="AH1548" s="3" t="s">
        <v>56</v>
      </c>
      <c r="AI1548" s="3"/>
      <c r="AJ1548" s="3"/>
      <c r="AK1548" s="3" t="str">
        <f>HYPERLINK("https://knigipp.ru/api/getInfo/item/824592f0-7541-11ec-a210-ac1f6b442185")</f>
        <v>https://knigipp.ru/api/getInfo/item/824592f0-7541-11ec-a210-ac1f6b442185</v>
      </c>
      <c r="AL1548" s="3" t="s">
        <v>628</v>
      </c>
    </row>
    <row r="1549" spans="1:38" ht="21" customHeight="1" outlineLevel="5" x14ac:dyDescent="0.2">
      <c r="A1549" s="39">
        <v>1170</v>
      </c>
      <c r="B1549" s="3" t="s">
        <v>6537</v>
      </c>
      <c r="C1549" s="49" t="s">
        <v>6538</v>
      </c>
      <c r="D1549" s="49"/>
      <c r="E1549" s="49"/>
      <c r="F1549" s="49"/>
      <c r="G1549" s="4" t="s">
        <v>6539</v>
      </c>
      <c r="H1549" s="8"/>
      <c r="I1549" s="9" t="s">
        <v>6527</v>
      </c>
      <c r="J1549" s="10"/>
      <c r="K1549" s="11">
        <v>50</v>
      </c>
      <c r="L1549" s="10"/>
      <c r="M1549" s="10" t="s">
        <v>78</v>
      </c>
      <c r="N1549" s="10"/>
      <c r="O1549" s="2">
        <v>25</v>
      </c>
      <c r="P1549" s="17">
        <f>24*(1-S3/100)</f>
        <v>24</v>
      </c>
      <c r="Q1549" s="18"/>
      <c r="R1549" s="10">
        <f>P1549*Q1549</f>
        <v>0</v>
      </c>
      <c r="S1549" s="28">
        <f>0.03*Q1549</f>
        <v>0</v>
      </c>
      <c r="T1549" s="20">
        <f>0.00016*Q1549</f>
        <v>0</v>
      </c>
      <c r="U1549" s="21"/>
      <c r="V1549" s="22" t="s">
        <v>6540</v>
      </c>
      <c r="W1549" s="22" t="s">
        <v>49</v>
      </c>
      <c r="X1549" s="3"/>
      <c r="Y1549" s="3"/>
      <c r="Z1549" s="3" t="s">
        <v>52</v>
      </c>
      <c r="AA1549" s="3"/>
      <c r="AB1549" s="3"/>
      <c r="AC1549" s="3" t="str">
        <f>HYPERLINK("https://knigipp.ru/api/getInfo/image/c472e028-7541-11ec-a210-ac1f6b442185")</f>
        <v>https://knigipp.ru/api/getInfo/image/c472e028-7541-11ec-a210-ac1f6b442185</v>
      </c>
      <c r="AD1549" s="32">
        <v>16</v>
      </c>
      <c r="AE1549" s="3"/>
      <c r="AF1549" s="3" t="s">
        <v>136</v>
      </c>
      <c r="AG1549" s="3"/>
      <c r="AH1549" s="3" t="s">
        <v>56</v>
      </c>
      <c r="AI1549" s="3"/>
      <c r="AJ1549" s="3"/>
      <c r="AK1549" s="3" t="str">
        <f>HYPERLINK("https://knigipp.ru/api/getInfo/item/c472e028-7541-11ec-a210-ac1f6b442185")</f>
        <v>https://knigipp.ru/api/getInfo/item/c472e028-7541-11ec-a210-ac1f6b442185</v>
      </c>
      <c r="AL1549" s="3" t="s">
        <v>628</v>
      </c>
    </row>
    <row r="1550" spans="1:38" ht="23.1" customHeight="1" outlineLevel="4" x14ac:dyDescent="0.2">
      <c r="A1550" s="55" t="s">
        <v>6541</v>
      </c>
      <c r="B1550" s="55"/>
      <c r="C1550" s="55"/>
      <c r="D1550" s="55"/>
      <c r="E1550" s="55"/>
      <c r="F1550" s="55"/>
    </row>
    <row r="1551" spans="1:38" ht="21" customHeight="1" outlineLevel="5" x14ac:dyDescent="0.2">
      <c r="A1551" s="39">
        <v>1171</v>
      </c>
      <c r="B1551" s="3" t="s">
        <v>6542</v>
      </c>
      <c r="C1551" s="49" t="s">
        <v>6543</v>
      </c>
      <c r="D1551" s="49"/>
      <c r="E1551" s="49"/>
      <c r="F1551" s="49"/>
      <c r="G1551" s="4" t="s">
        <v>6544</v>
      </c>
      <c r="H1551" s="8"/>
      <c r="I1551" s="9" t="s">
        <v>6545</v>
      </c>
      <c r="J1551" s="10"/>
      <c r="K1551" s="11">
        <v>50</v>
      </c>
      <c r="L1551" s="10"/>
      <c r="M1551" s="10" t="s">
        <v>304</v>
      </c>
      <c r="N1551" s="10"/>
      <c r="O1551" s="2">
        <v>20</v>
      </c>
      <c r="P1551" s="17">
        <f>29.7*(1-S3/100)</f>
        <v>29.7</v>
      </c>
      <c r="Q1551" s="18"/>
      <c r="R1551" s="10">
        <f t="shared" ref="R1551:R1565" si="64">P1551*Q1551</f>
        <v>0</v>
      </c>
      <c r="S1551" s="28">
        <f>0.03*Q1551</f>
        <v>0</v>
      </c>
      <c r="T1551" s="20">
        <f>0.00009*Q1551</f>
        <v>0</v>
      </c>
      <c r="U1551" s="21"/>
      <c r="V1551" s="22" t="s">
        <v>6546</v>
      </c>
      <c r="W1551" s="22" t="s">
        <v>49</v>
      </c>
      <c r="X1551" s="3"/>
      <c r="Y1551" s="3"/>
      <c r="Z1551" s="3" t="s">
        <v>52</v>
      </c>
      <c r="AA1551" s="3"/>
      <c r="AB1551" s="3"/>
      <c r="AC1551" s="3" t="str">
        <f>HYPERLINK("https://knigipp.ru/api/getInfo/image/352bb6e8-b9b7-11ed-a230-00155d82e902")</f>
        <v>https://knigipp.ru/api/getInfo/image/352bb6e8-b9b7-11ed-a230-00155d82e902</v>
      </c>
      <c r="AD1551" s="32">
        <v>16</v>
      </c>
      <c r="AE1551" s="3"/>
      <c r="AF1551" s="3" t="s">
        <v>136</v>
      </c>
      <c r="AG1551" s="3"/>
      <c r="AH1551" s="3" t="s">
        <v>56</v>
      </c>
      <c r="AI1551" s="3"/>
      <c r="AJ1551" s="3"/>
      <c r="AK1551" s="3" t="str">
        <f>HYPERLINK("https://knigipp.ru/api/getInfo/item/352bb6e8-b9b7-11ed-a230-00155d82e902")</f>
        <v>https://knigipp.ru/api/getInfo/item/352bb6e8-b9b7-11ed-a230-00155d82e902</v>
      </c>
      <c r="AL1551" s="3" t="s">
        <v>628</v>
      </c>
    </row>
    <row r="1552" spans="1:38" ht="21" customHeight="1" outlineLevel="5" x14ac:dyDescent="0.2">
      <c r="A1552" s="39">
        <v>1172</v>
      </c>
      <c r="B1552" s="3" t="s">
        <v>6547</v>
      </c>
      <c r="C1552" s="49" t="s">
        <v>6548</v>
      </c>
      <c r="D1552" s="49"/>
      <c r="E1552" s="49"/>
      <c r="F1552" s="49"/>
      <c r="G1552" s="4" t="s">
        <v>6549</v>
      </c>
      <c r="H1552" s="8"/>
      <c r="I1552" s="9" t="s">
        <v>6550</v>
      </c>
      <c r="J1552" s="10"/>
      <c r="K1552" s="11">
        <v>50</v>
      </c>
      <c r="L1552" s="10"/>
      <c r="M1552" s="10" t="s">
        <v>47</v>
      </c>
      <c r="N1552" s="10"/>
      <c r="O1552" s="2">
        <v>20</v>
      </c>
      <c r="P1552" s="17">
        <f>29.7*(1-S3/100)</f>
        <v>29.7</v>
      </c>
      <c r="Q1552" s="18"/>
      <c r="R1552" s="10">
        <f t="shared" si="64"/>
        <v>0</v>
      </c>
      <c r="S1552" s="19">
        <f>0.029*Q1552</f>
        <v>0</v>
      </c>
      <c r="T1552" s="20">
        <f>0.00015*Q1552</f>
        <v>0</v>
      </c>
      <c r="U1552" s="21"/>
      <c r="V1552" s="22" t="s">
        <v>6551</v>
      </c>
      <c r="W1552" s="22" t="s">
        <v>49</v>
      </c>
      <c r="X1552" s="3"/>
      <c r="Y1552" s="3"/>
      <c r="Z1552" s="3" t="s">
        <v>52</v>
      </c>
      <c r="AA1552" s="3"/>
      <c r="AB1552" s="3"/>
      <c r="AC1552" s="3" t="str">
        <f>HYPERLINK("https://knigipp.ru/api/getInfo/image/ec69f382-ad48-11e9-a22d-ac1f6b442184")</f>
        <v>https://knigipp.ru/api/getInfo/image/ec69f382-ad48-11e9-a22d-ac1f6b442184</v>
      </c>
      <c r="AD1552" s="32">
        <v>16</v>
      </c>
      <c r="AE1552" s="3"/>
      <c r="AF1552" s="3" t="s">
        <v>136</v>
      </c>
      <c r="AG1552" s="3"/>
      <c r="AH1552" s="3" t="s">
        <v>56</v>
      </c>
      <c r="AI1552" s="3"/>
      <c r="AJ1552" s="3"/>
      <c r="AK1552" s="3" t="str">
        <f>HYPERLINK("https://knigipp.ru/api/getInfo/item/ec69f382-ad48-11e9-a22d-ac1f6b442184")</f>
        <v>https://knigipp.ru/api/getInfo/item/ec69f382-ad48-11e9-a22d-ac1f6b442184</v>
      </c>
      <c r="AL1552" s="3" t="s">
        <v>628</v>
      </c>
    </row>
    <row r="1553" spans="1:38" ht="21" customHeight="1" outlineLevel="5" x14ac:dyDescent="0.2">
      <c r="A1553" s="39">
        <v>1173</v>
      </c>
      <c r="B1553" s="3" t="s">
        <v>6552</v>
      </c>
      <c r="C1553" s="49" t="s">
        <v>6553</v>
      </c>
      <c r="D1553" s="49"/>
      <c r="E1553" s="49"/>
      <c r="F1553" s="49"/>
      <c r="G1553" s="4" t="s">
        <v>6554</v>
      </c>
      <c r="H1553" s="8"/>
      <c r="I1553" s="9" t="s">
        <v>6550</v>
      </c>
      <c r="J1553" s="10"/>
      <c r="K1553" s="11">
        <v>50</v>
      </c>
      <c r="L1553" s="10"/>
      <c r="M1553" s="10" t="s">
        <v>47</v>
      </c>
      <c r="N1553" s="10"/>
      <c r="O1553" s="2">
        <v>20</v>
      </c>
      <c r="P1553" s="17">
        <f>29.7*(1-S3/100)</f>
        <v>29.7</v>
      </c>
      <c r="Q1553" s="18"/>
      <c r="R1553" s="10">
        <f t="shared" si="64"/>
        <v>0</v>
      </c>
      <c r="S1553" s="28">
        <f t="shared" ref="S1553:S1565" si="65">0.03*Q1553</f>
        <v>0</v>
      </c>
      <c r="T1553" s="20">
        <f>0.00006*Q1553</f>
        <v>0</v>
      </c>
      <c r="U1553" s="21"/>
      <c r="V1553" s="22" t="s">
        <v>6555</v>
      </c>
      <c r="W1553" s="22" t="s">
        <v>49</v>
      </c>
      <c r="X1553" s="3"/>
      <c r="Y1553" s="3"/>
      <c r="Z1553" s="3" t="s">
        <v>52</v>
      </c>
      <c r="AA1553" s="3"/>
      <c r="AB1553" s="3"/>
      <c r="AC1553" s="3" t="str">
        <f>HYPERLINK("https://knigipp.ru/api/getInfo/image/12fd3bd5-ad49-11e9-a22d-ac1f6b442184")</f>
        <v>https://knigipp.ru/api/getInfo/image/12fd3bd5-ad49-11e9-a22d-ac1f6b442184</v>
      </c>
      <c r="AD1553" s="32">
        <v>16</v>
      </c>
      <c r="AE1553" s="3"/>
      <c r="AF1553" s="3" t="s">
        <v>136</v>
      </c>
      <c r="AG1553" s="3"/>
      <c r="AH1553" s="3" t="s">
        <v>56</v>
      </c>
      <c r="AI1553" s="3"/>
      <c r="AJ1553" s="3"/>
      <c r="AK1553" s="3" t="str">
        <f>HYPERLINK("https://knigipp.ru/api/getInfo/item/12fd3bd5-ad49-11e9-a22d-ac1f6b442184")</f>
        <v>https://knigipp.ru/api/getInfo/item/12fd3bd5-ad49-11e9-a22d-ac1f6b442184</v>
      </c>
      <c r="AL1553" s="3" t="s">
        <v>628</v>
      </c>
    </row>
    <row r="1554" spans="1:38" ht="21" customHeight="1" outlineLevel="5" x14ac:dyDescent="0.2">
      <c r="A1554" s="39">
        <v>1174</v>
      </c>
      <c r="B1554" s="3" t="s">
        <v>6556</v>
      </c>
      <c r="C1554" s="49" t="s">
        <v>6557</v>
      </c>
      <c r="D1554" s="49"/>
      <c r="E1554" s="49"/>
      <c r="F1554" s="49"/>
      <c r="G1554" s="4" t="s">
        <v>6558</v>
      </c>
      <c r="H1554" s="8"/>
      <c r="I1554" s="9" t="s">
        <v>6559</v>
      </c>
      <c r="J1554" s="10"/>
      <c r="K1554" s="11">
        <v>50</v>
      </c>
      <c r="L1554" s="10"/>
      <c r="M1554" s="10" t="s">
        <v>78</v>
      </c>
      <c r="N1554" s="10"/>
      <c r="O1554" s="2">
        <v>20</v>
      </c>
      <c r="P1554" s="17">
        <f>29.7*(1-S3/100)</f>
        <v>29.7</v>
      </c>
      <c r="Q1554" s="18"/>
      <c r="R1554" s="10">
        <f t="shared" si="64"/>
        <v>0</v>
      </c>
      <c r="S1554" s="28">
        <f t="shared" si="65"/>
        <v>0</v>
      </c>
      <c r="T1554" s="20">
        <f>0.00006*Q1554</f>
        <v>0</v>
      </c>
      <c r="U1554" s="21"/>
      <c r="V1554" s="22" t="s">
        <v>6560</v>
      </c>
      <c r="W1554" s="22" t="s">
        <v>49</v>
      </c>
      <c r="X1554" s="3"/>
      <c r="Y1554" s="3"/>
      <c r="Z1554" s="3" t="s">
        <v>52</v>
      </c>
      <c r="AA1554" s="3" t="s">
        <v>6561</v>
      </c>
      <c r="AB1554" s="3"/>
      <c r="AC1554" s="3" t="str">
        <f>HYPERLINK("https://knigipp.ru/api/getInfo/image/48d5e7b0-4ec0-11e8-b825-5cf3fc4a2490")</f>
        <v>https://knigipp.ru/api/getInfo/image/48d5e7b0-4ec0-11e8-b825-5cf3fc4a2490</v>
      </c>
      <c r="AD1554" s="32">
        <v>16</v>
      </c>
      <c r="AE1554" s="3"/>
      <c r="AF1554" s="3" t="s">
        <v>136</v>
      </c>
      <c r="AG1554" s="3"/>
      <c r="AH1554" s="3" t="s">
        <v>56</v>
      </c>
      <c r="AI1554" s="3"/>
      <c r="AJ1554" s="3"/>
      <c r="AK1554" s="3" t="str">
        <f>HYPERLINK("https://knigipp.ru/api/getInfo/item/48d5e7b0-4ec0-11e8-b825-5cf3fc4a2490")</f>
        <v>https://knigipp.ru/api/getInfo/item/48d5e7b0-4ec0-11e8-b825-5cf3fc4a2490</v>
      </c>
      <c r="AL1554" s="3" t="s">
        <v>628</v>
      </c>
    </row>
    <row r="1555" spans="1:38" ht="21" customHeight="1" outlineLevel="5" x14ac:dyDescent="0.2">
      <c r="A1555" s="39">
        <v>1175</v>
      </c>
      <c r="B1555" s="3" t="s">
        <v>6562</v>
      </c>
      <c r="C1555" s="49" t="s">
        <v>6563</v>
      </c>
      <c r="D1555" s="49"/>
      <c r="E1555" s="49"/>
      <c r="F1555" s="49"/>
      <c r="G1555" s="4" t="s">
        <v>6564</v>
      </c>
      <c r="H1555" s="8"/>
      <c r="I1555" s="9" t="s">
        <v>6559</v>
      </c>
      <c r="J1555" s="10"/>
      <c r="K1555" s="11">
        <v>50</v>
      </c>
      <c r="L1555" s="10"/>
      <c r="M1555" s="10" t="s">
        <v>47</v>
      </c>
      <c r="N1555" s="10"/>
      <c r="O1555" s="2">
        <v>20</v>
      </c>
      <c r="P1555" s="17">
        <f>29.7*(1-S3/100)</f>
        <v>29.7</v>
      </c>
      <c r="Q1555" s="18"/>
      <c r="R1555" s="10">
        <f t="shared" si="64"/>
        <v>0</v>
      </c>
      <c r="S1555" s="28">
        <f t="shared" si="65"/>
        <v>0</v>
      </c>
      <c r="T1555" s="20">
        <f>0.00006*Q1555</f>
        <v>0</v>
      </c>
      <c r="U1555" s="21"/>
      <c r="V1555" s="22" t="s">
        <v>6565</v>
      </c>
      <c r="W1555" s="22" t="s">
        <v>49</v>
      </c>
      <c r="X1555" s="3"/>
      <c r="Y1555" s="3"/>
      <c r="Z1555" s="3" t="s">
        <v>52</v>
      </c>
      <c r="AA1555" s="3" t="s">
        <v>6561</v>
      </c>
      <c r="AB1555" s="3"/>
      <c r="AC1555" s="3" t="str">
        <f>HYPERLINK("https://knigipp.ru/api/getInfo/image/1aadaacc-4ec0-11e8-b825-5cf3fc4a2490")</f>
        <v>https://knigipp.ru/api/getInfo/image/1aadaacc-4ec0-11e8-b825-5cf3fc4a2490</v>
      </c>
      <c r="AD1555" s="32">
        <v>16</v>
      </c>
      <c r="AE1555" s="3"/>
      <c r="AF1555" s="3" t="s">
        <v>136</v>
      </c>
      <c r="AG1555" s="3"/>
      <c r="AH1555" s="3" t="s">
        <v>56</v>
      </c>
      <c r="AI1555" s="3"/>
      <c r="AJ1555" s="3"/>
      <c r="AK1555" s="3" t="str">
        <f>HYPERLINK("https://knigipp.ru/api/getInfo/item/1aadaacc-4ec0-11e8-b825-5cf3fc4a2490")</f>
        <v>https://knigipp.ru/api/getInfo/item/1aadaacc-4ec0-11e8-b825-5cf3fc4a2490</v>
      </c>
      <c r="AL1555" s="3" t="s">
        <v>628</v>
      </c>
    </row>
    <row r="1556" spans="1:38" ht="21" customHeight="1" outlineLevel="5" x14ac:dyDescent="0.2">
      <c r="A1556" s="39">
        <v>1176</v>
      </c>
      <c r="B1556" s="3" t="s">
        <v>6566</v>
      </c>
      <c r="C1556" s="49" t="s">
        <v>6567</v>
      </c>
      <c r="D1556" s="49"/>
      <c r="E1556" s="49"/>
      <c r="F1556" s="49"/>
      <c r="G1556" s="4" t="s">
        <v>6568</v>
      </c>
      <c r="H1556" s="8"/>
      <c r="I1556" s="9" t="s">
        <v>6559</v>
      </c>
      <c r="J1556" s="10"/>
      <c r="K1556" s="11">
        <v>50</v>
      </c>
      <c r="L1556" s="10"/>
      <c r="M1556" s="10" t="s">
        <v>304</v>
      </c>
      <c r="N1556" s="10"/>
      <c r="O1556" s="2">
        <v>20</v>
      </c>
      <c r="P1556" s="17">
        <f>29.7*(1-S3/100)</f>
        <v>29.7</v>
      </c>
      <c r="Q1556" s="18"/>
      <c r="R1556" s="10">
        <f t="shared" si="64"/>
        <v>0</v>
      </c>
      <c r="S1556" s="28">
        <f t="shared" si="65"/>
        <v>0</v>
      </c>
      <c r="T1556" s="20">
        <f>0.00006*Q1556</f>
        <v>0</v>
      </c>
      <c r="U1556" s="21"/>
      <c r="V1556" s="22" t="s">
        <v>6569</v>
      </c>
      <c r="W1556" s="22" t="s">
        <v>49</v>
      </c>
      <c r="X1556" s="3"/>
      <c r="Y1556" s="3"/>
      <c r="Z1556" s="3" t="s">
        <v>52</v>
      </c>
      <c r="AA1556" s="3"/>
      <c r="AB1556" s="3"/>
      <c r="AC1556" s="3" t="str">
        <f>HYPERLINK("https://knigipp.ru/api/getInfo/image/e9bcb2ae-1a9e-11eb-a25d-ac1f6b442184")</f>
        <v>https://knigipp.ru/api/getInfo/image/e9bcb2ae-1a9e-11eb-a25d-ac1f6b442184</v>
      </c>
      <c r="AD1556" s="32">
        <v>16</v>
      </c>
      <c r="AE1556" s="3"/>
      <c r="AF1556" s="3" t="s">
        <v>136</v>
      </c>
      <c r="AG1556" s="3"/>
      <c r="AH1556" s="3" t="s">
        <v>56</v>
      </c>
      <c r="AI1556" s="3"/>
      <c r="AJ1556" s="3"/>
      <c r="AK1556" s="3" t="str">
        <f>HYPERLINK("https://knigipp.ru/api/getInfo/item/e9bcb2ae-1a9e-11eb-a25d-ac1f6b442184")</f>
        <v>https://knigipp.ru/api/getInfo/item/e9bcb2ae-1a9e-11eb-a25d-ac1f6b442184</v>
      </c>
      <c r="AL1556" s="3" t="s">
        <v>628</v>
      </c>
    </row>
    <row r="1557" spans="1:38" ht="21" customHeight="1" outlineLevel="5" x14ac:dyDescent="0.2">
      <c r="A1557" s="39">
        <v>1177</v>
      </c>
      <c r="B1557" s="3" t="s">
        <v>6570</v>
      </c>
      <c r="C1557" s="49" t="s">
        <v>6571</v>
      </c>
      <c r="D1557" s="49"/>
      <c r="E1557" s="49"/>
      <c r="F1557" s="49"/>
      <c r="G1557" s="4" t="s">
        <v>6572</v>
      </c>
      <c r="H1557" s="8"/>
      <c r="I1557" s="9" t="s">
        <v>6559</v>
      </c>
      <c r="J1557" s="10"/>
      <c r="K1557" s="11">
        <v>50</v>
      </c>
      <c r="L1557" s="10"/>
      <c r="M1557" s="10" t="s">
        <v>47</v>
      </c>
      <c r="N1557" s="10"/>
      <c r="O1557" s="2">
        <v>20</v>
      </c>
      <c r="P1557" s="17">
        <f>29.7*(1-S3/100)</f>
        <v>29.7</v>
      </c>
      <c r="Q1557" s="18"/>
      <c r="R1557" s="10">
        <f t="shared" si="64"/>
        <v>0</v>
      </c>
      <c r="S1557" s="28">
        <f t="shared" si="65"/>
        <v>0</v>
      </c>
      <c r="T1557" s="20">
        <f>0.00006*Q1557</f>
        <v>0</v>
      </c>
      <c r="U1557" s="21"/>
      <c r="V1557" s="22" t="s">
        <v>6573</v>
      </c>
      <c r="W1557" s="22" t="s">
        <v>49</v>
      </c>
      <c r="X1557" s="3"/>
      <c r="Y1557" s="3"/>
      <c r="Z1557" s="3" t="s">
        <v>52</v>
      </c>
      <c r="AA1557" s="3" t="s">
        <v>6391</v>
      </c>
      <c r="AB1557" s="3"/>
      <c r="AC1557" s="3" t="str">
        <f>HYPERLINK("https://knigipp.ru/api/getInfo/image/e09377f9-2b7b-11e8-ba06-5cf3fc4a2490")</f>
        <v>https://knigipp.ru/api/getInfo/image/e09377f9-2b7b-11e8-ba06-5cf3fc4a2490</v>
      </c>
      <c r="AD1557" s="32">
        <v>16</v>
      </c>
      <c r="AE1557" s="3"/>
      <c r="AF1557" s="3" t="s">
        <v>136</v>
      </c>
      <c r="AG1557" s="3"/>
      <c r="AH1557" s="3" t="s">
        <v>56</v>
      </c>
      <c r="AI1557" s="3"/>
      <c r="AJ1557" s="3" t="s">
        <v>6357</v>
      </c>
      <c r="AK1557" s="3" t="str">
        <f>HYPERLINK("https://knigipp.ru/api/getInfo/item/e09377f9-2b7b-11e8-ba06-5cf3fc4a2490")</f>
        <v>https://knigipp.ru/api/getInfo/item/e09377f9-2b7b-11e8-ba06-5cf3fc4a2490</v>
      </c>
      <c r="AL1557" s="3" t="s">
        <v>628</v>
      </c>
    </row>
    <row r="1558" spans="1:38" ht="21" customHeight="1" outlineLevel="5" x14ac:dyDescent="0.2">
      <c r="A1558" s="39">
        <v>1178</v>
      </c>
      <c r="B1558" s="3" t="s">
        <v>6574</v>
      </c>
      <c r="C1558" s="49" t="s">
        <v>6575</v>
      </c>
      <c r="D1558" s="49"/>
      <c r="E1558" s="49"/>
      <c r="F1558" s="49"/>
      <c r="G1558" s="4" t="s">
        <v>6576</v>
      </c>
      <c r="H1558" s="8"/>
      <c r="I1558" s="9" t="s">
        <v>6545</v>
      </c>
      <c r="J1558" s="10"/>
      <c r="K1558" s="11">
        <v>50</v>
      </c>
      <c r="L1558" s="10"/>
      <c r="M1558" s="10" t="s">
        <v>304</v>
      </c>
      <c r="N1558" s="10"/>
      <c r="O1558" s="2">
        <v>20</v>
      </c>
      <c r="P1558" s="17">
        <f>29.7*(1-S3/100)</f>
        <v>29.7</v>
      </c>
      <c r="Q1558" s="18"/>
      <c r="R1558" s="10">
        <f t="shared" si="64"/>
        <v>0</v>
      </c>
      <c r="S1558" s="28">
        <f t="shared" si="65"/>
        <v>0</v>
      </c>
      <c r="T1558" s="20">
        <f>0.00009*Q1558</f>
        <v>0</v>
      </c>
      <c r="U1558" s="21"/>
      <c r="V1558" s="22" t="s">
        <v>6577</v>
      </c>
      <c r="W1558" s="22" t="s">
        <v>49</v>
      </c>
      <c r="X1558" s="3"/>
      <c r="Y1558" s="3"/>
      <c r="Z1558" s="3" t="s">
        <v>52</v>
      </c>
      <c r="AA1558" s="3"/>
      <c r="AB1558" s="3"/>
      <c r="AC1558" s="3" t="str">
        <f>HYPERLINK("https://knigipp.ru/api/getInfo/image/606123a3-b9b6-11ed-a230-00155d82e902")</f>
        <v>https://knigipp.ru/api/getInfo/image/606123a3-b9b6-11ed-a230-00155d82e902</v>
      </c>
      <c r="AD1558" s="32">
        <v>16</v>
      </c>
      <c r="AE1558" s="3"/>
      <c r="AF1558" s="3" t="s">
        <v>136</v>
      </c>
      <c r="AG1558" s="3"/>
      <c r="AH1558" s="3" t="s">
        <v>56</v>
      </c>
      <c r="AI1558" s="3"/>
      <c r="AJ1558" s="3"/>
      <c r="AK1558" s="3" t="str">
        <f>HYPERLINK("https://knigipp.ru/api/getInfo/item/606123a3-b9b6-11ed-a230-00155d82e902")</f>
        <v>https://knigipp.ru/api/getInfo/item/606123a3-b9b6-11ed-a230-00155d82e902</v>
      </c>
      <c r="AL1558" s="3" t="s">
        <v>628</v>
      </c>
    </row>
    <row r="1559" spans="1:38" ht="21" customHeight="1" outlineLevel="5" x14ac:dyDescent="0.2">
      <c r="A1559" s="39">
        <v>1179</v>
      </c>
      <c r="B1559" s="3" t="s">
        <v>6578</v>
      </c>
      <c r="C1559" s="49" t="s">
        <v>6579</v>
      </c>
      <c r="D1559" s="49"/>
      <c r="E1559" s="49"/>
      <c r="F1559" s="49"/>
      <c r="G1559" s="4" t="s">
        <v>6580</v>
      </c>
      <c r="H1559" s="8"/>
      <c r="I1559" s="9" t="s">
        <v>6545</v>
      </c>
      <c r="J1559" s="10"/>
      <c r="K1559" s="11">
        <v>50</v>
      </c>
      <c r="L1559" s="10"/>
      <c r="M1559" s="10" t="s">
        <v>47</v>
      </c>
      <c r="N1559" s="10"/>
      <c r="O1559" s="2">
        <v>20</v>
      </c>
      <c r="P1559" s="17">
        <f>29.7*(1-S3/100)</f>
        <v>29.7</v>
      </c>
      <c r="Q1559" s="18"/>
      <c r="R1559" s="10">
        <f t="shared" si="64"/>
        <v>0</v>
      </c>
      <c r="S1559" s="28">
        <f t="shared" si="65"/>
        <v>0</v>
      </c>
      <c r="T1559" s="20">
        <f>0.00009*Q1559</f>
        <v>0</v>
      </c>
      <c r="U1559" s="21"/>
      <c r="V1559" s="22" t="s">
        <v>6581</v>
      </c>
      <c r="W1559" s="22" t="s">
        <v>49</v>
      </c>
      <c r="X1559" s="3"/>
      <c r="Y1559" s="3"/>
      <c r="Z1559" s="3" t="s">
        <v>52</v>
      </c>
      <c r="AA1559" s="3"/>
      <c r="AB1559" s="3"/>
      <c r="AC1559" s="3" t="str">
        <f>HYPERLINK("https://knigipp.ru/api/getInfo/image/ece63155-b9b6-11ed-a230-00155d82e902")</f>
        <v>https://knigipp.ru/api/getInfo/image/ece63155-b9b6-11ed-a230-00155d82e902</v>
      </c>
      <c r="AD1559" s="32">
        <v>16</v>
      </c>
      <c r="AE1559" s="3"/>
      <c r="AF1559" s="3" t="s">
        <v>136</v>
      </c>
      <c r="AG1559" s="3"/>
      <c r="AH1559" s="3" t="s">
        <v>56</v>
      </c>
      <c r="AI1559" s="3"/>
      <c r="AJ1559" s="3"/>
      <c r="AK1559" s="3" t="str">
        <f>HYPERLINK("https://knigipp.ru/api/getInfo/item/ece63155-b9b6-11ed-a230-00155d82e902")</f>
        <v>https://knigipp.ru/api/getInfo/item/ece63155-b9b6-11ed-a230-00155d82e902</v>
      </c>
      <c r="AL1559" s="3" t="s">
        <v>628</v>
      </c>
    </row>
    <row r="1560" spans="1:38" ht="21" customHeight="1" outlineLevel="5" x14ac:dyDescent="0.2">
      <c r="A1560" s="39">
        <v>1180</v>
      </c>
      <c r="B1560" s="3" t="s">
        <v>6582</v>
      </c>
      <c r="C1560" s="49" t="s">
        <v>6583</v>
      </c>
      <c r="D1560" s="49"/>
      <c r="E1560" s="49"/>
      <c r="F1560" s="49"/>
      <c r="G1560" s="4" t="s">
        <v>6584</v>
      </c>
      <c r="H1560" s="8"/>
      <c r="I1560" s="9" t="s">
        <v>6559</v>
      </c>
      <c r="J1560" s="10"/>
      <c r="K1560" s="11">
        <v>50</v>
      </c>
      <c r="L1560" s="10"/>
      <c r="M1560" s="10" t="s">
        <v>47</v>
      </c>
      <c r="N1560" s="10"/>
      <c r="O1560" s="2">
        <v>20</v>
      </c>
      <c r="P1560" s="17">
        <f>29.7*(1-S3/100)</f>
        <v>29.7</v>
      </c>
      <c r="Q1560" s="18"/>
      <c r="R1560" s="10">
        <f t="shared" si="64"/>
        <v>0</v>
      </c>
      <c r="S1560" s="28">
        <f t="shared" si="65"/>
        <v>0</v>
      </c>
      <c r="T1560" s="20">
        <f>0.00006*Q1560</f>
        <v>0</v>
      </c>
      <c r="U1560" s="21"/>
      <c r="V1560" s="22" t="s">
        <v>6585</v>
      </c>
      <c r="W1560" s="22" t="s">
        <v>49</v>
      </c>
      <c r="X1560" s="3"/>
      <c r="Y1560" s="3"/>
      <c r="Z1560" s="3" t="s">
        <v>52</v>
      </c>
      <c r="AA1560" s="3"/>
      <c r="AB1560" s="3"/>
      <c r="AC1560" s="3" t="str">
        <f>HYPERLINK("https://knigipp.ru/api/getInfo/image/1c284ef1-5a2f-11ea-a242-ac1f6b442184")</f>
        <v>https://knigipp.ru/api/getInfo/image/1c284ef1-5a2f-11ea-a242-ac1f6b442184</v>
      </c>
      <c r="AD1560" s="32">
        <v>16</v>
      </c>
      <c r="AE1560" s="3"/>
      <c r="AF1560" s="3" t="s">
        <v>136</v>
      </c>
      <c r="AG1560" s="3"/>
      <c r="AH1560" s="3" t="s">
        <v>56</v>
      </c>
      <c r="AI1560" s="3"/>
      <c r="AJ1560" s="3" t="s">
        <v>6357</v>
      </c>
      <c r="AK1560" s="3" t="str">
        <f>HYPERLINK("https://knigipp.ru/api/getInfo/item/1c284ef1-5a2f-11ea-a242-ac1f6b442184")</f>
        <v>https://knigipp.ru/api/getInfo/item/1c284ef1-5a2f-11ea-a242-ac1f6b442184</v>
      </c>
      <c r="AL1560" s="3" t="s">
        <v>628</v>
      </c>
    </row>
    <row r="1561" spans="1:38" ht="21" customHeight="1" outlineLevel="5" x14ac:dyDescent="0.2">
      <c r="A1561" s="39">
        <v>1181</v>
      </c>
      <c r="B1561" s="3" t="s">
        <v>6586</v>
      </c>
      <c r="C1561" s="49" t="s">
        <v>6587</v>
      </c>
      <c r="D1561" s="49"/>
      <c r="E1561" s="49"/>
      <c r="F1561" s="49"/>
      <c r="G1561" s="4" t="s">
        <v>6588</v>
      </c>
      <c r="H1561" s="8"/>
      <c r="I1561" s="9" t="s">
        <v>6559</v>
      </c>
      <c r="J1561" s="10"/>
      <c r="K1561" s="11">
        <v>50</v>
      </c>
      <c r="L1561" s="10"/>
      <c r="M1561" s="10" t="s">
        <v>47</v>
      </c>
      <c r="N1561" s="10"/>
      <c r="O1561" s="2">
        <v>20</v>
      </c>
      <c r="P1561" s="17">
        <f>29.7*(1-S3/100)</f>
        <v>29.7</v>
      </c>
      <c r="Q1561" s="18"/>
      <c r="R1561" s="10">
        <f t="shared" si="64"/>
        <v>0</v>
      </c>
      <c r="S1561" s="28">
        <f t="shared" si="65"/>
        <v>0</v>
      </c>
      <c r="T1561" s="20">
        <f>0.00006*Q1561</f>
        <v>0</v>
      </c>
      <c r="U1561" s="21"/>
      <c r="V1561" s="22" t="s">
        <v>6589</v>
      </c>
      <c r="W1561" s="22" t="s">
        <v>49</v>
      </c>
      <c r="X1561" s="3"/>
      <c r="Y1561" s="3"/>
      <c r="Z1561" s="3" t="s">
        <v>52</v>
      </c>
      <c r="AA1561" s="3"/>
      <c r="AB1561" s="3"/>
      <c r="AC1561" s="3" t="str">
        <f>HYPERLINK("https://knigipp.ru/api/getInfo/image/95362e93-1a9e-11eb-a25d-ac1f6b442184")</f>
        <v>https://knigipp.ru/api/getInfo/image/95362e93-1a9e-11eb-a25d-ac1f6b442184</v>
      </c>
      <c r="AD1561" s="32">
        <v>16</v>
      </c>
      <c r="AE1561" s="3"/>
      <c r="AF1561" s="3" t="s">
        <v>136</v>
      </c>
      <c r="AG1561" s="3"/>
      <c r="AH1561" s="3" t="s">
        <v>56</v>
      </c>
      <c r="AI1561" s="3"/>
      <c r="AJ1561" s="3"/>
      <c r="AK1561" s="3" t="str">
        <f>HYPERLINK("https://knigipp.ru/api/getInfo/item/95362e93-1a9e-11eb-a25d-ac1f6b442184")</f>
        <v>https://knigipp.ru/api/getInfo/item/95362e93-1a9e-11eb-a25d-ac1f6b442184</v>
      </c>
      <c r="AL1561" s="3" t="s">
        <v>628</v>
      </c>
    </row>
    <row r="1562" spans="1:38" ht="21" customHeight="1" outlineLevel="5" x14ac:dyDescent="0.2">
      <c r="A1562" s="39">
        <v>1182</v>
      </c>
      <c r="B1562" s="3" t="s">
        <v>6590</v>
      </c>
      <c r="C1562" s="49" t="s">
        <v>6591</v>
      </c>
      <c r="D1562" s="49"/>
      <c r="E1562" s="49"/>
      <c r="F1562" s="49"/>
      <c r="G1562" s="4" t="s">
        <v>6592</v>
      </c>
      <c r="H1562" s="8"/>
      <c r="I1562" s="9" t="s">
        <v>6545</v>
      </c>
      <c r="J1562" s="10"/>
      <c r="K1562" s="11">
        <v>50</v>
      </c>
      <c r="L1562" s="10"/>
      <c r="M1562" s="10" t="s">
        <v>47</v>
      </c>
      <c r="N1562" s="10"/>
      <c r="O1562" s="2">
        <v>20</v>
      </c>
      <c r="P1562" s="17">
        <f>29.7*(1-S3/100)</f>
        <v>29.7</v>
      </c>
      <c r="Q1562" s="18"/>
      <c r="R1562" s="10">
        <f t="shared" si="64"/>
        <v>0</v>
      </c>
      <c r="S1562" s="28">
        <f t="shared" si="65"/>
        <v>0</v>
      </c>
      <c r="T1562" s="20">
        <f>0.00009*Q1562</f>
        <v>0</v>
      </c>
      <c r="U1562" s="21"/>
      <c r="V1562" s="22" t="s">
        <v>6593</v>
      </c>
      <c r="W1562" s="22" t="s">
        <v>49</v>
      </c>
      <c r="X1562" s="3"/>
      <c r="Y1562" s="3"/>
      <c r="Z1562" s="3" t="s">
        <v>52</v>
      </c>
      <c r="AA1562" s="3"/>
      <c r="AB1562" s="3"/>
      <c r="AC1562" s="3" t="str">
        <f>HYPERLINK("https://knigipp.ru/api/getInfo/image/efd738f7-b9b4-11ed-a230-00155d82e902")</f>
        <v>https://knigipp.ru/api/getInfo/image/efd738f7-b9b4-11ed-a230-00155d82e902</v>
      </c>
      <c r="AD1562" s="32">
        <v>16</v>
      </c>
      <c r="AE1562" s="3"/>
      <c r="AF1562" s="3" t="s">
        <v>136</v>
      </c>
      <c r="AG1562" s="3"/>
      <c r="AH1562" s="3" t="s">
        <v>56</v>
      </c>
      <c r="AI1562" s="3"/>
      <c r="AJ1562" s="3"/>
      <c r="AK1562" s="3" t="str">
        <f>HYPERLINK("https://knigipp.ru/api/getInfo/item/efd738f7-b9b4-11ed-a230-00155d82e902")</f>
        <v>https://knigipp.ru/api/getInfo/item/efd738f7-b9b4-11ed-a230-00155d82e902</v>
      </c>
      <c r="AL1562" s="3" t="s">
        <v>628</v>
      </c>
    </row>
    <row r="1563" spans="1:38" ht="21" customHeight="1" outlineLevel="5" x14ac:dyDescent="0.2">
      <c r="A1563" s="39">
        <v>1183</v>
      </c>
      <c r="B1563" s="3" t="s">
        <v>6594</v>
      </c>
      <c r="C1563" s="49" t="s">
        <v>6595</v>
      </c>
      <c r="D1563" s="49"/>
      <c r="E1563" s="49"/>
      <c r="F1563" s="49"/>
      <c r="G1563" s="4" t="s">
        <v>6596</v>
      </c>
      <c r="H1563" s="8"/>
      <c r="I1563" s="9" t="s">
        <v>6559</v>
      </c>
      <c r="J1563" s="10"/>
      <c r="K1563" s="11">
        <v>50</v>
      </c>
      <c r="L1563" s="10"/>
      <c r="M1563" s="10" t="s">
        <v>78</v>
      </c>
      <c r="N1563" s="10"/>
      <c r="O1563" s="2">
        <v>20</v>
      </c>
      <c r="P1563" s="17">
        <f>29.7*(1-S3/100)</f>
        <v>29.7</v>
      </c>
      <c r="Q1563" s="18"/>
      <c r="R1563" s="10">
        <f t="shared" si="64"/>
        <v>0</v>
      </c>
      <c r="S1563" s="28">
        <f t="shared" si="65"/>
        <v>0</v>
      </c>
      <c r="T1563" s="20">
        <f>0.00006*Q1563</f>
        <v>0</v>
      </c>
      <c r="U1563" s="21"/>
      <c r="V1563" s="22" t="s">
        <v>6597</v>
      </c>
      <c r="W1563" s="22" t="s">
        <v>49</v>
      </c>
      <c r="X1563" s="3"/>
      <c r="Y1563" s="3"/>
      <c r="Z1563" s="3" t="s">
        <v>52</v>
      </c>
      <c r="AA1563" s="3" t="s">
        <v>6391</v>
      </c>
      <c r="AB1563" s="3"/>
      <c r="AC1563" s="3" t="str">
        <f>HYPERLINK("https://knigipp.ru/api/getInfo/image/f9d73a24-2b7b-11e8-ba06-5cf3fc4a2490")</f>
        <v>https://knigipp.ru/api/getInfo/image/f9d73a24-2b7b-11e8-ba06-5cf3fc4a2490</v>
      </c>
      <c r="AD1563" s="32">
        <v>16</v>
      </c>
      <c r="AE1563" s="3"/>
      <c r="AF1563" s="3" t="s">
        <v>136</v>
      </c>
      <c r="AG1563" s="3"/>
      <c r="AH1563" s="3" t="s">
        <v>56</v>
      </c>
      <c r="AI1563" s="3"/>
      <c r="AJ1563" s="3" t="s">
        <v>6357</v>
      </c>
      <c r="AK1563" s="3" t="str">
        <f>HYPERLINK("https://knigipp.ru/api/getInfo/item/f9d73a24-2b7b-11e8-ba06-5cf3fc4a2490")</f>
        <v>https://knigipp.ru/api/getInfo/item/f9d73a24-2b7b-11e8-ba06-5cf3fc4a2490</v>
      </c>
      <c r="AL1563" s="3" t="s">
        <v>628</v>
      </c>
    </row>
    <row r="1564" spans="1:38" ht="21" customHeight="1" outlineLevel="5" x14ac:dyDescent="0.2">
      <c r="A1564" s="39">
        <v>1184</v>
      </c>
      <c r="B1564" s="3" t="s">
        <v>6598</v>
      </c>
      <c r="C1564" s="49" t="s">
        <v>6599</v>
      </c>
      <c r="D1564" s="49"/>
      <c r="E1564" s="49"/>
      <c r="F1564" s="49"/>
      <c r="G1564" s="4" t="s">
        <v>6600</v>
      </c>
      <c r="H1564" s="8"/>
      <c r="I1564" s="9" t="s">
        <v>6545</v>
      </c>
      <c r="J1564" s="10"/>
      <c r="K1564" s="11">
        <v>50</v>
      </c>
      <c r="L1564" s="10"/>
      <c r="M1564" s="10" t="s">
        <v>47</v>
      </c>
      <c r="N1564" s="10"/>
      <c r="O1564" s="2">
        <v>20</v>
      </c>
      <c r="P1564" s="17">
        <f>29.7*(1-S3/100)</f>
        <v>29.7</v>
      </c>
      <c r="Q1564" s="18"/>
      <c r="R1564" s="10">
        <f t="shared" si="64"/>
        <v>0</v>
      </c>
      <c r="S1564" s="28">
        <f t="shared" si="65"/>
        <v>0</v>
      </c>
      <c r="T1564" s="20">
        <f>0.00009*Q1564</f>
        <v>0</v>
      </c>
      <c r="U1564" s="21"/>
      <c r="V1564" s="22" t="s">
        <v>6601</v>
      </c>
      <c r="W1564" s="22" t="s">
        <v>49</v>
      </c>
      <c r="X1564" s="3"/>
      <c r="Y1564" s="3"/>
      <c r="Z1564" s="3" t="s">
        <v>52</v>
      </c>
      <c r="AA1564" s="3"/>
      <c r="AB1564" s="3"/>
      <c r="AC1564" s="3" t="str">
        <f>HYPERLINK("https://knigipp.ru/api/getInfo/image/c4c95fe4-b9b6-11ed-a230-00155d82e902")</f>
        <v>https://knigipp.ru/api/getInfo/image/c4c95fe4-b9b6-11ed-a230-00155d82e902</v>
      </c>
      <c r="AD1564" s="32">
        <v>16</v>
      </c>
      <c r="AE1564" s="3"/>
      <c r="AF1564" s="3" t="s">
        <v>136</v>
      </c>
      <c r="AG1564" s="3"/>
      <c r="AH1564" s="3" t="s">
        <v>56</v>
      </c>
      <c r="AI1564" s="3"/>
      <c r="AJ1564" s="3"/>
      <c r="AK1564" s="3" t="str">
        <f>HYPERLINK("https://knigipp.ru/api/getInfo/item/c4c95fe4-b9b6-11ed-a230-00155d82e902")</f>
        <v>https://knigipp.ru/api/getInfo/item/c4c95fe4-b9b6-11ed-a230-00155d82e902</v>
      </c>
      <c r="AL1564" s="3" t="s">
        <v>628</v>
      </c>
    </row>
    <row r="1565" spans="1:38" ht="21" customHeight="1" outlineLevel="5" x14ac:dyDescent="0.2">
      <c r="A1565" s="39">
        <v>1185</v>
      </c>
      <c r="B1565" s="3" t="s">
        <v>6602</v>
      </c>
      <c r="C1565" s="49" t="s">
        <v>6603</v>
      </c>
      <c r="D1565" s="49"/>
      <c r="E1565" s="49"/>
      <c r="F1565" s="49"/>
      <c r="G1565" s="4" t="s">
        <v>6604</v>
      </c>
      <c r="H1565" s="8"/>
      <c r="I1565" s="9" t="s">
        <v>6559</v>
      </c>
      <c r="J1565" s="10"/>
      <c r="K1565" s="11">
        <v>50</v>
      </c>
      <c r="L1565" s="10"/>
      <c r="M1565" s="10" t="s">
        <v>78</v>
      </c>
      <c r="N1565" s="10"/>
      <c r="O1565" s="2">
        <v>20</v>
      </c>
      <c r="P1565" s="17">
        <f>29.7*(1-S3/100)</f>
        <v>29.7</v>
      </c>
      <c r="Q1565" s="18"/>
      <c r="R1565" s="10">
        <f t="shared" si="64"/>
        <v>0</v>
      </c>
      <c r="S1565" s="28">
        <f t="shared" si="65"/>
        <v>0</v>
      </c>
      <c r="T1565" s="20">
        <f>0.00006*Q1565</f>
        <v>0</v>
      </c>
      <c r="U1565" s="21"/>
      <c r="V1565" s="22" t="s">
        <v>6605</v>
      </c>
      <c r="W1565" s="22" t="s">
        <v>49</v>
      </c>
      <c r="X1565" s="3"/>
      <c r="Y1565" s="3"/>
      <c r="Z1565" s="3" t="s">
        <v>52</v>
      </c>
      <c r="AA1565" s="3"/>
      <c r="AB1565" s="3"/>
      <c r="AC1565" s="3" t="str">
        <f>HYPERLINK("https://knigipp.ru/api/getInfo/image/ce50ffad-1a9e-11eb-a25d-ac1f6b442184")</f>
        <v>https://knigipp.ru/api/getInfo/image/ce50ffad-1a9e-11eb-a25d-ac1f6b442184</v>
      </c>
      <c r="AD1565" s="32">
        <v>16</v>
      </c>
      <c r="AE1565" s="3"/>
      <c r="AF1565" s="3" t="s">
        <v>136</v>
      </c>
      <c r="AG1565" s="3"/>
      <c r="AH1565" s="3" t="s">
        <v>56</v>
      </c>
      <c r="AI1565" s="3"/>
      <c r="AJ1565" s="3"/>
      <c r="AK1565" s="3" t="str">
        <f>HYPERLINK("https://knigipp.ru/api/getInfo/item/ce50ffad-1a9e-11eb-a25d-ac1f6b442184")</f>
        <v>https://knigipp.ru/api/getInfo/item/ce50ffad-1a9e-11eb-a25d-ac1f6b442184</v>
      </c>
      <c r="AL1565" s="3" t="s">
        <v>628</v>
      </c>
    </row>
    <row r="1566" spans="1:38" ht="23.1" customHeight="1" outlineLevel="4" x14ac:dyDescent="0.2">
      <c r="A1566" s="55" t="s">
        <v>6606</v>
      </c>
      <c r="B1566" s="55"/>
      <c r="C1566" s="55"/>
      <c r="D1566" s="55"/>
      <c r="E1566" s="55"/>
      <c r="F1566" s="55"/>
    </row>
    <row r="1567" spans="1:38" ht="21" customHeight="1" outlineLevel="5" x14ac:dyDescent="0.2">
      <c r="A1567" s="39">
        <v>1186</v>
      </c>
      <c r="B1567" s="3" t="s">
        <v>6607</v>
      </c>
      <c r="C1567" s="49" t="s">
        <v>6608</v>
      </c>
      <c r="D1567" s="49"/>
      <c r="E1567" s="49"/>
      <c r="F1567" s="49"/>
      <c r="G1567" s="4" t="s">
        <v>6609</v>
      </c>
      <c r="H1567" s="8"/>
      <c r="I1567" s="9" t="s">
        <v>6610</v>
      </c>
      <c r="J1567" s="10"/>
      <c r="K1567" s="11">
        <v>50</v>
      </c>
      <c r="L1567" s="10"/>
      <c r="M1567" s="10" t="s">
        <v>47</v>
      </c>
      <c r="N1567" s="10"/>
      <c r="O1567" s="2">
        <v>20</v>
      </c>
      <c r="P1567" s="17">
        <f>29.7*(1-S3/100)</f>
        <v>29.7</v>
      </c>
      <c r="Q1567" s="18"/>
      <c r="R1567" s="10">
        <f>P1567*Q1567</f>
        <v>0</v>
      </c>
      <c r="S1567" s="19">
        <f>0.036*Q1567</f>
        <v>0</v>
      </c>
      <c r="T1567" s="20">
        <f>0.00009*Q1567</f>
        <v>0</v>
      </c>
      <c r="U1567" s="21"/>
      <c r="V1567" s="22" t="s">
        <v>6611</v>
      </c>
      <c r="W1567" s="22" t="s">
        <v>49</v>
      </c>
      <c r="X1567" s="3"/>
      <c r="Y1567" s="3" t="s">
        <v>6612</v>
      </c>
      <c r="Z1567" s="3" t="s">
        <v>52</v>
      </c>
      <c r="AA1567" s="3"/>
      <c r="AB1567" s="3"/>
      <c r="AC1567" s="3" t="str">
        <f>HYPERLINK("https://knigipp.ru/api/getInfo/image/ede60771-e8e3-11ed-a233-00155d82e902")</f>
        <v>https://knigipp.ru/api/getInfo/image/ede60771-e8e3-11ed-a233-00155d82e902</v>
      </c>
      <c r="AD1567" s="32">
        <v>12</v>
      </c>
      <c r="AE1567" s="3"/>
      <c r="AF1567" s="3" t="s">
        <v>136</v>
      </c>
      <c r="AG1567" s="3"/>
      <c r="AH1567" s="3" t="s">
        <v>56</v>
      </c>
      <c r="AI1567" s="3"/>
      <c r="AJ1567" s="3"/>
      <c r="AK1567" s="3" t="str">
        <f>HYPERLINK("https://knigipp.ru/api/getInfo/item/ede60771-e8e3-11ed-a233-00155d82e902")</f>
        <v>https://knigipp.ru/api/getInfo/item/ede60771-e8e3-11ed-a233-00155d82e902</v>
      </c>
      <c r="AL1567" s="3" t="s">
        <v>6613</v>
      </c>
    </row>
    <row r="1568" spans="1:38" ht="21" customHeight="1" outlineLevel="5" x14ac:dyDescent="0.2">
      <c r="A1568" s="39">
        <v>1187</v>
      </c>
      <c r="B1568" s="3" t="s">
        <v>6614</v>
      </c>
      <c r="C1568" s="49" t="s">
        <v>6615</v>
      </c>
      <c r="D1568" s="49"/>
      <c r="E1568" s="49"/>
      <c r="F1568" s="49"/>
      <c r="G1568" s="4" t="s">
        <v>6616</v>
      </c>
      <c r="H1568" s="8"/>
      <c r="I1568" s="9" t="s">
        <v>6610</v>
      </c>
      <c r="J1568" s="10"/>
      <c r="K1568" s="11">
        <v>50</v>
      </c>
      <c r="L1568" s="10"/>
      <c r="M1568" s="10" t="s">
        <v>47</v>
      </c>
      <c r="N1568" s="10"/>
      <c r="O1568" s="2">
        <v>20</v>
      </c>
      <c r="P1568" s="17">
        <f>29.7*(1-S3/100)</f>
        <v>29.7</v>
      </c>
      <c r="Q1568" s="18"/>
      <c r="R1568" s="10">
        <f>P1568*Q1568</f>
        <v>0</v>
      </c>
      <c r="S1568" s="19">
        <f>0.036*Q1568</f>
        <v>0</v>
      </c>
      <c r="T1568" s="20">
        <f>0.00009*Q1568</f>
        <v>0</v>
      </c>
      <c r="U1568" s="21"/>
      <c r="V1568" s="22" t="s">
        <v>6617</v>
      </c>
      <c r="W1568" s="22" t="s">
        <v>49</v>
      </c>
      <c r="X1568" s="3"/>
      <c r="Y1568" s="3" t="s">
        <v>6618</v>
      </c>
      <c r="Z1568" s="3" t="s">
        <v>52</v>
      </c>
      <c r="AA1568" s="3"/>
      <c r="AB1568" s="3"/>
      <c r="AC1568" s="3" t="str">
        <f>HYPERLINK("https://knigipp.ru/api/getInfo/image/cbb43888-e8e4-11ed-a233-00155d82e902")</f>
        <v>https://knigipp.ru/api/getInfo/image/cbb43888-e8e4-11ed-a233-00155d82e902</v>
      </c>
      <c r="AD1568" s="32">
        <v>12</v>
      </c>
      <c r="AE1568" s="3"/>
      <c r="AF1568" s="3" t="s">
        <v>136</v>
      </c>
      <c r="AG1568" s="3"/>
      <c r="AH1568" s="3" t="s">
        <v>56</v>
      </c>
      <c r="AI1568" s="3"/>
      <c r="AJ1568" s="3"/>
      <c r="AK1568" s="3" t="str">
        <f>HYPERLINK("https://knigipp.ru/api/getInfo/item/cbb43888-e8e4-11ed-a233-00155d82e902")</f>
        <v>https://knigipp.ru/api/getInfo/item/cbb43888-e8e4-11ed-a233-00155d82e902</v>
      </c>
      <c r="AL1568" s="3" t="s">
        <v>6613</v>
      </c>
    </row>
    <row r="1569" spans="1:38" ht="21" customHeight="1" outlineLevel="5" x14ac:dyDescent="0.2">
      <c r="A1569" s="39">
        <v>1188</v>
      </c>
      <c r="B1569" s="3" t="s">
        <v>6619</v>
      </c>
      <c r="C1569" s="49" t="s">
        <v>6620</v>
      </c>
      <c r="D1569" s="49"/>
      <c r="E1569" s="49"/>
      <c r="F1569" s="49"/>
      <c r="G1569" s="4" t="s">
        <v>6621</v>
      </c>
      <c r="H1569" s="8"/>
      <c r="I1569" s="9" t="s">
        <v>6610</v>
      </c>
      <c r="J1569" s="10"/>
      <c r="K1569" s="11">
        <v>50</v>
      </c>
      <c r="L1569" s="10"/>
      <c r="M1569" s="10" t="s">
        <v>47</v>
      </c>
      <c r="N1569" s="10"/>
      <c r="O1569" s="2">
        <v>20</v>
      </c>
      <c r="P1569" s="17">
        <f>29.7*(1-S3/100)</f>
        <v>29.7</v>
      </c>
      <c r="Q1569" s="18"/>
      <c r="R1569" s="10">
        <f>P1569*Q1569</f>
        <v>0</v>
      </c>
      <c r="S1569" s="19">
        <f>0.036*Q1569</f>
        <v>0</v>
      </c>
      <c r="T1569" s="20">
        <f>0.00009*Q1569</f>
        <v>0</v>
      </c>
      <c r="U1569" s="21"/>
      <c r="V1569" s="22" t="s">
        <v>6622</v>
      </c>
      <c r="W1569" s="22" t="s">
        <v>49</v>
      </c>
      <c r="X1569" s="3"/>
      <c r="Y1569" s="3"/>
      <c r="Z1569" s="3" t="s">
        <v>52</v>
      </c>
      <c r="AA1569" s="3"/>
      <c r="AB1569" s="3"/>
      <c r="AC1569" s="3" t="str">
        <f>HYPERLINK("https://knigipp.ru/api/getInfo/image/845c1696-e8e3-11ed-a233-00155d82e902")</f>
        <v>https://knigipp.ru/api/getInfo/image/845c1696-e8e3-11ed-a233-00155d82e902</v>
      </c>
      <c r="AD1569" s="32">
        <v>12</v>
      </c>
      <c r="AE1569" s="3"/>
      <c r="AF1569" s="3" t="s">
        <v>136</v>
      </c>
      <c r="AG1569" s="3"/>
      <c r="AH1569" s="3" t="s">
        <v>56</v>
      </c>
      <c r="AI1569" s="3"/>
      <c r="AJ1569" s="3"/>
      <c r="AK1569" s="3" t="str">
        <f>HYPERLINK("https://knigipp.ru/api/getInfo/item/845c1696-e8e3-11ed-a233-00155d82e902")</f>
        <v>https://knigipp.ru/api/getInfo/item/845c1696-e8e3-11ed-a233-00155d82e902</v>
      </c>
      <c r="AL1569" s="3" t="s">
        <v>6613</v>
      </c>
    </row>
    <row r="1570" spans="1:38" ht="23.1" customHeight="1" outlineLevel="4" x14ac:dyDescent="0.2">
      <c r="A1570" s="55" t="s">
        <v>6623</v>
      </c>
      <c r="B1570" s="55"/>
      <c r="C1570" s="55"/>
      <c r="D1570" s="55"/>
      <c r="E1570" s="55"/>
      <c r="F1570" s="55"/>
    </row>
    <row r="1571" spans="1:38" ht="21" customHeight="1" outlineLevel="5" x14ac:dyDescent="0.2">
      <c r="A1571" s="39">
        <v>1189</v>
      </c>
      <c r="B1571" s="3" t="s">
        <v>6624</v>
      </c>
      <c r="C1571" s="49" t="s">
        <v>6625</v>
      </c>
      <c r="D1571" s="49"/>
      <c r="E1571" s="49"/>
      <c r="F1571" s="49"/>
      <c r="G1571" s="4" t="s">
        <v>6626</v>
      </c>
      <c r="H1571" s="8"/>
      <c r="I1571" s="9" t="s">
        <v>6627</v>
      </c>
      <c r="J1571" s="10"/>
      <c r="K1571" s="11">
        <v>50</v>
      </c>
      <c r="L1571" s="10"/>
      <c r="M1571" s="10" t="s">
        <v>47</v>
      </c>
      <c r="N1571" s="10"/>
      <c r="O1571" s="2">
        <v>20</v>
      </c>
      <c r="P1571" s="17">
        <f>29.7*(1-S3/100)</f>
        <v>29.7</v>
      </c>
      <c r="Q1571" s="18"/>
      <c r="R1571" s="10">
        <f>P1571*Q1571</f>
        <v>0</v>
      </c>
      <c r="S1571" s="10">
        <v>0</v>
      </c>
      <c r="T1571" s="10">
        <v>0</v>
      </c>
      <c r="U1571" s="21"/>
      <c r="V1571" s="22" t="s">
        <v>6628</v>
      </c>
      <c r="W1571" s="22" t="s">
        <v>49</v>
      </c>
      <c r="X1571" s="3"/>
      <c r="Y1571" s="3"/>
      <c r="Z1571" s="3" t="s">
        <v>52</v>
      </c>
      <c r="AA1571" s="3"/>
      <c r="AB1571" s="3"/>
      <c r="AC1571" s="3" t="str">
        <f>HYPERLINK("https://knigipp.ru/api/getInfo/image/2e0d3461-e04a-11ed-a233-00155d82e902")</f>
        <v>https://knigipp.ru/api/getInfo/image/2e0d3461-e04a-11ed-a233-00155d82e902</v>
      </c>
      <c r="AD1571" s="32">
        <v>16</v>
      </c>
      <c r="AE1571" s="3"/>
      <c r="AF1571" s="3" t="s">
        <v>136</v>
      </c>
      <c r="AG1571" s="3"/>
      <c r="AH1571" s="3" t="s">
        <v>56</v>
      </c>
      <c r="AI1571" s="3"/>
      <c r="AJ1571" s="3"/>
      <c r="AK1571" s="3" t="str">
        <f>HYPERLINK("https://knigipp.ru/api/getInfo/item/2e0d3461-e04a-11ed-a233-00155d82e902")</f>
        <v>https://knigipp.ru/api/getInfo/item/2e0d3461-e04a-11ed-a233-00155d82e902</v>
      </c>
      <c r="AL1571" s="3" t="s">
        <v>6629</v>
      </c>
    </row>
    <row r="1572" spans="1:38" ht="21" customHeight="1" outlineLevel="5" x14ac:dyDescent="0.2">
      <c r="A1572" s="39">
        <v>1190</v>
      </c>
      <c r="B1572" s="3" t="s">
        <v>6630</v>
      </c>
      <c r="C1572" s="49" t="s">
        <v>6631</v>
      </c>
      <c r="D1572" s="49"/>
      <c r="E1572" s="49"/>
      <c r="F1572" s="49"/>
      <c r="G1572" s="4" t="s">
        <v>6632</v>
      </c>
      <c r="H1572" s="8"/>
      <c r="I1572" s="9" t="s">
        <v>6627</v>
      </c>
      <c r="J1572" s="10"/>
      <c r="K1572" s="11">
        <v>50</v>
      </c>
      <c r="L1572" s="10"/>
      <c r="M1572" s="10" t="s">
        <v>304</v>
      </c>
      <c r="N1572" s="10"/>
      <c r="O1572" s="2">
        <v>20</v>
      </c>
      <c r="P1572" s="17">
        <f>29.7*(1-S3/100)</f>
        <v>29.7</v>
      </c>
      <c r="Q1572" s="18"/>
      <c r="R1572" s="10">
        <f>P1572*Q1572</f>
        <v>0</v>
      </c>
      <c r="S1572" s="10">
        <v>0</v>
      </c>
      <c r="T1572" s="10">
        <v>0</v>
      </c>
      <c r="U1572" s="21"/>
      <c r="V1572" s="22" t="s">
        <v>6633</v>
      </c>
      <c r="W1572" s="22" t="s">
        <v>49</v>
      </c>
      <c r="X1572" s="3"/>
      <c r="Y1572" s="3"/>
      <c r="Z1572" s="3" t="s">
        <v>52</v>
      </c>
      <c r="AA1572" s="3"/>
      <c r="AB1572" s="3"/>
      <c r="AC1572" s="3" t="str">
        <f>HYPERLINK("https://knigipp.ru/api/getInfo/image/566a5599-e04a-11ed-a233-00155d82e902")</f>
        <v>https://knigipp.ru/api/getInfo/image/566a5599-e04a-11ed-a233-00155d82e902</v>
      </c>
      <c r="AD1572" s="32">
        <v>16</v>
      </c>
      <c r="AE1572" s="3"/>
      <c r="AF1572" s="3" t="s">
        <v>136</v>
      </c>
      <c r="AG1572" s="3"/>
      <c r="AH1572" s="3" t="s">
        <v>56</v>
      </c>
      <c r="AI1572" s="3"/>
      <c r="AJ1572" s="3"/>
      <c r="AK1572" s="3" t="str">
        <f>HYPERLINK("https://knigipp.ru/api/getInfo/item/566a5599-e04a-11ed-a233-00155d82e902")</f>
        <v>https://knigipp.ru/api/getInfo/item/566a5599-e04a-11ed-a233-00155d82e902</v>
      </c>
      <c r="AL1572" s="3" t="s">
        <v>6629</v>
      </c>
    </row>
    <row r="1573" spans="1:38" ht="23.1" customHeight="1" outlineLevel="4" x14ac:dyDescent="0.2">
      <c r="A1573" s="55" t="s">
        <v>6634</v>
      </c>
      <c r="B1573" s="55"/>
      <c r="C1573" s="55"/>
      <c r="D1573" s="55"/>
      <c r="E1573" s="55"/>
      <c r="F1573" s="55"/>
    </row>
    <row r="1574" spans="1:38" ht="21" customHeight="1" outlineLevel="5" x14ac:dyDescent="0.2">
      <c r="A1574" s="39">
        <v>1191</v>
      </c>
      <c r="B1574" s="3" t="s">
        <v>6635</v>
      </c>
      <c r="C1574" s="49" t="s">
        <v>6636</v>
      </c>
      <c r="D1574" s="49"/>
      <c r="E1574" s="49"/>
      <c r="F1574" s="49"/>
      <c r="G1574" s="4" t="s">
        <v>6637</v>
      </c>
      <c r="H1574" s="8"/>
      <c r="I1574" s="9" t="s">
        <v>6638</v>
      </c>
      <c r="J1574" s="10"/>
      <c r="K1574" s="11">
        <v>50</v>
      </c>
      <c r="L1574" s="10"/>
      <c r="M1574" s="10" t="s">
        <v>47</v>
      </c>
      <c r="N1574" s="10"/>
      <c r="O1574" s="2">
        <v>20</v>
      </c>
      <c r="P1574" s="17">
        <f>31.7*(1-S3/100)</f>
        <v>31.7</v>
      </c>
      <c r="Q1574" s="18"/>
      <c r="R1574" s="10">
        <f>P1574*Q1574</f>
        <v>0</v>
      </c>
      <c r="S1574" s="19">
        <f>0.035*Q1574</f>
        <v>0</v>
      </c>
      <c r="T1574" s="20">
        <f>0.00013*Q1574</f>
        <v>0</v>
      </c>
      <c r="U1574" s="21"/>
      <c r="V1574" s="22" t="s">
        <v>6639</v>
      </c>
      <c r="W1574" s="22" t="s">
        <v>49</v>
      </c>
      <c r="X1574" s="3"/>
      <c r="Y1574" s="3"/>
      <c r="Z1574" s="3" t="s">
        <v>52</v>
      </c>
      <c r="AA1574" s="3"/>
      <c r="AB1574" s="3"/>
      <c r="AC1574" s="3" t="str">
        <f>HYPERLINK("https://knigipp.ru/api/getInfo/image/98ee1215-7315-11ee-a248-00155d82e902")</f>
        <v>https://knigipp.ru/api/getInfo/image/98ee1215-7315-11ee-a248-00155d82e902</v>
      </c>
      <c r="AD1574" s="32">
        <v>8</v>
      </c>
      <c r="AE1574" s="3"/>
      <c r="AF1574" s="3" t="s">
        <v>136</v>
      </c>
      <c r="AG1574" s="3"/>
      <c r="AH1574" s="3" t="s">
        <v>56</v>
      </c>
      <c r="AI1574" s="3"/>
      <c r="AJ1574" s="3"/>
      <c r="AK1574" s="3" t="str">
        <f>HYPERLINK("https://knigipp.ru/api/getInfo/item/98ee1215-7315-11ee-a248-00155d82e902")</f>
        <v>https://knigipp.ru/api/getInfo/item/98ee1215-7315-11ee-a248-00155d82e902</v>
      </c>
      <c r="AL1574" s="3" t="s">
        <v>6640</v>
      </c>
    </row>
    <row r="1575" spans="1:38" ht="21" customHeight="1" outlineLevel="5" x14ac:dyDescent="0.2">
      <c r="A1575" s="39">
        <v>1192</v>
      </c>
      <c r="B1575" s="3" t="s">
        <v>6641</v>
      </c>
      <c r="C1575" s="49" t="s">
        <v>6642</v>
      </c>
      <c r="D1575" s="49"/>
      <c r="E1575" s="49"/>
      <c r="F1575" s="49"/>
      <c r="G1575" s="4" t="s">
        <v>6643</v>
      </c>
      <c r="H1575" s="8"/>
      <c r="I1575" s="9" t="s">
        <v>6638</v>
      </c>
      <c r="J1575" s="10"/>
      <c r="K1575" s="11">
        <v>50</v>
      </c>
      <c r="L1575" s="10"/>
      <c r="M1575" s="10" t="s">
        <v>47</v>
      </c>
      <c r="N1575" s="10"/>
      <c r="O1575" s="2">
        <v>20</v>
      </c>
      <c r="P1575" s="17">
        <f>31.7*(1-S3/100)</f>
        <v>31.7</v>
      </c>
      <c r="Q1575" s="18"/>
      <c r="R1575" s="10">
        <f>P1575*Q1575</f>
        <v>0</v>
      </c>
      <c r="S1575" s="19">
        <f>0.038*Q1575</f>
        <v>0</v>
      </c>
      <c r="T1575" s="20">
        <f>0.00013*Q1575</f>
        <v>0</v>
      </c>
      <c r="U1575" s="21"/>
      <c r="V1575" s="22" t="s">
        <v>6644</v>
      </c>
      <c r="W1575" s="22" t="s">
        <v>49</v>
      </c>
      <c r="X1575" s="3"/>
      <c r="Y1575" s="3"/>
      <c r="Z1575" s="3" t="s">
        <v>52</v>
      </c>
      <c r="AA1575" s="3"/>
      <c r="AB1575" s="3"/>
      <c r="AC1575" s="3" t="str">
        <f>HYPERLINK("https://knigipp.ru/api/getInfo/image/bf64d1c6-7315-11ee-a248-00155d82e902")</f>
        <v>https://knigipp.ru/api/getInfo/image/bf64d1c6-7315-11ee-a248-00155d82e902</v>
      </c>
      <c r="AD1575" s="32">
        <v>8</v>
      </c>
      <c r="AE1575" s="3"/>
      <c r="AF1575" s="3" t="s">
        <v>136</v>
      </c>
      <c r="AG1575" s="3"/>
      <c r="AH1575" s="3" t="s">
        <v>56</v>
      </c>
      <c r="AI1575" s="3"/>
      <c r="AJ1575" s="3"/>
      <c r="AK1575" s="3" t="str">
        <f>HYPERLINK("https://knigipp.ru/api/getInfo/item/bf64d1c6-7315-11ee-a248-00155d82e902")</f>
        <v>https://knigipp.ru/api/getInfo/item/bf64d1c6-7315-11ee-a248-00155d82e902</v>
      </c>
      <c r="AL1575" s="3" t="s">
        <v>6640</v>
      </c>
    </row>
    <row r="1576" spans="1:38" ht="21" customHeight="1" outlineLevel="5" x14ac:dyDescent="0.2">
      <c r="A1576" s="39">
        <v>1193</v>
      </c>
      <c r="B1576" s="3" t="s">
        <v>6645</v>
      </c>
      <c r="C1576" s="49" t="s">
        <v>6646</v>
      </c>
      <c r="D1576" s="49"/>
      <c r="E1576" s="49"/>
      <c r="F1576" s="49"/>
      <c r="G1576" s="4" t="s">
        <v>6647</v>
      </c>
      <c r="H1576" s="8"/>
      <c r="I1576" s="9" t="s">
        <v>6638</v>
      </c>
      <c r="J1576" s="10"/>
      <c r="K1576" s="11">
        <v>50</v>
      </c>
      <c r="L1576" s="10"/>
      <c r="M1576" s="10" t="s">
        <v>47</v>
      </c>
      <c r="N1576" s="10"/>
      <c r="O1576" s="2">
        <v>20</v>
      </c>
      <c r="P1576" s="17">
        <f>31.7*(1-S3/100)</f>
        <v>31.7</v>
      </c>
      <c r="Q1576" s="18"/>
      <c r="R1576" s="10">
        <f>P1576*Q1576</f>
        <v>0</v>
      </c>
      <c r="S1576" s="19">
        <f>0.038*Q1576</f>
        <v>0</v>
      </c>
      <c r="T1576" s="20">
        <f>0.00013*Q1576</f>
        <v>0</v>
      </c>
      <c r="U1576" s="21"/>
      <c r="V1576" s="22" t="s">
        <v>6648</v>
      </c>
      <c r="W1576" s="22" t="s">
        <v>49</v>
      </c>
      <c r="X1576" s="3"/>
      <c r="Y1576" s="3"/>
      <c r="Z1576" s="3" t="s">
        <v>52</v>
      </c>
      <c r="AA1576" s="3"/>
      <c r="AB1576" s="3"/>
      <c r="AC1576" s="3" t="str">
        <f>HYPERLINK("https://knigipp.ru/api/getInfo/image/81226f5d-7315-11ee-a248-00155d82e902")</f>
        <v>https://knigipp.ru/api/getInfo/image/81226f5d-7315-11ee-a248-00155d82e902</v>
      </c>
      <c r="AD1576" s="32">
        <v>8</v>
      </c>
      <c r="AE1576" s="3"/>
      <c r="AF1576" s="3" t="s">
        <v>136</v>
      </c>
      <c r="AG1576" s="3"/>
      <c r="AH1576" s="3" t="s">
        <v>56</v>
      </c>
      <c r="AI1576" s="3"/>
      <c r="AJ1576" s="3"/>
      <c r="AK1576" s="3" t="str">
        <f>HYPERLINK("https://knigipp.ru/api/getInfo/item/81226f5d-7315-11ee-a248-00155d82e902")</f>
        <v>https://knigipp.ru/api/getInfo/item/81226f5d-7315-11ee-a248-00155d82e902</v>
      </c>
      <c r="AL1576" s="3" t="s">
        <v>6640</v>
      </c>
    </row>
    <row r="1577" spans="1:38" ht="21" customHeight="1" outlineLevel="5" x14ac:dyDescent="0.2">
      <c r="A1577" s="39">
        <v>1194</v>
      </c>
      <c r="B1577" s="3" t="s">
        <v>6649</v>
      </c>
      <c r="C1577" s="49" t="s">
        <v>6650</v>
      </c>
      <c r="D1577" s="49"/>
      <c r="E1577" s="49"/>
      <c r="F1577" s="49"/>
      <c r="G1577" s="4" t="s">
        <v>6651</v>
      </c>
      <c r="H1577" s="8"/>
      <c r="I1577" s="9" t="s">
        <v>6638</v>
      </c>
      <c r="J1577" s="10"/>
      <c r="K1577" s="11">
        <v>50</v>
      </c>
      <c r="L1577" s="10"/>
      <c r="M1577" s="10" t="s">
        <v>47</v>
      </c>
      <c r="N1577" s="10"/>
      <c r="O1577" s="2">
        <v>20</v>
      </c>
      <c r="P1577" s="17">
        <f>31.7*(1-S3/100)</f>
        <v>31.7</v>
      </c>
      <c r="Q1577" s="18"/>
      <c r="R1577" s="10">
        <f>P1577*Q1577</f>
        <v>0</v>
      </c>
      <c r="S1577" s="19">
        <f>0.038*Q1577</f>
        <v>0</v>
      </c>
      <c r="T1577" s="20">
        <f>0.00013*Q1577</f>
        <v>0</v>
      </c>
      <c r="U1577" s="21"/>
      <c r="V1577" s="22" t="s">
        <v>6652</v>
      </c>
      <c r="W1577" s="22" t="s">
        <v>49</v>
      </c>
      <c r="X1577" s="3"/>
      <c r="Y1577" s="3"/>
      <c r="Z1577" s="3" t="s">
        <v>52</v>
      </c>
      <c r="AA1577" s="3"/>
      <c r="AB1577" s="3"/>
      <c r="AC1577" s="3" t="str">
        <f>HYPERLINK("https://knigipp.ru/api/getInfo/image/de7b485f-7315-11ee-a248-00155d82e902")</f>
        <v>https://knigipp.ru/api/getInfo/image/de7b485f-7315-11ee-a248-00155d82e902</v>
      </c>
      <c r="AD1577" s="32">
        <v>8</v>
      </c>
      <c r="AE1577" s="3"/>
      <c r="AF1577" s="3" t="s">
        <v>136</v>
      </c>
      <c r="AG1577" s="3"/>
      <c r="AH1577" s="3" t="s">
        <v>56</v>
      </c>
      <c r="AI1577" s="3"/>
      <c r="AJ1577" s="3"/>
      <c r="AK1577" s="3" t="str">
        <f>HYPERLINK("https://knigipp.ru/api/getInfo/item/de7b485f-7315-11ee-a248-00155d82e902")</f>
        <v>https://knigipp.ru/api/getInfo/item/de7b485f-7315-11ee-a248-00155d82e902</v>
      </c>
      <c r="AL1577" s="3" t="s">
        <v>6640</v>
      </c>
    </row>
    <row r="1578" spans="1:38" ht="23.1" customHeight="1" outlineLevel="3" x14ac:dyDescent="0.2">
      <c r="A1578" s="48" t="s">
        <v>6653</v>
      </c>
      <c r="B1578" s="48"/>
      <c r="C1578" s="48"/>
      <c r="D1578" s="48"/>
      <c r="E1578" s="48"/>
      <c r="F1578" s="48"/>
    </row>
    <row r="1579" spans="1:38" ht="23.1" customHeight="1" outlineLevel="4" x14ac:dyDescent="0.2">
      <c r="A1579" s="55" t="s">
        <v>6654</v>
      </c>
      <c r="B1579" s="55"/>
      <c r="C1579" s="55"/>
      <c r="D1579" s="55"/>
      <c r="E1579" s="55"/>
      <c r="F1579" s="55"/>
    </row>
    <row r="1580" spans="1:38" ht="21" customHeight="1" outlineLevel="5" x14ac:dyDescent="0.2">
      <c r="A1580" s="39">
        <v>1195</v>
      </c>
      <c r="B1580" s="3" t="s">
        <v>6655</v>
      </c>
      <c r="C1580" s="49" t="s">
        <v>6656</v>
      </c>
      <c r="D1580" s="49"/>
      <c r="E1580" s="49"/>
      <c r="F1580" s="49"/>
      <c r="G1580" s="4" t="s">
        <v>6657</v>
      </c>
      <c r="H1580" s="8"/>
      <c r="I1580" s="9" t="s">
        <v>6658</v>
      </c>
      <c r="J1580" s="10"/>
      <c r="K1580" s="11">
        <v>10</v>
      </c>
      <c r="L1580" s="10"/>
      <c r="M1580" s="10" t="s">
        <v>304</v>
      </c>
      <c r="N1580" s="10"/>
      <c r="O1580" s="2">
        <v>2</v>
      </c>
      <c r="P1580" s="17">
        <f>484.35*(1-S3/100)</f>
        <v>484.35</v>
      </c>
      <c r="Q1580" s="18"/>
      <c r="R1580" s="10">
        <f>P1580*Q1580</f>
        <v>0</v>
      </c>
      <c r="S1580" s="10">
        <v>0</v>
      </c>
      <c r="T1580" s="10">
        <v>0</v>
      </c>
      <c r="U1580" s="21"/>
      <c r="V1580" s="22" t="s">
        <v>6659</v>
      </c>
      <c r="W1580" s="22" t="s">
        <v>49</v>
      </c>
      <c r="X1580" s="3"/>
      <c r="Y1580" s="3"/>
      <c r="Z1580" s="3" t="s">
        <v>52</v>
      </c>
      <c r="AA1580" s="3"/>
      <c r="AB1580" s="3"/>
      <c r="AC1580" s="3" t="str">
        <f>HYPERLINK("https://knigipp.ru/api/getInfo/image/03f47dc3-9960-11ec-a211-ac1f6b442185")</f>
        <v>https://knigipp.ru/api/getInfo/image/03f47dc3-9960-11ec-a211-ac1f6b442185</v>
      </c>
      <c r="AD1580" s="32">
        <v>96</v>
      </c>
      <c r="AE1580" s="3"/>
      <c r="AF1580" s="3" t="s">
        <v>55</v>
      </c>
      <c r="AG1580" s="3"/>
      <c r="AH1580" s="3" t="s">
        <v>56</v>
      </c>
      <c r="AI1580" s="3"/>
      <c r="AJ1580" s="3"/>
      <c r="AK1580" s="3" t="str">
        <f>HYPERLINK("https://knigipp.ru/api/getInfo/item/03f47dc3-9960-11ec-a211-ac1f6b442185")</f>
        <v>https://knigipp.ru/api/getInfo/item/03f47dc3-9960-11ec-a211-ac1f6b442185</v>
      </c>
      <c r="AL1580" s="3" t="s">
        <v>6660</v>
      </c>
    </row>
    <row r="1581" spans="1:38" ht="23.1" customHeight="1" outlineLevel="4" x14ac:dyDescent="0.2">
      <c r="A1581" s="55" t="s">
        <v>6661</v>
      </c>
      <c r="B1581" s="55"/>
      <c r="C1581" s="55"/>
      <c r="D1581" s="55"/>
      <c r="E1581" s="55"/>
      <c r="F1581" s="55"/>
    </row>
    <row r="1582" spans="1:38" ht="21" customHeight="1" outlineLevel="5" x14ac:dyDescent="0.2">
      <c r="A1582" s="39">
        <v>1196</v>
      </c>
      <c r="B1582" s="3" t="s">
        <v>6662</v>
      </c>
      <c r="C1582" s="49" t="s">
        <v>6663</v>
      </c>
      <c r="D1582" s="49"/>
      <c r="E1582" s="49"/>
      <c r="F1582" s="49"/>
      <c r="G1582" s="4" t="s">
        <v>6664</v>
      </c>
      <c r="H1582" s="8"/>
      <c r="I1582" s="9" t="s">
        <v>6665</v>
      </c>
      <c r="J1582" s="10"/>
      <c r="K1582" s="11">
        <v>20</v>
      </c>
      <c r="L1582" s="10"/>
      <c r="M1582" s="10" t="s">
        <v>304</v>
      </c>
      <c r="N1582" s="10"/>
      <c r="O1582" s="2">
        <v>4</v>
      </c>
      <c r="P1582" s="17">
        <f>159*(1-S3/100)</f>
        <v>159</v>
      </c>
      <c r="Q1582" s="18"/>
      <c r="R1582" s="10">
        <f>P1582*Q1582</f>
        <v>0</v>
      </c>
      <c r="S1582" s="19">
        <f>0.201*Q1582</f>
        <v>0</v>
      </c>
      <c r="T1582" s="20">
        <f>0.00029*Q1582</f>
        <v>0</v>
      </c>
      <c r="U1582" s="21"/>
      <c r="V1582" s="22" t="s">
        <v>6666</v>
      </c>
      <c r="W1582" s="22" t="s">
        <v>49</v>
      </c>
      <c r="X1582" s="3"/>
      <c r="Y1582" s="3"/>
      <c r="Z1582" s="3" t="s">
        <v>52</v>
      </c>
      <c r="AA1582" s="3"/>
      <c r="AB1582" s="3"/>
      <c r="AC1582" s="3" t="str">
        <f>HYPERLINK("https://knigipp.ru/api/getInfo/image/3a92bbb4-534d-11ec-a20f-ac1f6b442185")</f>
        <v>https://knigipp.ru/api/getInfo/image/3a92bbb4-534d-11ec-a20f-ac1f6b442185</v>
      </c>
      <c r="AD1582" s="32">
        <v>64</v>
      </c>
      <c r="AE1582" s="3"/>
      <c r="AF1582" s="3" t="s">
        <v>55</v>
      </c>
      <c r="AG1582" s="3"/>
      <c r="AH1582" s="3" t="s">
        <v>56</v>
      </c>
      <c r="AI1582" s="3"/>
      <c r="AJ1582" s="3"/>
      <c r="AK1582" s="3" t="str">
        <f>HYPERLINK("https://knigipp.ru/api/getInfo/item/3a92bbb4-534d-11ec-a20f-ac1f6b442185")</f>
        <v>https://knigipp.ru/api/getInfo/item/3a92bbb4-534d-11ec-a20f-ac1f6b442185</v>
      </c>
      <c r="AL1582" s="3" t="s">
        <v>5718</v>
      </c>
    </row>
    <row r="1583" spans="1:38" ht="23.1" customHeight="1" outlineLevel="4" x14ac:dyDescent="0.2">
      <c r="A1583" s="55" t="s">
        <v>6667</v>
      </c>
      <c r="B1583" s="55"/>
      <c r="C1583" s="55"/>
      <c r="D1583" s="55"/>
      <c r="E1583" s="55"/>
      <c r="F1583" s="55"/>
    </row>
    <row r="1584" spans="1:38" ht="21" customHeight="1" outlineLevel="5" x14ac:dyDescent="0.2">
      <c r="A1584" s="39">
        <v>1197</v>
      </c>
      <c r="B1584" s="3" t="s">
        <v>6668</v>
      </c>
      <c r="C1584" s="49" t="s">
        <v>6669</v>
      </c>
      <c r="D1584" s="49"/>
      <c r="E1584" s="49"/>
      <c r="F1584" s="49"/>
      <c r="G1584" s="4" t="s">
        <v>6670</v>
      </c>
      <c r="H1584" s="8"/>
      <c r="I1584" s="9" t="s">
        <v>6671</v>
      </c>
      <c r="J1584" s="10"/>
      <c r="K1584" s="11">
        <v>25</v>
      </c>
      <c r="L1584" s="10"/>
      <c r="M1584" s="10" t="s">
        <v>47</v>
      </c>
      <c r="N1584" s="10"/>
      <c r="O1584" s="2">
        <v>4</v>
      </c>
      <c r="P1584" s="17">
        <f>177*(1-S3/100)</f>
        <v>177</v>
      </c>
      <c r="Q1584" s="18"/>
      <c r="R1584" s="10">
        <f t="shared" ref="R1584:R1593" si="66">P1584*Q1584</f>
        <v>0</v>
      </c>
      <c r="S1584" s="19">
        <f>0.208*Q1584</f>
        <v>0</v>
      </c>
      <c r="T1584" s="20">
        <f>0.00036*Q1584</f>
        <v>0</v>
      </c>
      <c r="U1584" s="21"/>
      <c r="V1584" s="22" t="s">
        <v>6672</v>
      </c>
      <c r="W1584" s="22" t="s">
        <v>49</v>
      </c>
      <c r="X1584" s="3"/>
      <c r="Y1584" s="3"/>
      <c r="Z1584" s="3" t="s">
        <v>52</v>
      </c>
      <c r="AA1584" s="3"/>
      <c r="AB1584" s="3"/>
      <c r="AC1584" s="3" t="str">
        <f>HYPERLINK("https://knigipp.ru/api/getInfo/image/455a4dad-49dd-11eb-a25e-ac1f6b442184")</f>
        <v>https://knigipp.ru/api/getInfo/image/455a4dad-49dd-11eb-a25e-ac1f6b442184</v>
      </c>
      <c r="AD1584" s="32">
        <v>64</v>
      </c>
      <c r="AE1584" s="3"/>
      <c r="AF1584" s="3" t="s">
        <v>136</v>
      </c>
      <c r="AG1584" s="3"/>
      <c r="AH1584" s="3" t="s">
        <v>56</v>
      </c>
      <c r="AI1584" s="3"/>
      <c r="AJ1584" s="3"/>
      <c r="AK1584" s="3" t="str">
        <f>HYPERLINK("https://knigipp.ru/api/getInfo/item/455a4dad-49dd-11eb-a25e-ac1f6b442184")</f>
        <v>https://knigipp.ru/api/getInfo/item/455a4dad-49dd-11eb-a25e-ac1f6b442184</v>
      </c>
      <c r="AL1584" s="3" t="s">
        <v>6673</v>
      </c>
    </row>
    <row r="1585" spans="1:38" ht="21" customHeight="1" outlineLevel="5" x14ac:dyDescent="0.2">
      <c r="A1585" s="39">
        <v>1198</v>
      </c>
      <c r="B1585" s="3" t="s">
        <v>6674</v>
      </c>
      <c r="C1585" s="49" t="s">
        <v>6675</v>
      </c>
      <c r="D1585" s="49"/>
      <c r="E1585" s="49"/>
      <c r="F1585" s="49"/>
      <c r="G1585" s="4" t="s">
        <v>6676</v>
      </c>
      <c r="H1585" s="8"/>
      <c r="I1585" s="9" t="s">
        <v>6677</v>
      </c>
      <c r="J1585" s="10"/>
      <c r="K1585" s="11">
        <v>25</v>
      </c>
      <c r="L1585" s="10"/>
      <c r="M1585" s="10" t="s">
        <v>47</v>
      </c>
      <c r="N1585" s="10"/>
      <c r="O1585" s="2">
        <v>4</v>
      </c>
      <c r="P1585" s="17">
        <f>177*(1-S3/100)</f>
        <v>177</v>
      </c>
      <c r="Q1585" s="18"/>
      <c r="R1585" s="10">
        <f t="shared" si="66"/>
        <v>0</v>
      </c>
      <c r="S1585" s="19">
        <f>0.065*Q1585</f>
        <v>0</v>
      </c>
      <c r="T1585" s="20">
        <f>0.00022*Q1585</f>
        <v>0</v>
      </c>
      <c r="U1585" s="21"/>
      <c r="V1585" s="22" t="s">
        <v>6678</v>
      </c>
      <c r="W1585" s="22" t="s">
        <v>49</v>
      </c>
      <c r="X1585" s="3"/>
      <c r="Y1585" s="3"/>
      <c r="Z1585" s="3" t="s">
        <v>52</v>
      </c>
      <c r="AA1585" s="3"/>
      <c r="AB1585" s="3"/>
      <c r="AC1585" s="3" t="str">
        <f>HYPERLINK("https://knigipp.ru/api/getInfo/image/f8d102e5-6952-11ec-a20f-ac1f6b442185")</f>
        <v>https://knigipp.ru/api/getInfo/image/f8d102e5-6952-11ec-a20f-ac1f6b442185</v>
      </c>
      <c r="AD1585" s="32">
        <v>64</v>
      </c>
      <c r="AE1585" s="3"/>
      <c r="AF1585" s="3" t="s">
        <v>136</v>
      </c>
      <c r="AG1585" s="3"/>
      <c r="AH1585" s="3" t="s">
        <v>56</v>
      </c>
      <c r="AI1585" s="3"/>
      <c r="AJ1585" s="3"/>
      <c r="AK1585" s="3" t="str">
        <f>HYPERLINK("https://knigipp.ru/api/getInfo/item/f8d102e5-6952-11ec-a20f-ac1f6b442185")</f>
        <v>https://knigipp.ru/api/getInfo/item/f8d102e5-6952-11ec-a20f-ac1f6b442185</v>
      </c>
      <c r="AL1585" s="3" t="s">
        <v>6673</v>
      </c>
    </row>
    <row r="1586" spans="1:38" ht="21" customHeight="1" outlineLevel="5" x14ac:dyDescent="0.2">
      <c r="A1586" s="39">
        <v>1199</v>
      </c>
      <c r="B1586" s="3" t="s">
        <v>6679</v>
      </c>
      <c r="C1586" s="49" t="s">
        <v>6680</v>
      </c>
      <c r="D1586" s="49"/>
      <c r="E1586" s="49"/>
      <c r="F1586" s="49"/>
      <c r="G1586" s="4" t="s">
        <v>6681</v>
      </c>
      <c r="H1586" s="8"/>
      <c r="I1586" s="9" t="s">
        <v>6671</v>
      </c>
      <c r="J1586" s="10"/>
      <c r="K1586" s="11">
        <v>25</v>
      </c>
      <c r="L1586" s="10"/>
      <c r="M1586" s="10" t="s">
        <v>47</v>
      </c>
      <c r="N1586" s="10"/>
      <c r="O1586" s="2">
        <v>4</v>
      </c>
      <c r="P1586" s="17">
        <f>177*(1-S3/100)</f>
        <v>177</v>
      </c>
      <c r="Q1586" s="18"/>
      <c r="R1586" s="10">
        <f t="shared" si="66"/>
        <v>0</v>
      </c>
      <c r="S1586" s="19">
        <f>0.207*Q1586</f>
        <v>0</v>
      </c>
      <c r="T1586" s="20">
        <f>0.00036*Q1586</f>
        <v>0</v>
      </c>
      <c r="U1586" s="21"/>
      <c r="V1586" s="22" t="s">
        <v>6682</v>
      </c>
      <c r="W1586" s="22" t="s">
        <v>49</v>
      </c>
      <c r="X1586" s="3"/>
      <c r="Y1586" s="3"/>
      <c r="Z1586" s="3" t="s">
        <v>52</v>
      </c>
      <c r="AA1586" s="3"/>
      <c r="AB1586" s="3"/>
      <c r="AC1586" s="3" t="str">
        <f>HYPERLINK("https://knigipp.ru/api/getInfo/image/c9ab3f66-49dd-11eb-a25e-ac1f6b442184")</f>
        <v>https://knigipp.ru/api/getInfo/image/c9ab3f66-49dd-11eb-a25e-ac1f6b442184</v>
      </c>
      <c r="AD1586" s="32">
        <v>64</v>
      </c>
      <c r="AE1586" s="3"/>
      <c r="AF1586" s="3" t="s">
        <v>136</v>
      </c>
      <c r="AG1586" s="3"/>
      <c r="AH1586" s="3" t="s">
        <v>56</v>
      </c>
      <c r="AI1586" s="3"/>
      <c r="AJ1586" s="3"/>
      <c r="AK1586" s="3" t="str">
        <f>HYPERLINK("https://knigipp.ru/api/getInfo/item/c9ab3f66-49dd-11eb-a25e-ac1f6b442184")</f>
        <v>https://knigipp.ru/api/getInfo/item/c9ab3f66-49dd-11eb-a25e-ac1f6b442184</v>
      </c>
      <c r="AL1586" s="3" t="s">
        <v>6673</v>
      </c>
    </row>
    <row r="1587" spans="1:38" ht="21" customHeight="1" outlineLevel="5" x14ac:dyDescent="0.2">
      <c r="A1587" s="39">
        <v>1200</v>
      </c>
      <c r="B1587" s="3" t="s">
        <v>6683</v>
      </c>
      <c r="C1587" s="49" t="s">
        <v>6684</v>
      </c>
      <c r="D1587" s="49"/>
      <c r="E1587" s="49"/>
      <c r="F1587" s="49"/>
      <c r="G1587" s="4" t="s">
        <v>6685</v>
      </c>
      <c r="H1587" s="8"/>
      <c r="I1587" s="9" t="s">
        <v>6686</v>
      </c>
      <c r="J1587" s="10"/>
      <c r="K1587" s="11">
        <v>25</v>
      </c>
      <c r="L1587" s="10"/>
      <c r="M1587" s="10" t="s">
        <v>47</v>
      </c>
      <c r="N1587" s="10"/>
      <c r="O1587" s="2">
        <v>4</v>
      </c>
      <c r="P1587" s="17">
        <f>177*(1-S3/100)</f>
        <v>177</v>
      </c>
      <c r="Q1587" s="18"/>
      <c r="R1587" s="10">
        <f t="shared" si="66"/>
        <v>0</v>
      </c>
      <c r="S1587" s="19">
        <f>0.214*Q1587</f>
        <v>0</v>
      </c>
      <c r="T1587" s="20">
        <f>0.00041*Q1587</f>
        <v>0</v>
      </c>
      <c r="U1587" s="21"/>
      <c r="V1587" s="22" t="s">
        <v>6687</v>
      </c>
      <c r="W1587" s="22" t="s">
        <v>49</v>
      </c>
      <c r="X1587" s="3"/>
      <c r="Y1587" s="3"/>
      <c r="Z1587" s="3" t="s">
        <v>52</v>
      </c>
      <c r="AA1587" s="3"/>
      <c r="AB1587" s="3"/>
      <c r="AC1587" s="3" t="str">
        <f>HYPERLINK("https://knigipp.ru/api/getInfo/image/be4acfe5-5353-11ec-a20f-ac1f6b442185")</f>
        <v>https://knigipp.ru/api/getInfo/image/be4acfe5-5353-11ec-a20f-ac1f6b442185</v>
      </c>
      <c r="AD1587" s="32">
        <v>64</v>
      </c>
      <c r="AE1587" s="3"/>
      <c r="AF1587" s="3" t="s">
        <v>136</v>
      </c>
      <c r="AG1587" s="3"/>
      <c r="AH1587" s="3" t="s">
        <v>56</v>
      </c>
      <c r="AI1587" s="3"/>
      <c r="AJ1587" s="3"/>
      <c r="AK1587" s="3" t="str">
        <f>HYPERLINK("https://knigipp.ru/api/getInfo/item/be4acfe5-5353-11ec-a20f-ac1f6b442185")</f>
        <v>https://knigipp.ru/api/getInfo/item/be4acfe5-5353-11ec-a20f-ac1f6b442185</v>
      </c>
      <c r="AL1587" s="3" t="s">
        <v>6673</v>
      </c>
    </row>
    <row r="1588" spans="1:38" ht="21" customHeight="1" outlineLevel="5" x14ac:dyDescent="0.2">
      <c r="A1588" s="39">
        <v>1201</v>
      </c>
      <c r="B1588" s="3" t="s">
        <v>6688</v>
      </c>
      <c r="C1588" s="49" t="s">
        <v>6689</v>
      </c>
      <c r="D1588" s="49"/>
      <c r="E1588" s="49"/>
      <c r="F1588" s="49"/>
      <c r="G1588" s="4" t="s">
        <v>6690</v>
      </c>
      <c r="H1588" s="8"/>
      <c r="I1588" s="9" t="s">
        <v>6671</v>
      </c>
      <c r="J1588" s="10"/>
      <c r="K1588" s="11">
        <v>25</v>
      </c>
      <c r="L1588" s="10"/>
      <c r="M1588" s="10" t="s">
        <v>47</v>
      </c>
      <c r="N1588" s="10"/>
      <c r="O1588" s="2">
        <v>4</v>
      </c>
      <c r="P1588" s="17">
        <f>177*(1-S3/100)</f>
        <v>177</v>
      </c>
      <c r="Q1588" s="18"/>
      <c r="R1588" s="10">
        <f t="shared" si="66"/>
        <v>0</v>
      </c>
      <c r="S1588" s="19">
        <f>0.199*Q1588</f>
        <v>0</v>
      </c>
      <c r="T1588" s="20">
        <f>0.00052*Q1588</f>
        <v>0</v>
      </c>
      <c r="U1588" s="21"/>
      <c r="V1588" s="22" t="s">
        <v>6691</v>
      </c>
      <c r="W1588" s="22" t="s">
        <v>49</v>
      </c>
      <c r="X1588" s="3"/>
      <c r="Y1588" s="3"/>
      <c r="Z1588" s="3" t="s">
        <v>52</v>
      </c>
      <c r="AA1588" s="3"/>
      <c r="AB1588" s="3"/>
      <c r="AC1588" s="3" t="str">
        <f>HYPERLINK("https://knigipp.ru/api/getInfo/image/a0389e54-49dd-11eb-a25e-ac1f6b442184")</f>
        <v>https://knigipp.ru/api/getInfo/image/a0389e54-49dd-11eb-a25e-ac1f6b442184</v>
      </c>
      <c r="AD1588" s="32">
        <v>64</v>
      </c>
      <c r="AE1588" s="3"/>
      <c r="AF1588" s="3" t="s">
        <v>136</v>
      </c>
      <c r="AG1588" s="3"/>
      <c r="AH1588" s="3" t="s">
        <v>56</v>
      </c>
      <c r="AI1588" s="3"/>
      <c r="AJ1588" s="3"/>
      <c r="AK1588" s="3" t="str">
        <f>HYPERLINK("https://knigipp.ru/api/getInfo/item/a0389e54-49dd-11eb-a25e-ac1f6b442184")</f>
        <v>https://knigipp.ru/api/getInfo/item/a0389e54-49dd-11eb-a25e-ac1f6b442184</v>
      </c>
      <c r="AL1588" s="3" t="s">
        <v>6673</v>
      </c>
    </row>
    <row r="1589" spans="1:38" ht="21" customHeight="1" outlineLevel="5" x14ac:dyDescent="0.2">
      <c r="A1589" s="39">
        <v>1202</v>
      </c>
      <c r="B1589" s="3" t="s">
        <v>6692</v>
      </c>
      <c r="C1589" s="49" t="s">
        <v>6693</v>
      </c>
      <c r="D1589" s="49"/>
      <c r="E1589" s="49"/>
      <c r="F1589" s="49"/>
      <c r="G1589" s="4" t="s">
        <v>6694</v>
      </c>
      <c r="H1589" s="8"/>
      <c r="I1589" s="9" t="s">
        <v>6671</v>
      </c>
      <c r="J1589" s="10"/>
      <c r="K1589" s="11">
        <v>25</v>
      </c>
      <c r="L1589" s="10"/>
      <c r="M1589" s="10" t="s">
        <v>47</v>
      </c>
      <c r="N1589" s="10"/>
      <c r="O1589" s="2">
        <v>4</v>
      </c>
      <c r="P1589" s="17">
        <f>177*(1-S3/100)</f>
        <v>177</v>
      </c>
      <c r="Q1589" s="18"/>
      <c r="R1589" s="10">
        <f t="shared" si="66"/>
        <v>0</v>
      </c>
      <c r="S1589" s="19">
        <f>0.209*Q1589</f>
        <v>0</v>
      </c>
      <c r="T1589" s="20">
        <f>0.00047*Q1589</f>
        <v>0</v>
      </c>
      <c r="U1589" s="21"/>
      <c r="V1589" s="22" t="s">
        <v>6695</v>
      </c>
      <c r="W1589" s="22" t="s">
        <v>49</v>
      </c>
      <c r="X1589" s="3"/>
      <c r="Y1589" s="3"/>
      <c r="Z1589" s="3" t="s">
        <v>52</v>
      </c>
      <c r="AA1589" s="3"/>
      <c r="AB1589" s="3"/>
      <c r="AC1589" s="3" t="str">
        <f>HYPERLINK("https://knigipp.ru/api/getInfo/image/eecb8286-49dd-11eb-a25e-ac1f6b442184")</f>
        <v>https://knigipp.ru/api/getInfo/image/eecb8286-49dd-11eb-a25e-ac1f6b442184</v>
      </c>
      <c r="AD1589" s="32">
        <v>64</v>
      </c>
      <c r="AE1589" s="3"/>
      <c r="AF1589" s="3" t="s">
        <v>136</v>
      </c>
      <c r="AG1589" s="3"/>
      <c r="AH1589" s="3" t="s">
        <v>56</v>
      </c>
      <c r="AI1589" s="3"/>
      <c r="AJ1589" s="3"/>
      <c r="AK1589" s="3" t="str">
        <f>HYPERLINK("https://knigipp.ru/api/getInfo/item/eecb8286-49dd-11eb-a25e-ac1f6b442184")</f>
        <v>https://knigipp.ru/api/getInfo/item/eecb8286-49dd-11eb-a25e-ac1f6b442184</v>
      </c>
      <c r="AL1589" s="3" t="s">
        <v>6673</v>
      </c>
    </row>
    <row r="1590" spans="1:38" ht="21" customHeight="1" outlineLevel="5" x14ac:dyDescent="0.2">
      <c r="A1590" s="39">
        <v>1203</v>
      </c>
      <c r="B1590" s="3" t="s">
        <v>6696</v>
      </c>
      <c r="C1590" s="49" t="s">
        <v>6697</v>
      </c>
      <c r="D1590" s="49"/>
      <c r="E1590" s="49"/>
      <c r="F1590" s="49"/>
      <c r="G1590" s="4" t="s">
        <v>6698</v>
      </c>
      <c r="H1590" s="8"/>
      <c r="I1590" s="9" t="s">
        <v>6699</v>
      </c>
      <c r="J1590" s="10"/>
      <c r="K1590" s="11">
        <v>25</v>
      </c>
      <c r="L1590" s="10"/>
      <c r="M1590" s="10" t="s">
        <v>47</v>
      </c>
      <c r="N1590" s="10"/>
      <c r="O1590" s="2">
        <v>4</v>
      </c>
      <c r="P1590" s="17">
        <f>177*(1-S3/100)</f>
        <v>177</v>
      </c>
      <c r="Q1590" s="18"/>
      <c r="R1590" s="10">
        <f t="shared" si="66"/>
        <v>0</v>
      </c>
      <c r="S1590" s="19">
        <f>0.208*Q1590</f>
        <v>0</v>
      </c>
      <c r="T1590" s="20">
        <f>0.00036*Q1590</f>
        <v>0</v>
      </c>
      <c r="U1590" s="21"/>
      <c r="V1590" s="22" t="s">
        <v>6700</v>
      </c>
      <c r="W1590" s="22" t="s">
        <v>49</v>
      </c>
      <c r="X1590" s="3"/>
      <c r="Y1590" s="3" t="s">
        <v>6701</v>
      </c>
      <c r="Z1590" s="3" t="s">
        <v>52</v>
      </c>
      <c r="AA1590" s="3"/>
      <c r="AB1590" s="3"/>
      <c r="AC1590" s="3" t="str">
        <f>HYPERLINK("https://knigipp.ru/api/getInfo/image/3243934d-3555-11ef-a261-00155d82e908")</f>
        <v>https://knigipp.ru/api/getInfo/image/3243934d-3555-11ef-a261-00155d82e908</v>
      </c>
      <c r="AD1590" s="32">
        <v>64</v>
      </c>
      <c r="AE1590" s="3" t="s">
        <v>54</v>
      </c>
      <c r="AF1590" s="3" t="s">
        <v>136</v>
      </c>
      <c r="AG1590" s="3"/>
      <c r="AH1590" s="3" t="s">
        <v>56</v>
      </c>
      <c r="AI1590" s="3"/>
      <c r="AJ1590" s="3"/>
      <c r="AK1590" s="3" t="str">
        <f>HYPERLINK("https://knigipp.ru/api/getInfo/item/3243934d-3555-11ef-a261-00155d82e908")</f>
        <v>https://knigipp.ru/api/getInfo/item/3243934d-3555-11ef-a261-00155d82e908</v>
      </c>
      <c r="AL1590" s="3" t="s">
        <v>6673</v>
      </c>
    </row>
    <row r="1591" spans="1:38" ht="21" customHeight="1" outlineLevel="5" x14ac:dyDescent="0.2">
      <c r="A1591" s="39">
        <v>1204</v>
      </c>
      <c r="B1591" s="3" t="s">
        <v>6702</v>
      </c>
      <c r="C1591" s="49" t="s">
        <v>6703</v>
      </c>
      <c r="D1591" s="49"/>
      <c r="E1591" s="49"/>
      <c r="F1591" s="49"/>
      <c r="G1591" s="4" t="s">
        <v>6704</v>
      </c>
      <c r="H1591" s="8"/>
      <c r="I1591" s="9" t="s">
        <v>6705</v>
      </c>
      <c r="J1591" s="10"/>
      <c r="K1591" s="11">
        <v>25</v>
      </c>
      <c r="L1591" s="10"/>
      <c r="M1591" s="10" t="s">
        <v>47</v>
      </c>
      <c r="N1591" s="10"/>
      <c r="O1591" s="2">
        <v>4</v>
      </c>
      <c r="P1591" s="17">
        <f>177*(1-S3/100)</f>
        <v>177</v>
      </c>
      <c r="Q1591" s="18"/>
      <c r="R1591" s="10">
        <f t="shared" si="66"/>
        <v>0</v>
      </c>
      <c r="S1591" s="19">
        <f>0.206*Q1591</f>
        <v>0</v>
      </c>
      <c r="T1591" s="20">
        <f>0.00047*Q1591</f>
        <v>0</v>
      </c>
      <c r="U1591" s="21"/>
      <c r="V1591" s="22" t="s">
        <v>6706</v>
      </c>
      <c r="W1591" s="22" t="s">
        <v>49</v>
      </c>
      <c r="X1591" s="3"/>
      <c r="Y1591" s="3"/>
      <c r="Z1591" s="3" t="s">
        <v>52</v>
      </c>
      <c r="AA1591" s="3"/>
      <c r="AB1591" s="3"/>
      <c r="AC1591" s="3" t="str">
        <f>HYPERLINK("https://knigipp.ru/api/getInfo/image/a01b033f-c7c4-11ed-a230-00155d82e902")</f>
        <v>https://knigipp.ru/api/getInfo/image/a01b033f-c7c4-11ed-a230-00155d82e902</v>
      </c>
      <c r="AD1591" s="32">
        <v>64</v>
      </c>
      <c r="AE1591" s="3" t="s">
        <v>54</v>
      </c>
      <c r="AF1591" s="3" t="s">
        <v>136</v>
      </c>
      <c r="AG1591" s="3"/>
      <c r="AH1591" s="3" t="s">
        <v>56</v>
      </c>
      <c r="AI1591" s="3"/>
      <c r="AJ1591" s="3"/>
      <c r="AK1591" s="3" t="str">
        <f>HYPERLINK("https://knigipp.ru/api/getInfo/item/a01b033f-c7c4-11ed-a230-00155d82e902")</f>
        <v>https://knigipp.ru/api/getInfo/item/a01b033f-c7c4-11ed-a230-00155d82e902</v>
      </c>
      <c r="AL1591" s="3" t="s">
        <v>6673</v>
      </c>
    </row>
    <row r="1592" spans="1:38" ht="21" customHeight="1" outlineLevel="5" x14ac:dyDescent="0.2">
      <c r="A1592" s="39">
        <v>1205</v>
      </c>
      <c r="B1592" s="3" t="s">
        <v>6707</v>
      </c>
      <c r="C1592" s="49" t="s">
        <v>6708</v>
      </c>
      <c r="D1592" s="49"/>
      <c r="E1592" s="49"/>
      <c r="F1592" s="49"/>
      <c r="G1592" s="4" t="s">
        <v>6709</v>
      </c>
      <c r="H1592" s="8"/>
      <c r="I1592" s="9" t="s">
        <v>6710</v>
      </c>
      <c r="J1592" s="10"/>
      <c r="K1592" s="11">
        <v>25</v>
      </c>
      <c r="L1592" s="10"/>
      <c r="M1592" s="10" t="s">
        <v>47</v>
      </c>
      <c r="N1592" s="10"/>
      <c r="O1592" s="2">
        <v>4</v>
      </c>
      <c r="P1592" s="17">
        <f>177*(1-S3/100)</f>
        <v>177</v>
      </c>
      <c r="Q1592" s="18"/>
      <c r="R1592" s="10">
        <f t="shared" si="66"/>
        <v>0</v>
      </c>
      <c r="S1592" s="19">
        <f>0.209*Q1592</f>
        <v>0</v>
      </c>
      <c r="T1592" s="20">
        <f>0.00047*Q1592</f>
        <v>0</v>
      </c>
      <c r="U1592" s="21"/>
      <c r="V1592" s="22" t="s">
        <v>6711</v>
      </c>
      <c r="W1592" s="22" t="s">
        <v>49</v>
      </c>
      <c r="X1592" s="3"/>
      <c r="Y1592" s="3"/>
      <c r="Z1592" s="3" t="s">
        <v>52</v>
      </c>
      <c r="AA1592" s="3"/>
      <c r="AB1592" s="3"/>
      <c r="AC1592" s="3" t="str">
        <f>HYPERLINK("https://knigipp.ru/api/getInfo/image/dfdb8224-5353-11ec-a20f-ac1f6b442185")</f>
        <v>https://knigipp.ru/api/getInfo/image/dfdb8224-5353-11ec-a20f-ac1f6b442185</v>
      </c>
      <c r="AD1592" s="32">
        <v>64</v>
      </c>
      <c r="AE1592" s="3"/>
      <c r="AF1592" s="3" t="s">
        <v>136</v>
      </c>
      <c r="AG1592" s="3"/>
      <c r="AH1592" s="3" t="s">
        <v>56</v>
      </c>
      <c r="AI1592" s="3"/>
      <c r="AJ1592" s="3"/>
      <c r="AK1592" s="3" t="str">
        <f>HYPERLINK("https://knigipp.ru/api/getInfo/item/dfdb8224-5353-11ec-a20f-ac1f6b442185")</f>
        <v>https://knigipp.ru/api/getInfo/item/dfdb8224-5353-11ec-a20f-ac1f6b442185</v>
      </c>
      <c r="AL1592" s="3" t="s">
        <v>6673</v>
      </c>
    </row>
    <row r="1593" spans="1:38" ht="21" customHeight="1" outlineLevel="5" x14ac:dyDescent="0.2">
      <c r="A1593" s="39">
        <v>1206</v>
      </c>
      <c r="B1593" s="3" t="s">
        <v>6712</v>
      </c>
      <c r="C1593" s="49" t="s">
        <v>6713</v>
      </c>
      <c r="D1593" s="49"/>
      <c r="E1593" s="49"/>
      <c r="F1593" s="49"/>
      <c r="G1593" s="4" t="s">
        <v>6714</v>
      </c>
      <c r="H1593" s="8"/>
      <c r="I1593" s="9" t="s">
        <v>6671</v>
      </c>
      <c r="J1593" s="10"/>
      <c r="K1593" s="11">
        <v>25</v>
      </c>
      <c r="L1593" s="10"/>
      <c r="M1593" s="10" t="s">
        <v>47</v>
      </c>
      <c r="N1593" s="10"/>
      <c r="O1593" s="2">
        <v>4</v>
      </c>
      <c r="P1593" s="17">
        <f>177*(1-S3/100)</f>
        <v>177</v>
      </c>
      <c r="Q1593" s="18"/>
      <c r="R1593" s="10">
        <f t="shared" si="66"/>
        <v>0</v>
      </c>
      <c r="S1593" s="19">
        <f>0.206*Q1593</f>
        <v>0</v>
      </c>
      <c r="T1593" s="20">
        <f>0.00047*Q1593</f>
        <v>0</v>
      </c>
      <c r="U1593" s="21"/>
      <c r="V1593" s="22" t="s">
        <v>6715</v>
      </c>
      <c r="W1593" s="22" t="s">
        <v>49</v>
      </c>
      <c r="X1593" s="3"/>
      <c r="Y1593" s="3"/>
      <c r="Z1593" s="3" t="s">
        <v>52</v>
      </c>
      <c r="AA1593" s="3"/>
      <c r="AB1593" s="3"/>
      <c r="AC1593" s="3" t="str">
        <f>HYPERLINK("https://knigipp.ru/api/getInfo/image/218d3a6d-6953-11ec-a20f-ac1f6b442185")</f>
        <v>https://knigipp.ru/api/getInfo/image/218d3a6d-6953-11ec-a20f-ac1f6b442185</v>
      </c>
      <c r="AD1593" s="32">
        <v>64</v>
      </c>
      <c r="AE1593" s="3"/>
      <c r="AF1593" s="3" t="s">
        <v>136</v>
      </c>
      <c r="AG1593" s="3"/>
      <c r="AH1593" s="3" t="s">
        <v>56</v>
      </c>
      <c r="AI1593" s="3"/>
      <c r="AJ1593" s="3"/>
      <c r="AK1593" s="3" t="str">
        <f>HYPERLINK("https://knigipp.ru/api/getInfo/item/218d3a6d-6953-11ec-a20f-ac1f6b442185")</f>
        <v>https://knigipp.ru/api/getInfo/item/218d3a6d-6953-11ec-a20f-ac1f6b442185</v>
      </c>
      <c r="AL1593" s="3" t="s">
        <v>6673</v>
      </c>
    </row>
    <row r="1594" spans="1:38" ht="23.1" customHeight="1" outlineLevel="4" x14ac:dyDescent="0.2">
      <c r="A1594" s="55" t="s">
        <v>6716</v>
      </c>
      <c r="B1594" s="55"/>
      <c r="C1594" s="55"/>
      <c r="D1594" s="55"/>
      <c r="E1594" s="55"/>
      <c r="F1594" s="55"/>
    </row>
    <row r="1595" spans="1:38" ht="21" customHeight="1" outlineLevel="5" x14ac:dyDescent="0.2">
      <c r="A1595" s="39">
        <v>1207</v>
      </c>
      <c r="B1595" s="3" t="s">
        <v>6717</v>
      </c>
      <c r="C1595" s="49" t="s">
        <v>6718</v>
      </c>
      <c r="D1595" s="49"/>
      <c r="E1595" s="49"/>
      <c r="F1595" s="49"/>
      <c r="G1595" s="4" t="s">
        <v>6719</v>
      </c>
      <c r="H1595" s="8"/>
      <c r="I1595" s="9" t="s">
        <v>6720</v>
      </c>
      <c r="J1595" s="10"/>
      <c r="K1595" s="11">
        <v>20</v>
      </c>
      <c r="L1595" s="10"/>
      <c r="M1595" s="10" t="s">
        <v>78</v>
      </c>
      <c r="N1595" s="10"/>
      <c r="O1595" s="2">
        <v>4</v>
      </c>
      <c r="P1595" s="17">
        <f>169*(1-S3/100)</f>
        <v>169</v>
      </c>
      <c r="Q1595" s="18"/>
      <c r="R1595" s="10">
        <f>P1595*Q1595</f>
        <v>0</v>
      </c>
      <c r="S1595" s="10">
        <v>0</v>
      </c>
      <c r="T1595" s="10">
        <v>0</v>
      </c>
      <c r="U1595" s="21"/>
      <c r="V1595" s="22" t="s">
        <v>6721</v>
      </c>
      <c r="W1595" s="22" t="s">
        <v>49</v>
      </c>
      <c r="X1595" s="3"/>
      <c r="Y1595" s="3"/>
      <c r="Z1595" s="3" t="s">
        <v>52</v>
      </c>
      <c r="AA1595" s="3"/>
      <c r="AB1595" s="3"/>
      <c r="AC1595" s="3" t="str">
        <f>HYPERLINK("https://knigipp.ru/api/getInfo/image/419115ed-3b1c-11ec-a20f-ac1f6b442185")</f>
        <v>https://knigipp.ru/api/getInfo/image/419115ed-3b1c-11ec-a20f-ac1f6b442185</v>
      </c>
      <c r="AD1595" s="32">
        <v>96</v>
      </c>
      <c r="AE1595" s="3"/>
      <c r="AF1595" s="3" t="s">
        <v>55</v>
      </c>
      <c r="AG1595" s="3"/>
      <c r="AH1595" s="3" t="s">
        <v>56</v>
      </c>
      <c r="AI1595" s="3"/>
      <c r="AJ1595" s="3"/>
      <c r="AK1595" s="3" t="str">
        <f>HYPERLINK("https://knigipp.ru/api/getInfo/item/419115ed-3b1c-11ec-a20f-ac1f6b442185")</f>
        <v>https://knigipp.ru/api/getInfo/item/419115ed-3b1c-11ec-a20f-ac1f6b442185</v>
      </c>
      <c r="AL1595" s="3" t="s">
        <v>6722</v>
      </c>
    </row>
    <row r="1596" spans="1:38" ht="23.1" customHeight="1" outlineLevel="3" x14ac:dyDescent="0.2">
      <c r="A1596" s="48" t="s">
        <v>6723</v>
      </c>
      <c r="B1596" s="48"/>
      <c r="C1596" s="48"/>
      <c r="D1596" s="48"/>
      <c r="E1596" s="48"/>
      <c r="F1596" s="48"/>
    </row>
    <row r="1597" spans="1:38" ht="23.1" customHeight="1" outlineLevel="4" x14ac:dyDescent="0.2">
      <c r="A1597" s="55" t="s">
        <v>6724</v>
      </c>
      <c r="B1597" s="55"/>
      <c r="C1597" s="55"/>
      <c r="D1597" s="55"/>
      <c r="E1597" s="55"/>
      <c r="F1597" s="55"/>
    </row>
    <row r="1598" spans="1:38" ht="21" customHeight="1" outlineLevel="5" x14ac:dyDescent="0.2">
      <c r="A1598" s="39">
        <v>1208</v>
      </c>
      <c r="B1598" s="3" t="s">
        <v>6725</v>
      </c>
      <c r="C1598" s="49" t="s">
        <v>6726</v>
      </c>
      <c r="D1598" s="49"/>
      <c r="E1598" s="49"/>
      <c r="F1598" s="49"/>
      <c r="G1598" s="4" t="s">
        <v>6727</v>
      </c>
      <c r="H1598" s="8"/>
      <c r="I1598" s="9" t="s">
        <v>6728</v>
      </c>
      <c r="J1598" s="10"/>
      <c r="K1598" s="11">
        <v>20</v>
      </c>
      <c r="L1598" s="10"/>
      <c r="M1598" s="10" t="s">
        <v>47</v>
      </c>
      <c r="N1598" s="10"/>
      <c r="O1598" s="2">
        <v>4</v>
      </c>
      <c r="P1598" s="17">
        <f>249*(1-S3/100)</f>
        <v>249</v>
      </c>
      <c r="Q1598" s="18"/>
      <c r="R1598" s="10">
        <f t="shared" ref="R1598:R1603" si="67">P1598*Q1598</f>
        <v>0</v>
      </c>
      <c r="S1598" s="19">
        <f>0.163*Q1598</f>
        <v>0</v>
      </c>
      <c r="T1598" s="20">
        <f>0.00024*Q1598</f>
        <v>0</v>
      </c>
      <c r="U1598" s="21"/>
      <c r="V1598" s="22" t="s">
        <v>6729</v>
      </c>
      <c r="W1598" s="22" t="s">
        <v>49</v>
      </c>
      <c r="X1598" s="3"/>
      <c r="Y1598" s="3" t="s">
        <v>6730</v>
      </c>
      <c r="Z1598" s="3" t="s">
        <v>52</v>
      </c>
      <c r="AA1598" s="3"/>
      <c r="AB1598" s="3"/>
      <c r="AC1598" s="3" t="str">
        <f>HYPERLINK("https://knigipp.ru/api/getInfo/image/735d931c-7d23-11ed-a22a-00155d82e902")</f>
        <v>https://knigipp.ru/api/getInfo/image/735d931c-7d23-11ed-a22a-00155d82e902</v>
      </c>
      <c r="AD1598" s="32">
        <v>16</v>
      </c>
      <c r="AE1598" s="3" t="s">
        <v>54</v>
      </c>
      <c r="AF1598" s="3" t="s">
        <v>136</v>
      </c>
      <c r="AG1598" s="3"/>
      <c r="AH1598" s="3" t="s">
        <v>56</v>
      </c>
      <c r="AI1598" s="3"/>
      <c r="AJ1598" s="3"/>
      <c r="AK1598" s="3" t="str">
        <f>HYPERLINK("https://knigipp.ru/api/getInfo/item/735d931c-7d23-11ed-a22a-00155d82e902")</f>
        <v>https://knigipp.ru/api/getInfo/item/735d931c-7d23-11ed-a22a-00155d82e902</v>
      </c>
      <c r="AL1598" s="3" t="s">
        <v>6731</v>
      </c>
    </row>
    <row r="1599" spans="1:38" ht="21" customHeight="1" outlineLevel="5" x14ac:dyDescent="0.2">
      <c r="A1599" s="39">
        <v>1209</v>
      </c>
      <c r="B1599" s="3" t="s">
        <v>6732</v>
      </c>
      <c r="C1599" s="49" t="s">
        <v>6733</v>
      </c>
      <c r="D1599" s="49"/>
      <c r="E1599" s="49"/>
      <c r="F1599" s="49"/>
      <c r="G1599" s="4" t="s">
        <v>6734</v>
      </c>
      <c r="H1599" s="8"/>
      <c r="I1599" s="9" t="s">
        <v>6728</v>
      </c>
      <c r="J1599" s="10"/>
      <c r="K1599" s="11">
        <v>20</v>
      </c>
      <c r="L1599" s="10"/>
      <c r="M1599" s="10" t="s">
        <v>47</v>
      </c>
      <c r="N1599" s="10"/>
      <c r="O1599" s="2">
        <v>4</v>
      </c>
      <c r="P1599" s="17">
        <f>249*(1-S3/100)</f>
        <v>249</v>
      </c>
      <c r="Q1599" s="18"/>
      <c r="R1599" s="10">
        <f t="shared" si="67"/>
        <v>0</v>
      </c>
      <c r="S1599" s="19">
        <f>0.134*Q1599</f>
        <v>0</v>
      </c>
      <c r="T1599" s="20">
        <f>0.00024*Q1599</f>
        <v>0</v>
      </c>
      <c r="U1599" s="21"/>
      <c r="V1599" s="22" t="s">
        <v>6735</v>
      </c>
      <c r="W1599" s="22" t="s">
        <v>49</v>
      </c>
      <c r="X1599" s="3"/>
      <c r="Y1599" s="3"/>
      <c r="Z1599" s="3" t="s">
        <v>52</v>
      </c>
      <c r="AA1599" s="3"/>
      <c r="AB1599" s="3"/>
      <c r="AC1599" s="3" t="str">
        <f>HYPERLINK("https://knigipp.ru/api/getInfo/image/0a316d9e-7d38-11ed-a22a-00155d82e902")</f>
        <v>https://knigipp.ru/api/getInfo/image/0a316d9e-7d38-11ed-a22a-00155d82e902</v>
      </c>
      <c r="AD1599" s="32">
        <v>16</v>
      </c>
      <c r="AE1599" s="3" t="s">
        <v>54</v>
      </c>
      <c r="AF1599" s="3" t="s">
        <v>136</v>
      </c>
      <c r="AG1599" s="3"/>
      <c r="AH1599" s="3" t="s">
        <v>56</v>
      </c>
      <c r="AI1599" s="3"/>
      <c r="AJ1599" s="3"/>
      <c r="AK1599" s="3" t="str">
        <f>HYPERLINK("https://knigipp.ru/api/getInfo/item/0a316d9e-7d38-11ed-a22a-00155d82e902")</f>
        <v>https://knigipp.ru/api/getInfo/item/0a316d9e-7d38-11ed-a22a-00155d82e902</v>
      </c>
      <c r="AL1599" s="3" t="s">
        <v>6731</v>
      </c>
    </row>
    <row r="1600" spans="1:38" ht="21" customHeight="1" outlineLevel="5" x14ac:dyDescent="0.2">
      <c r="A1600" s="39">
        <v>1210</v>
      </c>
      <c r="B1600" s="3" t="s">
        <v>6736</v>
      </c>
      <c r="C1600" s="49" t="s">
        <v>6737</v>
      </c>
      <c r="D1600" s="49"/>
      <c r="E1600" s="49"/>
      <c r="F1600" s="49"/>
      <c r="G1600" s="4" t="s">
        <v>6738</v>
      </c>
      <c r="H1600" s="8"/>
      <c r="I1600" s="9" t="s">
        <v>6728</v>
      </c>
      <c r="J1600" s="10"/>
      <c r="K1600" s="11">
        <v>20</v>
      </c>
      <c r="L1600" s="10"/>
      <c r="M1600" s="10" t="s">
        <v>47</v>
      </c>
      <c r="N1600" s="10"/>
      <c r="O1600" s="2">
        <v>4</v>
      </c>
      <c r="P1600" s="17">
        <f>249*(1-S3/100)</f>
        <v>249</v>
      </c>
      <c r="Q1600" s="18"/>
      <c r="R1600" s="10">
        <f t="shared" si="67"/>
        <v>0</v>
      </c>
      <c r="S1600" s="19">
        <f>0.163*Q1600</f>
        <v>0</v>
      </c>
      <c r="T1600" s="20">
        <f>0.00024*Q1600</f>
        <v>0</v>
      </c>
      <c r="U1600" s="21"/>
      <c r="V1600" s="22" t="s">
        <v>6739</v>
      </c>
      <c r="W1600" s="22" t="s">
        <v>49</v>
      </c>
      <c r="X1600" s="3"/>
      <c r="Y1600" s="3" t="s">
        <v>6740</v>
      </c>
      <c r="Z1600" s="3" t="s">
        <v>52</v>
      </c>
      <c r="AA1600" s="3"/>
      <c r="AB1600" s="3"/>
      <c r="AC1600" s="3" t="str">
        <f>HYPERLINK("https://knigipp.ru/api/getInfo/image/3d4def30-7d38-11ed-a22a-00155d82e902")</f>
        <v>https://knigipp.ru/api/getInfo/image/3d4def30-7d38-11ed-a22a-00155d82e902</v>
      </c>
      <c r="AD1600" s="32">
        <v>16</v>
      </c>
      <c r="AE1600" s="3" t="s">
        <v>54</v>
      </c>
      <c r="AF1600" s="3" t="s">
        <v>136</v>
      </c>
      <c r="AG1600" s="3"/>
      <c r="AH1600" s="3" t="s">
        <v>56</v>
      </c>
      <c r="AI1600" s="3"/>
      <c r="AJ1600" s="3"/>
      <c r="AK1600" s="3" t="str">
        <f>HYPERLINK("https://knigipp.ru/api/getInfo/item/3d4def30-7d38-11ed-a22a-00155d82e902")</f>
        <v>https://knigipp.ru/api/getInfo/item/3d4def30-7d38-11ed-a22a-00155d82e902</v>
      </c>
      <c r="AL1600" s="3" t="s">
        <v>6731</v>
      </c>
    </row>
    <row r="1601" spans="1:38" ht="21" customHeight="1" outlineLevel="5" x14ac:dyDescent="0.2">
      <c r="A1601" s="40">
        <v>1211</v>
      </c>
      <c r="B1601" s="6" t="s">
        <v>6741</v>
      </c>
      <c r="C1601" s="54" t="s">
        <v>6742</v>
      </c>
      <c r="D1601" s="54"/>
      <c r="E1601" s="54"/>
      <c r="F1601" s="54"/>
      <c r="G1601" s="7" t="s">
        <v>6743</v>
      </c>
      <c r="H1601" s="12"/>
      <c r="I1601" s="13" t="s">
        <v>1095</v>
      </c>
      <c r="J1601" s="14"/>
      <c r="K1601" s="15">
        <v>20</v>
      </c>
      <c r="L1601" s="14"/>
      <c r="M1601" s="14" t="s">
        <v>47</v>
      </c>
      <c r="N1601" s="14"/>
      <c r="O1601" s="5">
        <v>4</v>
      </c>
      <c r="P1601" s="23">
        <f>249*(1-S3/100)</f>
        <v>249</v>
      </c>
      <c r="Q1601" s="18"/>
      <c r="R1601" s="14">
        <f t="shared" si="67"/>
        <v>0</v>
      </c>
      <c r="S1601" s="24">
        <f>0.133*Q1601</f>
        <v>0</v>
      </c>
      <c r="T1601" s="25">
        <f>0.00008*Q1601</f>
        <v>0</v>
      </c>
      <c r="U1601" s="26" t="s">
        <v>62</v>
      </c>
      <c r="V1601" s="27" t="s">
        <v>6744</v>
      </c>
      <c r="W1601" s="27" t="s">
        <v>49</v>
      </c>
      <c r="X1601" s="6"/>
      <c r="Y1601" s="6" t="s">
        <v>6745</v>
      </c>
      <c r="Z1601" s="6" t="s">
        <v>52</v>
      </c>
      <c r="AA1601" s="6"/>
      <c r="AB1601" s="6"/>
      <c r="AC1601" s="6" t="str">
        <f>HYPERLINK("https://knigipp.ru/api/getInfo/image/f7244e89-290f-11f1-a291-00155d82e908")</f>
        <v>https://knigipp.ru/api/getInfo/image/f7244e89-290f-11f1-a291-00155d82e908</v>
      </c>
      <c r="AD1601" s="33">
        <v>16</v>
      </c>
      <c r="AE1601" s="6" t="s">
        <v>54</v>
      </c>
      <c r="AF1601" s="6" t="s">
        <v>136</v>
      </c>
      <c r="AG1601" s="6"/>
      <c r="AH1601" s="6" t="s">
        <v>56</v>
      </c>
      <c r="AI1601" s="6"/>
      <c r="AJ1601" s="6"/>
      <c r="AK1601" s="6" t="str">
        <f>HYPERLINK("https://knigipp.ru/api/getInfo/item/f7244e89-290f-11f1-a291-00155d82e908")</f>
        <v>https://knigipp.ru/api/getInfo/item/f7244e89-290f-11f1-a291-00155d82e908</v>
      </c>
      <c r="AL1601" s="6" t="s">
        <v>6731</v>
      </c>
    </row>
    <row r="1602" spans="1:38" ht="21" customHeight="1" outlineLevel="5" x14ac:dyDescent="0.2">
      <c r="A1602" s="39">
        <v>1212</v>
      </c>
      <c r="B1602" s="3" t="s">
        <v>6746</v>
      </c>
      <c r="C1602" s="49" t="s">
        <v>6747</v>
      </c>
      <c r="D1602" s="49"/>
      <c r="E1602" s="49"/>
      <c r="F1602" s="49"/>
      <c r="G1602" s="4" t="s">
        <v>6748</v>
      </c>
      <c r="H1602" s="8"/>
      <c r="I1602" s="9" t="s">
        <v>1106</v>
      </c>
      <c r="J1602" s="10"/>
      <c r="K1602" s="11">
        <v>20</v>
      </c>
      <c r="L1602" s="10"/>
      <c r="M1602" s="10" t="s">
        <v>78</v>
      </c>
      <c r="N1602" s="10"/>
      <c r="O1602" s="2">
        <v>4</v>
      </c>
      <c r="P1602" s="17">
        <f>249*(1-S3/100)</f>
        <v>249</v>
      </c>
      <c r="Q1602" s="18"/>
      <c r="R1602" s="10">
        <f t="shared" si="67"/>
        <v>0</v>
      </c>
      <c r="S1602" s="19">
        <f>0.131*Q1602</f>
        <v>0</v>
      </c>
      <c r="T1602" s="20">
        <f>0.00024*Q1602</f>
        <v>0</v>
      </c>
      <c r="U1602" s="21"/>
      <c r="V1602" s="22" t="s">
        <v>6749</v>
      </c>
      <c r="W1602" s="22" t="s">
        <v>49</v>
      </c>
      <c r="X1602" s="3"/>
      <c r="Y1602" s="3" t="s">
        <v>6750</v>
      </c>
      <c r="Z1602" s="3" t="s">
        <v>52</v>
      </c>
      <c r="AA1602" s="3"/>
      <c r="AB1602" s="3"/>
      <c r="AC1602" s="3" t="str">
        <f>HYPERLINK("https://knigipp.ru/api/getInfo/image/d550f11e-dfdb-11ef-a273-00155d82e908")</f>
        <v>https://knigipp.ru/api/getInfo/image/d550f11e-dfdb-11ef-a273-00155d82e908</v>
      </c>
      <c r="AD1602" s="32">
        <v>16</v>
      </c>
      <c r="AE1602" s="3" t="s">
        <v>54</v>
      </c>
      <c r="AF1602" s="3" t="s">
        <v>136</v>
      </c>
      <c r="AG1602" s="3"/>
      <c r="AH1602" s="3" t="s">
        <v>56</v>
      </c>
      <c r="AI1602" s="3"/>
      <c r="AJ1602" s="3"/>
      <c r="AK1602" s="3" t="str">
        <f>HYPERLINK("https://knigipp.ru/api/getInfo/item/d550f11e-dfdb-11ef-a273-00155d82e908")</f>
        <v>https://knigipp.ru/api/getInfo/item/d550f11e-dfdb-11ef-a273-00155d82e908</v>
      </c>
      <c r="AL1602" s="3" t="s">
        <v>6731</v>
      </c>
    </row>
    <row r="1603" spans="1:38" ht="21" customHeight="1" outlineLevel="5" x14ac:dyDescent="0.2">
      <c r="A1603" s="40">
        <v>1213</v>
      </c>
      <c r="B1603" s="6" t="s">
        <v>6751</v>
      </c>
      <c r="C1603" s="54" t="s">
        <v>6752</v>
      </c>
      <c r="D1603" s="54"/>
      <c r="E1603" s="54"/>
      <c r="F1603" s="54"/>
      <c r="G1603" s="7" t="s">
        <v>6753</v>
      </c>
      <c r="H1603" s="12"/>
      <c r="I1603" s="13" t="s">
        <v>1111</v>
      </c>
      <c r="J1603" s="14"/>
      <c r="K1603" s="15">
        <v>20</v>
      </c>
      <c r="L1603" s="14"/>
      <c r="M1603" s="14" t="s">
        <v>47</v>
      </c>
      <c r="N1603" s="14"/>
      <c r="O1603" s="5">
        <v>4</v>
      </c>
      <c r="P1603" s="23">
        <f>249*(1-S3/100)</f>
        <v>249</v>
      </c>
      <c r="Q1603" s="18"/>
      <c r="R1603" s="14">
        <f t="shared" si="67"/>
        <v>0</v>
      </c>
      <c r="S1603" s="24">
        <f>0.132*Q1603</f>
        <v>0</v>
      </c>
      <c r="T1603" s="25">
        <f>0.00032*Q1603</f>
        <v>0</v>
      </c>
      <c r="U1603" s="26" t="s">
        <v>62</v>
      </c>
      <c r="V1603" s="27" t="s">
        <v>6754</v>
      </c>
      <c r="W1603" s="27" t="s">
        <v>49</v>
      </c>
      <c r="X1603" s="6"/>
      <c r="Y1603" s="6" t="s">
        <v>6745</v>
      </c>
      <c r="Z1603" s="6" t="s">
        <v>52</v>
      </c>
      <c r="AA1603" s="6"/>
      <c r="AB1603" s="6"/>
      <c r="AC1603" s="6" t="str">
        <f>HYPERLINK("https://knigipp.ru/api/getInfo/image/c9310065-290f-11f1-a291-00155d82e908")</f>
        <v>https://knigipp.ru/api/getInfo/image/c9310065-290f-11f1-a291-00155d82e908</v>
      </c>
      <c r="AD1603" s="33">
        <v>16</v>
      </c>
      <c r="AE1603" s="6" t="s">
        <v>54</v>
      </c>
      <c r="AF1603" s="6" t="s">
        <v>136</v>
      </c>
      <c r="AG1603" s="6"/>
      <c r="AH1603" s="6" t="s">
        <v>56</v>
      </c>
      <c r="AI1603" s="6"/>
      <c r="AJ1603" s="6"/>
      <c r="AK1603" s="6" t="str">
        <f>HYPERLINK("https://knigipp.ru/api/getInfo/item/c9310065-290f-11f1-a291-00155d82e908")</f>
        <v>https://knigipp.ru/api/getInfo/item/c9310065-290f-11f1-a291-00155d82e908</v>
      </c>
      <c r="AL1603" s="6" t="s">
        <v>6731</v>
      </c>
    </row>
    <row r="1604" spans="1:38" ht="23.1" customHeight="1" outlineLevel="4" x14ac:dyDescent="0.2">
      <c r="A1604" s="55" t="s">
        <v>6755</v>
      </c>
      <c r="B1604" s="55"/>
      <c r="C1604" s="55"/>
      <c r="D1604" s="55"/>
      <c r="E1604" s="55"/>
      <c r="F1604" s="55"/>
    </row>
    <row r="1605" spans="1:38" ht="21" customHeight="1" outlineLevel="5" x14ac:dyDescent="0.2">
      <c r="A1605" s="39">
        <v>1214</v>
      </c>
      <c r="B1605" s="3" t="s">
        <v>6756</v>
      </c>
      <c r="C1605" s="49" t="s">
        <v>6757</v>
      </c>
      <c r="D1605" s="49"/>
      <c r="E1605" s="49"/>
      <c r="F1605" s="49"/>
      <c r="G1605" s="4" t="s">
        <v>6758</v>
      </c>
      <c r="H1605" s="8"/>
      <c r="I1605" s="9" t="s">
        <v>6759</v>
      </c>
      <c r="J1605" s="10"/>
      <c r="K1605" s="11">
        <v>30</v>
      </c>
      <c r="L1605" s="10"/>
      <c r="M1605" s="10" t="s">
        <v>47</v>
      </c>
      <c r="N1605" s="10"/>
      <c r="O1605" s="2">
        <v>10</v>
      </c>
      <c r="P1605" s="17">
        <f>95*(1-S3/100)</f>
        <v>95</v>
      </c>
      <c r="Q1605" s="18"/>
      <c r="R1605" s="10">
        <f t="shared" ref="R1605:R1612" si="68">P1605*Q1605</f>
        <v>0</v>
      </c>
      <c r="S1605" s="19">
        <f>0.035*Q1605</f>
        <v>0</v>
      </c>
      <c r="T1605" s="20">
        <f>0.00003*Q1605</f>
        <v>0</v>
      </c>
      <c r="U1605" s="21"/>
      <c r="V1605" s="22" t="s">
        <v>6760</v>
      </c>
      <c r="W1605" s="22" t="s">
        <v>49</v>
      </c>
      <c r="X1605" s="3"/>
      <c r="Y1605" s="3"/>
      <c r="Z1605" s="3" t="s">
        <v>52</v>
      </c>
      <c r="AA1605" s="3"/>
      <c r="AB1605" s="3"/>
      <c r="AC1605" s="3" t="str">
        <f>HYPERLINK("https://knigipp.ru/api/getInfo/image/54611d4f-c101-11ee-a25a-00155d82e908")</f>
        <v>https://knigipp.ru/api/getInfo/image/54611d4f-c101-11ee-a25a-00155d82e908</v>
      </c>
      <c r="AD1605" s="32">
        <v>12</v>
      </c>
      <c r="AE1605" s="3"/>
      <c r="AF1605" s="3" t="s">
        <v>136</v>
      </c>
      <c r="AG1605" s="3"/>
      <c r="AH1605" s="3" t="s">
        <v>56</v>
      </c>
      <c r="AI1605" s="3"/>
      <c r="AJ1605" s="3"/>
      <c r="AK1605" s="3" t="str">
        <f>HYPERLINK("https://knigipp.ru/api/getInfo/item/54611d4f-c101-11ee-a25a-00155d82e908")</f>
        <v>https://knigipp.ru/api/getInfo/item/54611d4f-c101-11ee-a25a-00155d82e908</v>
      </c>
      <c r="AL1605" s="3" t="s">
        <v>628</v>
      </c>
    </row>
    <row r="1606" spans="1:38" ht="21" customHeight="1" outlineLevel="5" x14ac:dyDescent="0.2">
      <c r="A1606" s="39">
        <v>1215</v>
      </c>
      <c r="B1606" s="3" t="s">
        <v>6761</v>
      </c>
      <c r="C1606" s="49" t="s">
        <v>6762</v>
      </c>
      <c r="D1606" s="49"/>
      <c r="E1606" s="49"/>
      <c r="F1606" s="49"/>
      <c r="G1606" s="4" t="s">
        <v>6763</v>
      </c>
      <c r="H1606" s="8"/>
      <c r="I1606" s="9" t="s">
        <v>6759</v>
      </c>
      <c r="J1606" s="10"/>
      <c r="K1606" s="11">
        <v>30</v>
      </c>
      <c r="L1606" s="10"/>
      <c r="M1606" s="10" t="s">
        <v>47</v>
      </c>
      <c r="N1606" s="10"/>
      <c r="O1606" s="2">
        <v>10</v>
      </c>
      <c r="P1606" s="17">
        <f>95*(1-S3/100)</f>
        <v>95</v>
      </c>
      <c r="Q1606" s="18"/>
      <c r="R1606" s="10">
        <f t="shared" si="68"/>
        <v>0</v>
      </c>
      <c r="S1606" s="19">
        <f>0.034*Q1606</f>
        <v>0</v>
      </c>
      <c r="T1606" s="20">
        <f>0.00009*Q1606</f>
        <v>0</v>
      </c>
      <c r="U1606" s="21"/>
      <c r="V1606" s="22" t="s">
        <v>6764</v>
      </c>
      <c r="W1606" s="22" t="s">
        <v>49</v>
      </c>
      <c r="X1606" s="3"/>
      <c r="Y1606" s="3" t="s">
        <v>6765</v>
      </c>
      <c r="Z1606" s="3" t="s">
        <v>52</v>
      </c>
      <c r="AA1606" s="3"/>
      <c r="AB1606" s="3"/>
      <c r="AC1606" s="3" t="str">
        <f>HYPERLINK("https://knigipp.ru/api/getInfo/image/8d716b90-0658-11f0-a277-00155d82e908")</f>
        <v>https://knigipp.ru/api/getInfo/image/8d716b90-0658-11f0-a277-00155d82e908</v>
      </c>
      <c r="AD1606" s="32">
        <v>12</v>
      </c>
      <c r="AE1606" s="3"/>
      <c r="AF1606" s="3" t="s">
        <v>136</v>
      </c>
      <c r="AG1606" s="3"/>
      <c r="AH1606" s="3" t="s">
        <v>56</v>
      </c>
      <c r="AI1606" s="3"/>
      <c r="AJ1606" s="3"/>
      <c r="AK1606" s="3" t="str">
        <f>HYPERLINK("https://knigipp.ru/api/getInfo/item/8d716b90-0658-11f0-a277-00155d82e908")</f>
        <v>https://knigipp.ru/api/getInfo/item/8d716b90-0658-11f0-a277-00155d82e908</v>
      </c>
      <c r="AL1606" s="3" t="s">
        <v>628</v>
      </c>
    </row>
    <row r="1607" spans="1:38" ht="21" customHeight="1" outlineLevel="5" x14ac:dyDescent="0.2">
      <c r="A1607" s="39">
        <v>1216</v>
      </c>
      <c r="B1607" s="3" t="s">
        <v>6766</v>
      </c>
      <c r="C1607" s="49" t="s">
        <v>6767</v>
      </c>
      <c r="D1607" s="49"/>
      <c r="E1607" s="49"/>
      <c r="F1607" s="49"/>
      <c r="G1607" s="4" t="s">
        <v>6768</v>
      </c>
      <c r="H1607" s="8"/>
      <c r="I1607" s="9" t="s">
        <v>6759</v>
      </c>
      <c r="J1607" s="10"/>
      <c r="K1607" s="11">
        <v>30</v>
      </c>
      <c r="L1607" s="10"/>
      <c r="M1607" s="10" t="s">
        <v>47</v>
      </c>
      <c r="N1607" s="10"/>
      <c r="O1607" s="2">
        <v>10</v>
      </c>
      <c r="P1607" s="17">
        <f>95*(1-S3/100)</f>
        <v>95</v>
      </c>
      <c r="Q1607" s="18"/>
      <c r="R1607" s="10">
        <f t="shared" si="68"/>
        <v>0</v>
      </c>
      <c r="S1607" s="19">
        <f>0.034*Q1607</f>
        <v>0</v>
      </c>
      <c r="T1607" s="20">
        <f>0.00009*Q1607</f>
        <v>0</v>
      </c>
      <c r="U1607" s="21"/>
      <c r="V1607" s="22" t="s">
        <v>6769</v>
      </c>
      <c r="W1607" s="22" t="s">
        <v>49</v>
      </c>
      <c r="X1607" s="3"/>
      <c r="Y1607" s="3" t="s">
        <v>6765</v>
      </c>
      <c r="Z1607" s="3" t="s">
        <v>52</v>
      </c>
      <c r="AA1607" s="3"/>
      <c r="AB1607" s="3"/>
      <c r="AC1607" s="3" t="str">
        <f>HYPERLINK("https://knigipp.ru/api/getInfo/image/d865c716-0658-11f0-a277-00155d82e908")</f>
        <v>https://knigipp.ru/api/getInfo/image/d865c716-0658-11f0-a277-00155d82e908</v>
      </c>
      <c r="AD1607" s="32">
        <v>12</v>
      </c>
      <c r="AE1607" s="3"/>
      <c r="AF1607" s="3" t="s">
        <v>136</v>
      </c>
      <c r="AG1607" s="3"/>
      <c r="AH1607" s="3" t="s">
        <v>56</v>
      </c>
      <c r="AI1607" s="3"/>
      <c r="AJ1607" s="3"/>
      <c r="AK1607" s="3" t="str">
        <f>HYPERLINK("https://knigipp.ru/api/getInfo/item/d865c716-0658-11f0-a277-00155d82e908")</f>
        <v>https://knigipp.ru/api/getInfo/item/d865c716-0658-11f0-a277-00155d82e908</v>
      </c>
      <c r="AL1607" s="3" t="s">
        <v>628</v>
      </c>
    </row>
    <row r="1608" spans="1:38" ht="21" customHeight="1" outlineLevel="5" x14ac:dyDescent="0.2">
      <c r="A1608" s="39">
        <v>1217</v>
      </c>
      <c r="B1608" s="3" t="s">
        <v>6770</v>
      </c>
      <c r="C1608" s="49" t="s">
        <v>6771</v>
      </c>
      <c r="D1608" s="49"/>
      <c r="E1608" s="49"/>
      <c r="F1608" s="49"/>
      <c r="G1608" s="4" t="s">
        <v>6772</v>
      </c>
      <c r="H1608" s="8"/>
      <c r="I1608" s="9" t="s">
        <v>6759</v>
      </c>
      <c r="J1608" s="10"/>
      <c r="K1608" s="11">
        <v>30</v>
      </c>
      <c r="L1608" s="10"/>
      <c r="M1608" s="10" t="s">
        <v>47</v>
      </c>
      <c r="N1608" s="10"/>
      <c r="O1608" s="2">
        <v>10</v>
      </c>
      <c r="P1608" s="17">
        <f>95*(1-S3/100)</f>
        <v>95</v>
      </c>
      <c r="Q1608" s="18"/>
      <c r="R1608" s="10">
        <f t="shared" si="68"/>
        <v>0</v>
      </c>
      <c r="S1608" s="19">
        <f>0.036*Q1608</f>
        <v>0</v>
      </c>
      <c r="T1608" s="20">
        <f>0.00012*Q1608</f>
        <v>0</v>
      </c>
      <c r="U1608" s="21"/>
      <c r="V1608" s="22" t="s">
        <v>6773</v>
      </c>
      <c r="W1608" s="22" t="s">
        <v>49</v>
      </c>
      <c r="X1608" s="3"/>
      <c r="Y1608" s="3"/>
      <c r="Z1608" s="3" t="s">
        <v>52</v>
      </c>
      <c r="AA1608" s="3"/>
      <c r="AB1608" s="3"/>
      <c r="AC1608" s="3" t="str">
        <f>HYPERLINK("https://knigipp.ru/api/getInfo/image/bc31f9c0-c101-11ee-a25a-00155d82e908")</f>
        <v>https://knigipp.ru/api/getInfo/image/bc31f9c0-c101-11ee-a25a-00155d82e908</v>
      </c>
      <c r="AD1608" s="32">
        <v>12</v>
      </c>
      <c r="AE1608" s="3"/>
      <c r="AF1608" s="3" t="s">
        <v>136</v>
      </c>
      <c r="AG1608" s="3"/>
      <c r="AH1608" s="3" t="s">
        <v>56</v>
      </c>
      <c r="AI1608" s="3"/>
      <c r="AJ1608" s="3"/>
      <c r="AK1608" s="3" t="str">
        <f>HYPERLINK("https://knigipp.ru/api/getInfo/item/bc31f9c0-c101-11ee-a25a-00155d82e908")</f>
        <v>https://knigipp.ru/api/getInfo/item/bc31f9c0-c101-11ee-a25a-00155d82e908</v>
      </c>
      <c r="AL1608" s="3" t="s">
        <v>628</v>
      </c>
    </row>
    <row r="1609" spans="1:38" ht="21" customHeight="1" outlineLevel="5" x14ac:dyDescent="0.2">
      <c r="A1609" s="39">
        <v>1218</v>
      </c>
      <c r="B1609" s="3" t="s">
        <v>6774</v>
      </c>
      <c r="C1609" s="49" t="s">
        <v>6775</v>
      </c>
      <c r="D1609" s="49"/>
      <c r="E1609" s="49"/>
      <c r="F1609" s="49"/>
      <c r="G1609" s="4" t="s">
        <v>6776</v>
      </c>
      <c r="H1609" s="8"/>
      <c r="I1609" s="9" t="s">
        <v>6759</v>
      </c>
      <c r="J1609" s="10"/>
      <c r="K1609" s="11">
        <v>30</v>
      </c>
      <c r="L1609" s="10"/>
      <c r="M1609" s="10" t="s">
        <v>47</v>
      </c>
      <c r="N1609" s="10"/>
      <c r="O1609" s="2">
        <v>10</v>
      </c>
      <c r="P1609" s="17">
        <f>95*(1-S3/100)</f>
        <v>95</v>
      </c>
      <c r="Q1609" s="18"/>
      <c r="R1609" s="10">
        <f t="shared" si="68"/>
        <v>0</v>
      </c>
      <c r="S1609" s="19">
        <f>0.036*Q1609</f>
        <v>0</v>
      </c>
      <c r="T1609" s="20">
        <f>0.00009*Q1609</f>
        <v>0</v>
      </c>
      <c r="U1609" s="21"/>
      <c r="V1609" s="22" t="s">
        <v>6777</v>
      </c>
      <c r="W1609" s="22" t="s">
        <v>49</v>
      </c>
      <c r="X1609" s="3"/>
      <c r="Y1609" s="3" t="s">
        <v>6765</v>
      </c>
      <c r="Z1609" s="3" t="s">
        <v>52</v>
      </c>
      <c r="AA1609" s="3"/>
      <c r="AB1609" s="3"/>
      <c r="AC1609" s="3" t="str">
        <f>HYPERLINK("https://knigipp.ru/api/getInfo/image/6bda28f8-0658-11f0-a277-00155d82e908")</f>
        <v>https://knigipp.ru/api/getInfo/image/6bda28f8-0658-11f0-a277-00155d82e908</v>
      </c>
      <c r="AD1609" s="32">
        <v>12</v>
      </c>
      <c r="AE1609" s="3"/>
      <c r="AF1609" s="3" t="s">
        <v>136</v>
      </c>
      <c r="AG1609" s="3"/>
      <c r="AH1609" s="3" t="s">
        <v>56</v>
      </c>
      <c r="AI1609" s="3"/>
      <c r="AJ1609" s="3"/>
      <c r="AK1609" s="3" t="str">
        <f>HYPERLINK("https://knigipp.ru/api/getInfo/item/6bda28f8-0658-11f0-a277-00155d82e908")</f>
        <v>https://knigipp.ru/api/getInfo/item/6bda28f8-0658-11f0-a277-00155d82e908</v>
      </c>
      <c r="AL1609" s="3" t="s">
        <v>628</v>
      </c>
    </row>
    <row r="1610" spans="1:38" ht="21" customHeight="1" outlineLevel="5" x14ac:dyDescent="0.2">
      <c r="A1610" s="39">
        <v>1219</v>
      </c>
      <c r="B1610" s="3" t="s">
        <v>6778</v>
      </c>
      <c r="C1610" s="49" t="s">
        <v>6779</v>
      </c>
      <c r="D1610" s="49"/>
      <c r="E1610" s="49"/>
      <c r="F1610" s="49"/>
      <c r="G1610" s="4" t="s">
        <v>6780</v>
      </c>
      <c r="H1610" s="8"/>
      <c r="I1610" s="9" t="s">
        <v>6759</v>
      </c>
      <c r="J1610" s="10"/>
      <c r="K1610" s="11">
        <v>30</v>
      </c>
      <c r="L1610" s="10"/>
      <c r="M1610" s="10" t="s">
        <v>47</v>
      </c>
      <c r="N1610" s="10"/>
      <c r="O1610" s="2">
        <v>10</v>
      </c>
      <c r="P1610" s="17">
        <f>95*(1-S3/100)</f>
        <v>95</v>
      </c>
      <c r="Q1610" s="18"/>
      <c r="R1610" s="10">
        <f t="shared" si="68"/>
        <v>0</v>
      </c>
      <c r="S1610" s="19">
        <f>0.036*Q1610</f>
        <v>0</v>
      </c>
      <c r="T1610" s="20">
        <f>0.00003*Q1610</f>
        <v>0</v>
      </c>
      <c r="U1610" s="21"/>
      <c r="V1610" s="22" t="s">
        <v>6781</v>
      </c>
      <c r="W1610" s="22" t="s">
        <v>49</v>
      </c>
      <c r="X1610" s="3"/>
      <c r="Y1610" s="3" t="s">
        <v>6765</v>
      </c>
      <c r="Z1610" s="3" t="s">
        <v>52</v>
      </c>
      <c r="AA1610" s="3"/>
      <c r="AB1610" s="3"/>
      <c r="AC1610" s="3" t="str">
        <f>HYPERLINK("https://knigipp.ru/api/getInfo/image/a8c7c1ac-0658-11f0-a277-00155d82e908")</f>
        <v>https://knigipp.ru/api/getInfo/image/a8c7c1ac-0658-11f0-a277-00155d82e908</v>
      </c>
      <c r="AD1610" s="32">
        <v>12</v>
      </c>
      <c r="AE1610" s="3"/>
      <c r="AF1610" s="3" t="s">
        <v>136</v>
      </c>
      <c r="AG1610" s="3"/>
      <c r="AH1610" s="3" t="s">
        <v>56</v>
      </c>
      <c r="AI1610" s="3"/>
      <c r="AJ1610" s="3"/>
      <c r="AK1610" s="3" t="str">
        <f>HYPERLINK("https://knigipp.ru/api/getInfo/item/a8c7c1ac-0658-11f0-a277-00155d82e908")</f>
        <v>https://knigipp.ru/api/getInfo/item/a8c7c1ac-0658-11f0-a277-00155d82e908</v>
      </c>
      <c r="AL1610" s="3" t="s">
        <v>628</v>
      </c>
    </row>
    <row r="1611" spans="1:38" ht="21" customHeight="1" outlineLevel="5" x14ac:dyDescent="0.2">
      <c r="A1611" s="39">
        <v>1220</v>
      </c>
      <c r="B1611" s="3" t="s">
        <v>6782</v>
      </c>
      <c r="C1611" s="49" t="s">
        <v>6783</v>
      </c>
      <c r="D1611" s="49"/>
      <c r="E1611" s="49"/>
      <c r="F1611" s="49"/>
      <c r="G1611" s="4" t="s">
        <v>6784</v>
      </c>
      <c r="H1611" s="8"/>
      <c r="I1611" s="9" t="s">
        <v>6759</v>
      </c>
      <c r="J1611" s="10"/>
      <c r="K1611" s="11">
        <v>30</v>
      </c>
      <c r="L1611" s="10"/>
      <c r="M1611" s="10" t="s">
        <v>47</v>
      </c>
      <c r="N1611" s="10"/>
      <c r="O1611" s="2">
        <v>10</v>
      </c>
      <c r="P1611" s="17">
        <f>95*(1-S3/100)</f>
        <v>95</v>
      </c>
      <c r="Q1611" s="18"/>
      <c r="R1611" s="10">
        <f t="shared" si="68"/>
        <v>0</v>
      </c>
      <c r="S1611" s="19">
        <f>0.033*Q1611</f>
        <v>0</v>
      </c>
      <c r="T1611" s="20">
        <f>0.00003*Q1611</f>
        <v>0</v>
      </c>
      <c r="U1611" s="21"/>
      <c r="V1611" s="22" t="s">
        <v>6785</v>
      </c>
      <c r="W1611" s="22" t="s">
        <v>49</v>
      </c>
      <c r="X1611" s="3"/>
      <c r="Y1611" s="3"/>
      <c r="Z1611" s="3" t="s">
        <v>52</v>
      </c>
      <c r="AA1611" s="3"/>
      <c r="AB1611" s="3"/>
      <c r="AC1611" s="3" t="str">
        <f>HYPERLINK("https://knigipp.ru/api/getInfo/image/9cdfdb47-c101-11ee-a25a-00155d82e908")</f>
        <v>https://knigipp.ru/api/getInfo/image/9cdfdb47-c101-11ee-a25a-00155d82e908</v>
      </c>
      <c r="AD1611" s="32">
        <v>12</v>
      </c>
      <c r="AE1611" s="3"/>
      <c r="AF1611" s="3" t="s">
        <v>136</v>
      </c>
      <c r="AG1611" s="3"/>
      <c r="AH1611" s="3" t="s">
        <v>56</v>
      </c>
      <c r="AI1611" s="3"/>
      <c r="AJ1611" s="3"/>
      <c r="AK1611" s="3" t="str">
        <f>HYPERLINK("https://knigipp.ru/api/getInfo/item/9cdfdb47-c101-11ee-a25a-00155d82e908")</f>
        <v>https://knigipp.ru/api/getInfo/item/9cdfdb47-c101-11ee-a25a-00155d82e908</v>
      </c>
      <c r="AL1611" s="3" t="s">
        <v>628</v>
      </c>
    </row>
    <row r="1612" spans="1:38" ht="21" customHeight="1" outlineLevel="5" x14ac:dyDescent="0.2">
      <c r="A1612" s="39">
        <v>1221</v>
      </c>
      <c r="B1612" s="3" t="s">
        <v>6786</v>
      </c>
      <c r="C1612" s="49" t="s">
        <v>6787</v>
      </c>
      <c r="D1612" s="49"/>
      <c r="E1612" s="49"/>
      <c r="F1612" s="49"/>
      <c r="G1612" s="4" t="s">
        <v>6788</v>
      </c>
      <c r="H1612" s="8"/>
      <c r="I1612" s="9" t="s">
        <v>6759</v>
      </c>
      <c r="J1612" s="10"/>
      <c r="K1612" s="11">
        <v>30</v>
      </c>
      <c r="L1612" s="10"/>
      <c r="M1612" s="10" t="s">
        <v>47</v>
      </c>
      <c r="N1612" s="10"/>
      <c r="O1612" s="2">
        <v>10</v>
      </c>
      <c r="P1612" s="17">
        <f>95*(1-S3/100)</f>
        <v>95</v>
      </c>
      <c r="Q1612" s="18"/>
      <c r="R1612" s="10">
        <f t="shared" si="68"/>
        <v>0</v>
      </c>
      <c r="S1612" s="19">
        <f>0.035*Q1612</f>
        <v>0</v>
      </c>
      <c r="T1612" s="20">
        <f>0.00003*Q1612</f>
        <v>0</v>
      </c>
      <c r="U1612" s="21"/>
      <c r="V1612" s="22" t="s">
        <v>6789</v>
      </c>
      <c r="W1612" s="22" t="s">
        <v>49</v>
      </c>
      <c r="X1612" s="3"/>
      <c r="Y1612" s="3"/>
      <c r="Z1612" s="3" t="s">
        <v>52</v>
      </c>
      <c r="AA1612" s="3"/>
      <c r="AB1612" s="3"/>
      <c r="AC1612" s="3" t="str">
        <f>HYPERLINK("https://knigipp.ru/api/getInfo/image/7a205864-c101-11ee-a25a-00155d82e908")</f>
        <v>https://knigipp.ru/api/getInfo/image/7a205864-c101-11ee-a25a-00155d82e908</v>
      </c>
      <c r="AD1612" s="32">
        <v>12</v>
      </c>
      <c r="AE1612" s="3"/>
      <c r="AF1612" s="3" t="s">
        <v>136</v>
      </c>
      <c r="AG1612" s="3"/>
      <c r="AH1612" s="3" t="s">
        <v>56</v>
      </c>
      <c r="AI1612" s="3"/>
      <c r="AJ1612" s="3"/>
      <c r="AK1612" s="3" t="str">
        <f>HYPERLINK("https://knigipp.ru/api/getInfo/item/7a205864-c101-11ee-a25a-00155d82e908")</f>
        <v>https://knigipp.ru/api/getInfo/item/7a205864-c101-11ee-a25a-00155d82e908</v>
      </c>
      <c r="AL1612" s="3" t="s">
        <v>628</v>
      </c>
    </row>
    <row r="1613" spans="1:38" ht="23.1" customHeight="1" outlineLevel="4" x14ac:dyDescent="0.2">
      <c r="A1613" s="55" t="s">
        <v>6790</v>
      </c>
      <c r="B1613" s="55"/>
      <c r="C1613" s="55"/>
      <c r="D1613" s="55"/>
      <c r="E1613" s="55"/>
      <c r="F1613" s="55"/>
    </row>
    <row r="1614" spans="1:38" ht="21" customHeight="1" outlineLevel="5" x14ac:dyDescent="0.2">
      <c r="A1614" s="40">
        <v>1222</v>
      </c>
      <c r="B1614" s="6" t="s">
        <v>6791</v>
      </c>
      <c r="C1614" s="54" t="s">
        <v>6792</v>
      </c>
      <c r="D1614" s="54"/>
      <c r="E1614" s="54"/>
      <c r="F1614" s="54"/>
      <c r="G1614" s="7" t="s">
        <v>6793</v>
      </c>
      <c r="H1614" s="12"/>
      <c r="I1614" s="13" t="s">
        <v>1095</v>
      </c>
      <c r="J1614" s="14"/>
      <c r="K1614" s="15">
        <v>30</v>
      </c>
      <c r="L1614" s="14"/>
      <c r="M1614" s="14" t="s">
        <v>47</v>
      </c>
      <c r="N1614" s="14"/>
      <c r="O1614" s="5">
        <v>3</v>
      </c>
      <c r="P1614" s="23">
        <f>147*(1-S3/100)</f>
        <v>147</v>
      </c>
      <c r="Q1614" s="18"/>
      <c r="R1614" s="14">
        <f>P1614*Q1614</f>
        <v>0</v>
      </c>
      <c r="S1614" s="36">
        <f>0.07*Q1614</f>
        <v>0</v>
      </c>
      <c r="T1614" s="25">
        <f>0.00015*Q1614</f>
        <v>0</v>
      </c>
      <c r="U1614" s="26" t="s">
        <v>62</v>
      </c>
      <c r="V1614" s="27" t="s">
        <v>6794</v>
      </c>
      <c r="W1614" s="27" t="s">
        <v>49</v>
      </c>
      <c r="X1614" s="6"/>
      <c r="Y1614" s="6" t="s">
        <v>6795</v>
      </c>
      <c r="Z1614" s="6" t="s">
        <v>52</v>
      </c>
      <c r="AA1614" s="6"/>
      <c r="AB1614" s="6"/>
      <c r="AC1614" s="6" t="str">
        <f>HYPERLINK("https://knigipp.ru/api/getInfo/image/517ad530-2910-11f1-a291-00155d82e908")</f>
        <v>https://knigipp.ru/api/getInfo/image/517ad530-2910-11f1-a291-00155d82e908</v>
      </c>
      <c r="AD1614" s="33">
        <v>12</v>
      </c>
      <c r="AE1614" s="6" t="s">
        <v>54</v>
      </c>
      <c r="AF1614" s="6" t="s">
        <v>136</v>
      </c>
      <c r="AG1614" s="6"/>
      <c r="AH1614" s="6" t="s">
        <v>56</v>
      </c>
      <c r="AI1614" s="6"/>
      <c r="AJ1614" s="6"/>
      <c r="AK1614" s="6" t="str">
        <f>HYPERLINK("https://knigipp.ru/api/getInfo/item/517ad530-2910-11f1-a291-00155d82e908")</f>
        <v>https://knigipp.ru/api/getInfo/item/517ad530-2910-11f1-a291-00155d82e908</v>
      </c>
      <c r="AL1614" s="6" t="s">
        <v>6796</v>
      </c>
    </row>
    <row r="1615" spans="1:38" ht="21" customHeight="1" outlineLevel="5" x14ac:dyDescent="0.2">
      <c r="A1615" s="39">
        <v>1223</v>
      </c>
      <c r="B1615" s="3" t="s">
        <v>6797</v>
      </c>
      <c r="C1615" s="49" t="s">
        <v>6798</v>
      </c>
      <c r="D1615" s="49"/>
      <c r="E1615" s="49"/>
      <c r="F1615" s="49"/>
      <c r="G1615" s="4" t="s">
        <v>6799</v>
      </c>
      <c r="H1615" s="8"/>
      <c r="I1615" s="9" t="s">
        <v>6800</v>
      </c>
      <c r="J1615" s="10"/>
      <c r="K1615" s="11">
        <v>30</v>
      </c>
      <c r="L1615" s="10"/>
      <c r="M1615" s="10" t="s">
        <v>47</v>
      </c>
      <c r="N1615" s="10"/>
      <c r="O1615" s="2">
        <v>3</v>
      </c>
      <c r="P1615" s="17">
        <f>147*(1-S3/100)</f>
        <v>147</v>
      </c>
      <c r="Q1615" s="18"/>
      <c r="R1615" s="10">
        <f>P1615*Q1615</f>
        <v>0</v>
      </c>
      <c r="S1615" s="19">
        <f>0.069*Q1615</f>
        <v>0</v>
      </c>
      <c r="T1615" s="20">
        <f>0.00021*Q1615</f>
        <v>0</v>
      </c>
      <c r="U1615" s="21"/>
      <c r="V1615" s="22" t="s">
        <v>6801</v>
      </c>
      <c r="W1615" s="22" t="s">
        <v>49</v>
      </c>
      <c r="X1615" s="3"/>
      <c r="Y1615" s="3" t="s">
        <v>6802</v>
      </c>
      <c r="Z1615" s="3" t="s">
        <v>52</v>
      </c>
      <c r="AA1615" s="3"/>
      <c r="AB1615" s="3"/>
      <c r="AC1615" s="3" t="str">
        <f>HYPERLINK("https://knigipp.ru/api/getInfo/image/5a798f2e-b665-11f0-a286-00155d82e908")</f>
        <v>https://knigipp.ru/api/getInfo/image/5a798f2e-b665-11f0-a286-00155d82e908</v>
      </c>
      <c r="AD1615" s="32">
        <v>12</v>
      </c>
      <c r="AE1615" s="3" t="s">
        <v>54</v>
      </c>
      <c r="AF1615" s="3" t="s">
        <v>136</v>
      </c>
      <c r="AG1615" s="3"/>
      <c r="AH1615" s="3" t="s">
        <v>56</v>
      </c>
      <c r="AI1615" s="3"/>
      <c r="AJ1615" s="3"/>
      <c r="AK1615" s="3" t="str">
        <f>HYPERLINK("https://knigipp.ru/api/getInfo/item/5a798f2e-b665-11f0-a286-00155d82e908")</f>
        <v>https://knigipp.ru/api/getInfo/item/5a798f2e-b665-11f0-a286-00155d82e908</v>
      </c>
      <c r="AL1615" s="3" t="s">
        <v>6796</v>
      </c>
    </row>
    <row r="1616" spans="1:38" ht="21" customHeight="1" outlineLevel="5" x14ac:dyDescent="0.2">
      <c r="A1616" s="39">
        <v>1224</v>
      </c>
      <c r="B1616" s="3" t="s">
        <v>6803</v>
      </c>
      <c r="C1616" s="49" t="s">
        <v>6804</v>
      </c>
      <c r="D1616" s="49"/>
      <c r="E1616" s="49"/>
      <c r="F1616" s="49"/>
      <c r="G1616" s="4" t="s">
        <v>6805</v>
      </c>
      <c r="H1616" s="8"/>
      <c r="I1616" s="9" t="s">
        <v>1111</v>
      </c>
      <c r="J1616" s="10"/>
      <c r="K1616" s="11">
        <v>30</v>
      </c>
      <c r="L1616" s="10"/>
      <c r="M1616" s="10" t="s">
        <v>47</v>
      </c>
      <c r="N1616" s="10"/>
      <c r="O1616" s="2">
        <v>3</v>
      </c>
      <c r="P1616" s="17">
        <f>147*(1-S3/100)</f>
        <v>147</v>
      </c>
      <c r="Q1616" s="18"/>
      <c r="R1616" s="10">
        <f>P1616*Q1616</f>
        <v>0</v>
      </c>
      <c r="S1616" s="19">
        <f>0.067*Q1616</f>
        <v>0</v>
      </c>
      <c r="T1616" s="30">
        <f>0.0001*Q1616</f>
        <v>0</v>
      </c>
      <c r="U1616" s="21"/>
      <c r="V1616" s="22" t="s">
        <v>6806</v>
      </c>
      <c r="W1616" s="22" t="s">
        <v>49</v>
      </c>
      <c r="X1616" s="3"/>
      <c r="Y1616" s="3" t="s">
        <v>6807</v>
      </c>
      <c r="Z1616" s="3" t="s">
        <v>52</v>
      </c>
      <c r="AA1616" s="3"/>
      <c r="AB1616" s="3"/>
      <c r="AC1616" s="3" t="str">
        <f>HYPERLINK("https://knigipp.ru/api/getInfo/image/a90b36f6-b665-11f0-a286-00155d82e908")</f>
        <v>https://knigipp.ru/api/getInfo/image/a90b36f6-b665-11f0-a286-00155d82e908</v>
      </c>
      <c r="AD1616" s="32">
        <v>12</v>
      </c>
      <c r="AE1616" s="3" t="s">
        <v>54</v>
      </c>
      <c r="AF1616" s="3" t="s">
        <v>136</v>
      </c>
      <c r="AG1616" s="3"/>
      <c r="AH1616" s="3" t="s">
        <v>56</v>
      </c>
      <c r="AI1616" s="3"/>
      <c r="AJ1616" s="3"/>
      <c r="AK1616" s="3" t="str">
        <f>HYPERLINK("https://knigipp.ru/api/getInfo/item/a90b36f6-b665-11f0-a286-00155d82e908")</f>
        <v>https://knigipp.ru/api/getInfo/item/a90b36f6-b665-11f0-a286-00155d82e908</v>
      </c>
      <c r="AL1616" s="3" t="s">
        <v>6796</v>
      </c>
    </row>
    <row r="1617" spans="1:38" ht="23.1" customHeight="1" outlineLevel="4" x14ac:dyDescent="0.2">
      <c r="A1617" s="55" t="s">
        <v>6808</v>
      </c>
      <c r="B1617" s="55"/>
      <c r="C1617" s="55"/>
      <c r="D1617" s="55"/>
      <c r="E1617" s="55"/>
      <c r="F1617" s="55"/>
    </row>
    <row r="1618" spans="1:38" ht="21" customHeight="1" outlineLevel="5" x14ac:dyDescent="0.2">
      <c r="A1618" s="39">
        <v>1225</v>
      </c>
      <c r="B1618" s="3" t="s">
        <v>6809</v>
      </c>
      <c r="C1618" s="49" t="s">
        <v>6810</v>
      </c>
      <c r="D1618" s="49"/>
      <c r="E1618" s="49"/>
      <c r="F1618" s="49"/>
      <c r="G1618" s="4" t="s">
        <v>6811</v>
      </c>
      <c r="H1618" s="8"/>
      <c r="I1618" s="9" t="s">
        <v>6812</v>
      </c>
      <c r="J1618" s="10"/>
      <c r="K1618" s="11">
        <v>10</v>
      </c>
      <c r="L1618" s="10"/>
      <c r="M1618" s="10" t="s">
        <v>47</v>
      </c>
      <c r="N1618" s="10"/>
      <c r="O1618" s="2">
        <v>2</v>
      </c>
      <c r="P1618" s="17">
        <f>327*(1-S3/100)</f>
        <v>327</v>
      </c>
      <c r="Q1618" s="18"/>
      <c r="R1618" s="10">
        <f>P1618*Q1618</f>
        <v>0</v>
      </c>
      <c r="S1618" s="19">
        <f>0.114*Q1618</f>
        <v>0</v>
      </c>
      <c r="T1618" s="20">
        <f>0.00097*Q1618</f>
        <v>0</v>
      </c>
      <c r="U1618" s="21"/>
      <c r="V1618" s="22" t="s">
        <v>6813</v>
      </c>
      <c r="W1618" s="22" t="s">
        <v>49</v>
      </c>
      <c r="X1618" s="3"/>
      <c r="Y1618" s="3"/>
      <c r="Z1618" s="3" t="s">
        <v>52</v>
      </c>
      <c r="AA1618" s="3" t="s">
        <v>6814</v>
      </c>
      <c r="AB1618" s="3"/>
      <c r="AC1618" s="3" t="str">
        <f>HYPERLINK("https://knigipp.ru/api/getInfo/image/55c7adb0-48ea-11ef-a262-00155d82e908")</f>
        <v>https://knigipp.ru/api/getInfo/image/55c7adb0-48ea-11ef-a262-00155d82e908</v>
      </c>
      <c r="AD1618" s="32">
        <v>24</v>
      </c>
      <c r="AE1618" s="3" t="s">
        <v>54</v>
      </c>
      <c r="AF1618" s="3" t="s">
        <v>55</v>
      </c>
      <c r="AG1618" s="3"/>
      <c r="AH1618" s="3" t="s">
        <v>56</v>
      </c>
      <c r="AI1618" s="3"/>
      <c r="AJ1618" s="3"/>
      <c r="AK1618" s="3" t="str">
        <f>HYPERLINK("https://knigipp.ru/api/getInfo/item/55c7adb0-48ea-11ef-a262-00155d82e908")</f>
        <v>https://knigipp.ru/api/getInfo/item/55c7adb0-48ea-11ef-a262-00155d82e908</v>
      </c>
      <c r="AL1618" s="3" t="s">
        <v>6815</v>
      </c>
    </row>
    <row r="1619" spans="1:38" ht="21" customHeight="1" outlineLevel="5" x14ac:dyDescent="0.2">
      <c r="A1619" s="39">
        <v>1226</v>
      </c>
      <c r="B1619" s="3" t="s">
        <v>6816</v>
      </c>
      <c r="C1619" s="49" t="s">
        <v>6817</v>
      </c>
      <c r="D1619" s="49"/>
      <c r="E1619" s="49"/>
      <c r="F1619" s="49"/>
      <c r="G1619" s="4" t="s">
        <v>6818</v>
      </c>
      <c r="H1619" s="8"/>
      <c r="I1619" s="9" t="s">
        <v>6812</v>
      </c>
      <c r="J1619" s="10"/>
      <c r="K1619" s="11">
        <v>10</v>
      </c>
      <c r="L1619" s="10"/>
      <c r="M1619" s="10" t="s">
        <v>47</v>
      </c>
      <c r="N1619" s="10"/>
      <c r="O1619" s="2">
        <v>2</v>
      </c>
      <c r="P1619" s="17">
        <f>327*(1-S3/100)</f>
        <v>327</v>
      </c>
      <c r="Q1619" s="18"/>
      <c r="R1619" s="10">
        <f>P1619*Q1619</f>
        <v>0</v>
      </c>
      <c r="S1619" s="19">
        <f>0.114*Q1619</f>
        <v>0</v>
      </c>
      <c r="T1619" s="20">
        <f>0.00097*Q1619</f>
        <v>0</v>
      </c>
      <c r="U1619" s="21"/>
      <c r="V1619" s="22" t="s">
        <v>6819</v>
      </c>
      <c r="W1619" s="22" t="s">
        <v>49</v>
      </c>
      <c r="X1619" s="3"/>
      <c r="Y1619" s="3"/>
      <c r="Z1619" s="3" t="s">
        <v>52</v>
      </c>
      <c r="AA1619" s="3"/>
      <c r="AB1619" s="3"/>
      <c r="AC1619" s="3" t="str">
        <f>HYPERLINK("https://knigipp.ru/api/getInfo/image/7acf51ed-48ea-11ef-a262-00155d82e908")</f>
        <v>https://knigipp.ru/api/getInfo/image/7acf51ed-48ea-11ef-a262-00155d82e908</v>
      </c>
      <c r="AD1619" s="32">
        <v>24</v>
      </c>
      <c r="AE1619" s="3" t="s">
        <v>54</v>
      </c>
      <c r="AF1619" s="3" t="s">
        <v>55</v>
      </c>
      <c r="AG1619" s="3"/>
      <c r="AH1619" s="3" t="s">
        <v>56</v>
      </c>
      <c r="AI1619" s="3"/>
      <c r="AJ1619" s="3"/>
      <c r="AK1619" s="3" t="str">
        <f>HYPERLINK("https://knigipp.ru/api/getInfo/item/7acf51ed-48ea-11ef-a262-00155d82e908")</f>
        <v>https://knigipp.ru/api/getInfo/item/7acf51ed-48ea-11ef-a262-00155d82e908</v>
      </c>
      <c r="AL1619" s="3" t="s">
        <v>6815</v>
      </c>
    </row>
    <row r="1620" spans="1:38" ht="23.1" customHeight="1" outlineLevel="4" x14ac:dyDescent="0.2">
      <c r="A1620" s="55" t="s">
        <v>6820</v>
      </c>
      <c r="B1620" s="55"/>
      <c r="C1620" s="55"/>
      <c r="D1620" s="55"/>
      <c r="E1620" s="55"/>
      <c r="F1620" s="55"/>
    </row>
    <row r="1621" spans="1:38" ht="21" customHeight="1" outlineLevel="5" x14ac:dyDescent="0.2">
      <c r="A1621" s="39">
        <v>1227</v>
      </c>
      <c r="B1621" s="3" t="s">
        <v>6821</v>
      </c>
      <c r="C1621" s="49" t="s">
        <v>6822</v>
      </c>
      <c r="D1621" s="49"/>
      <c r="E1621" s="49"/>
      <c r="F1621" s="49"/>
      <c r="G1621" s="4" t="s">
        <v>6823</v>
      </c>
      <c r="H1621" s="8"/>
      <c r="I1621" s="9" t="s">
        <v>6824</v>
      </c>
      <c r="J1621" s="10"/>
      <c r="K1621" s="11">
        <v>30</v>
      </c>
      <c r="L1621" s="10"/>
      <c r="M1621" s="10" t="s">
        <v>47</v>
      </c>
      <c r="N1621" s="10"/>
      <c r="O1621" s="2">
        <v>6</v>
      </c>
      <c r="P1621" s="17">
        <f>109*(1-S3/100)</f>
        <v>109</v>
      </c>
      <c r="Q1621" s="18"/>
      <c r="R1621" s="10">
        <f>P1621*Q1621</f>
        <v>0</v>
      </c>
      <c r="S1621" s="19">
        <f>0.062*Q1621</f>
        <v>0</v>
      </c>
      <c r="T1621" s="20">
        <f>0.00021*Q1621</f>
        <v>0</v>
      </c>
      <c r="U1621" s="21"/>
      <c r="V1621" s="22" t="s">
        <v>6825</v>
      </c>
      <c r="W1621" s="22" t="s">
        <v>49</v>
      </c>
      <c r="X1621" s="3"/>
      <c r="Y1621" s="3" t="s">
        <v>6826</v>
      </c>
      <c r="Z1621" s="3" t="s">
        <v>52</v>
      </c>
      <c r="AA1621" s="3"/>
      <c r="AB1621" s="3"/>
      <c r="AC1621" s="3" t="str">
        <f>HYPERLINK("https://knigipp.ru/api/getInfo/image/8fde9c93-edd9-11ee-a25b-00155d82e908")</f>
        <v>https://knigipp.ru/api/getInfo/image/8fde9c93-edd9-11ee-a25b-00155d82e908</v>
      </c>
      <c r="AD1621" s="32">
        <v>12</v>
      </c>
      <c r="AE1621" s="3" t="s">
        <v>54</v>
      </c>
      <c r="AF1621" s="3" t="s">
        <v>136</v>
      </c>
      <c r="AG1621" s="3"/>
      <c r="AH1621" s="3" t="s">
        <v>56</v>
      </c>
      <c r="AI1621" s="3"/>
      <c r="AJ1621" s="3"/>
      <c r="AK1621" s="3" t="str">
        <f>HYPERLINK("https://knigipp.ru/api/getInfo/item/8fde9c93-edd9-11ee-a25b-00155d82e908")</f>
        <v>https://knigipp.ru/api/getInfo/item/8fde9c93-edd9-11ee-a25b-00155d82e908</v>
      </c>
      <c r="AL1621" s="3" t="s">
        <v>6827</v>
      </c>
    </row>
    <row r="1622" spans="1:38" ht="21" customHeight="1" outlineLevel="5" x14ac:dyDescent="0.2">
      <c r="A1622" s="39">
        <v>1228</v>
      </c>
      <c r="B1622" s="3" t="s">
        <v>6828</v>
      </c>
      <c r="C1622" s="49" t="s">
        <v>6829</v>
      </c>
      <c r="D1622" s="49"/>
      <c r="E1622" s="49"/>
      <c r="F1622" s="49"/>
      <c r="G1622" s="4" t="s">
        <v>6830</v>
      </c>
      <c r="H1622" s="8"/>
      <c r="I1622" s="9" t="s">
        <v>6824</v>
      </c>
      <c r="J1622" s="10"/>
      <c r="K1622" s="11">
        <v>30</v>
      </c>
      <c r="L1622" s="10"/>
      <c r="M1622" s="10" t="s">
        <v>47</v>
      </c>
      <c r="N1622" s="10"/>
      <c r="O1622" s="2">
        <v>6</v>
      </c>
      <c r="P1622" s="17">
        <f>109*(1-S3/100)</f>
        <v>109</v>
      </c>
      <c r="Q1622" s="18"/>
      <c r="R1622" s="10">
        <f>P1622*Q1622</f>
        <v>0</v>
      </c>
      <c r="S1622" s="19">
        <f>0.065*Q1622</f>
        <v>0</v>
      </c>
      <c r="T1622" s="20">
        <f>0.00041*Q1622</f>
        <v>0</v>
      </c>
      <c r="U1622" s="21"/>
      <c r="V1622" s="22" t="s">
        <v>6831</v>
      </c>
      <c r="W1622" s="22" t="s">
        <v>49</v>
      </c>
      <c r="X1622" s="3"/>
      <c r="Y1622" s="3" t="s">
        <v>6832</v>
      </c>
      <c r="Z1622" s="3" t="s">
        <v>52</v>
      </c>
      <c r="AA1622" s="3"/>
      <c r="AB1622" s="3"/>
      <c r="AC1622" s="3" t="str">
        <f>HYPERLINK("https://knigipp.ru/api/getInfo/image/6c2987f2-edd9-11ee-a25b-00155d82e908")</f>
        <v>https://knigipp.ru/api/getInfo/image/6c2987f2-edd9-11ee-a25b-00155d82e908</v>
      </c>
      <c r="AD1622" s="32">
        <v>12</v>
      </c>
      <c r="AE1622" s="3" t="s">
        <v>54</v>
      </c>
      <c r="AF1622" s="3" t="s">
        <v>136</v>
      </c>
      <c r="AG1622" s="3"/>
      <c r="AH1622" s="3" t="s">
        <v>56</v>
      </c>
      <c r="AI1622" s="3"/>
      <c r="AJ1622" s="3"/>
      <c r="AK1622" s="3" t="str">
        <f>HYPERLINK("https://knigipp.ru/api/getInfo/item/6c2987f2-edd9-11ee-a25b-00155d82e908")</f>
        <v>https://knigipp.ru/api/getInfo/item/6c2987f2-edd9-11ee-a25b-00155d82e908</v>
      </c>
      <c r="AL1622" s="3" t="s">
        <v>6827</v>
      </c>
    </row>
    <row r="1623" spans="1:38" ht="21" customHeight="1" outlineLevel="5" x14ac:dyDescent="0.2">
      <c r="A1623" s="39">
        <v>1229</v>
      </c>
      <c r="B1623" s="3" t="s">
        <v>6833</v>
      </c>
      <c r="C1623" s="49" t="s">
        <v>6834</v>
      </c>
      <c r="D1623" s="49"/>
      <c r="E1623" s="49"/>
      <c r="F1623" s="49"/>
      <c r="G1623" s="4" t="s">
        <v>6835</v>
      </c>
      <c r="H1623" s="8"/>
      <c r="I1623" s="9" t="s">
        <v>6836</v>
      </c>
      <c r="J1623" s="10"/>
      <c r="K1623" s="11">
        <v>30</v>
      </c>
      <c r="L1623" s="10"/>
      <c r="M1623" s="10" t="s">
        <v>47</v>
      </c>
      <c r="N1623" s="10"/>
      <c r="O1623" s="2">
        <v>6</v>
      </c>
      <c r="P1623" s="17">
        <f>109*(1-S3/100)</f>
        <v>109</v>
      </c>
      <c r="Q1623" s="18"/>
      <c r="R1623" s="10">
        <f>P1623*Q1623</f>
        <v>0</v>
      </c>
      <c r="S1623" s="19">
        <f>0.068*Q1623</f>
        <v>0</v>
      </c>
      <c r="T1623" s="20">
        <f>0.00015*Q1623</f>
        <v>0</v>
      </c>
      <c r="U1623" s="21"/>
      <c r="V1623" s="22" t="s">
        <v>6837</v>
      </c>
      <c r="W1623" s="22" t="s">
        <v>49</v>
      </c>
      <c r="X1623" s="3"/>
      <c r="Y1623" s="3"/>
      <c r="Z1623" s="3" t="s">
        <v>52</v>
      </c>
      <c r="AA1623" s="3"/>
      <c r="AB1623" s="3"/>
      <c r="AC1623" s="3" t="str">
        <f>HYPERLINK("https://knigipp.ru/api/getInfo/image/fd8d8060-8866-11ee-a249-00155d82e902")</f>
        <v>https://knigipp.ru/api/getInfo/image/fd8d8060-8866-11ee-a249-00155d82e902</v>
      </c>
      <c r="AD1623" s="32">
        <v>12</v>
      </c>
      <c r="AE1623" s="3" t="s">
        <v>54</v>
      </c>
      <c r="AF1623" s="3" t="s">
        <v>136</v>
      </c>
      <c r="AG1623" s="3"/>
      <c r="AH1623" s="3" t="s">
        <v>56</v>
      </c>
      <c r="AI1623" s="3"/>
      <c r="AJ1623" s="3"/>
      <c r="AK1623" s="3" t="str">
        <f>HYPERLINK("https://knigipp.ru/api/getInfo/item/fd8d8060-8866-11ee-a249-00155d82e902")</f>
        <v>https://knigipp.ru/api/getInfo/item/fd8d8060-8866-11ee-a249-00155d82e902</v>
      </c>
      <c r="AL1623" s="3" t="s">
        <v>6827</v>
      </c>
    </row>
    <row r="1624" spans="1:38" ht="21" customHeight="1" outlineLevel="5" x14ac:dyDescent="0.2">
      <c r="A1624" s="39">
        <v>1230</v>
      </c>
      <c r="B1624" s="3" t="s">
        <v>6838</v>
      </c>
      <c r="C1624" s="49" t="s">
        <v>6839</v>
      </c>
      <c r="D1624" s="49"/>
      <c r="E1624" s="49"/>
      <c r="F1624" s="49"/>
      <c r="G1624" s="4" t="s">
        <v>6840</v>
      </c>
      <c r="H1624" s="8"/>
      <c r="I1624" s="9" t="s">
        <v>6836</v>
      </c>
      <c r="J1624" s="10"/>
      <c r="K1624" s="11">
        <v>30</v>
      </c>
      <c r="L1624" s="10"/>
      <c r="M1624" s="10" t="s">
        <v>304</v>
      </c>
      <c r="N1624" s="10"/>
      <c r="O1624" s="2">
        <v>6</v>
      </c>
      <c r="P1624" s="17">
        <f>109*(1-S3/100)</f>
        <v>109</v>
      </c>
      <c r="Q1624" s="18"/>
      <c r="R1624" s="10">
        <f>P1624*Q1624</f>
        <v>0</v>
      </c>
      <c r="S1624" s="19">
        <f>0.062*Q1624</f>
        <v>0</v>
      </c>
      <c r="T1624" s="20">
        <f>0.00021*Q1624</f>
        <v>0</v>
      </c>
      <c r="U1624" s="21"/>
      <c r="V1624" s="22" t="s">
        <v>6841</v>
      </c>
      <c r="W1624" s="22" t="s">
        <v>49</v>
      </c>
      <c r="X1624" s="3"/>
      <c r="Y1624" s="3"/>
      <c r="Z1624" s="3" t="s">
        <v>52</v>
      </c>
      <c r="AA1624" s="3"/>
      <c r="AB1624" s="3"/>
      <c r="AC1624" s="3" t="str">
        <f>HYPERLINK("https://knigipp.ru/api/getInfo/image/d01b9016-8866-11ee-a249-00155d82e902")</f>
        <v>https://knigipp.ru/api/getInfo/image/d01b9016-8866-11ee-a249-00155d82e902</v>
      </c>
      <c r="AD1624" s="32">
        <v>12</v>
      </c>
      <c r="AE1624" s="3" t="s">
        <v>54</v>
      </c>
      <c r="AF1624" s="3" t="s">
        <v>136</v>
      </c>
      <c r="AG1624" s="3"/>
      <c r="AH1624" s="3" t="s">
        <v>56</v>
      </c>
      <c r="AI1624" s="3"/>
      <c r="AJ1624" s="3"/>
      <c r="AK1624" s="3" t="str">
        <f>HYPERLINK("https://knigipp.ru/api/getInfo/item/d01b9016-8866-11ee-a249-00155d82e902")</f>
        <v>https://knigipp.ru/api/getInfo/item/d01b9016-8866-11ee-a249-00155d82e902</v>
      </c>
      <c r="AL1624" s="3" t="s">
        <v>6827</v>
      </c>
    </row>
    <row r="1625" spans="1:38" ht="23.1" customHeight="1" outlineLevel="4" x14ac:dyDescent="0.2">
      <c r="A1625" s="55" t="s">
        <v>6842</v>
      </c>
      <c r="B1625" s="55"/>
      <c r="C1625" s="55"/>
      <c r="D1625" s="55"/>
      <c r="E1625" s="55"/>
      <c r="F1625" s="55"/>
    </row>
    <row r="1626" spans="1:38" ht="21" customHeight="1" outlineLevel="5" x14ac:dyDescent="0.2">
      <c r="A1626" s="39">
        <v>1231</v>
      </c>
      <c r="B1626" s="3" t="s">
        <v>6843</v>
      </c>
      <c r="C1626" s="49" t="s">
        <v>6844</v>
      </c>
      <c r="D1626" s="49"/>
      <c r="E1626" s="49"/>
      <c r="F1626" s="49"/>
      <c r="G1626" s="4" t="s">
        <v>6845</v>
      </c>
      <c r="H1626" s="8"/>
      <c r="I1626" s="9" t="s">
        <v>6846</v>
      </c>
      <c r="J1626" s="10"/>
      <c r="K1626" s="11">
        <v>50</v>
      </c>
      <c r="L1626" s="10"/>
      <c r="M1626" s="10" t="s">
        <v>47</v>
      </c>
      <c r="N1626" s="10"/>
      <c r="O1626" s="2">
        <v>4</v>
      </c>
      <c r="P1626" s="17">
        <f>177*(1-S3/100)</f>
        <v>177</v>
      </c>
      <c r="Q1626" s="18"/>
      <c r="R1626" s="10">
        <f>P1626*Q1626</f>
        <v>0</v>
      </c>
      <c r="S1626" s="28">
        <f>0.05*Q1626</f>
        <v>0</v>
      </c>
      <c r="T1626" s="30">
        <f>0.0001*Q1626</f>
        <v>0</v>
      </c>
      <c r="U1626" s="21"/>
      <c r="V1626" s="22" t="s">
        <v>6847</v>
      </c>
      <c r="W1626" s="22" t="s">
        <v>49</v>
      </c>
      <c r="X1626" s="3"/>
      <c r="Y1626" s="3" t="s">
        <v>6848</v>
      </c>
      <c r="Z1626" s="3" t="s">
        <v>52</v>
      </c>
      <c r="AA1626" s="3"/>
      <c r="AB1626" s="3"/>
      <c r="AC1626" s="3" t="str">
        <f>HYPERLINK("https://knigipp.ru/api/getInfo/image/f94ad028-eddb-11ee-a25b-00155d82e908")</f>
        <v>https://knigipp.ru/api/getInfo/image/f94ad028-eddb-11ee-a25b-00155d82e908</v>
      </c>
      <c r="AD1626" s="3"/>
      <c r="AE1626" s="3"/>
      <c r="AF1626" s="3" t="s">
        <v>452</v>
      </c>
      <c r="AG1626" s="3"/>
      <c r="AH1626" s="3" t="s">
        <v>56</v>
      </c>
      <c r="AI1626" s="3"/>
      <c r="AJ1626" s="3"/>
      <c r="AK1626" s="3" t="str">
        <f>HYPERLINK("https://knigipp.ru/api/getInfo/item/f94ad028-eddb-11ee-a25b-00155d82e908")</f>
        <v>https://knigipp.ru/api/getInfo/item/f94ad028-eddb-11ee-a25b-00155d82e908</v>
      </c>
      <c r="AL1626" s="3" t="s">
        <v>585</v>
      </c>
    </row>
    <row r="1627" spans="1:38" ht="21" customHeight="1" outlineLevel="5" x14ac:dyDescent="0.2">
      <c r="A1627" s="39">
        <v>1232</v>
      </c>
      <c r="B1627" s="3" t="s">
        <v>6849</v>
      </c>
      <c r="C1627" s="49" t="s">
        <v>6850</v>
      </c>
      <c r="D1627" s="49"/>
      <c r="E1627" s="49"/>
      <c r="F1627" s="49"/>
      <c r="G1627" s="4" t="s">
        <v>6851</v>
      </c>
      <c r="H1627" s="8"/>
      <c r="I1627" s="9" t="s">
        <v>6846</v>
      </c>
      <c r="J1627" s="10"/>
      <c r="K1627" s="11">
        <v>50</v>
      </c>
      <c r="L1627" s="10"/>
      <c r="M1627" s="10" t="s">
        <v>47</v>
      </c>
      <c r="N1627" s="10"/>
      <c r="O1627" s="2">
        <v>4</v>
      </c>
      <c r="P1627" s="17">
        <f>177*(1-S3/100)</f>
        <v>177</v>
      </c>
      <c r="Q1627" s="18"/>
      <c r="R1627" s="10">
        <f>P1627*Q1627</f>
        <v>0</v>
      </c>
      <c r="S1627" s="28">
        <f>0.05*Q1627</f>
        <v>0</v>
      </c>
      <c r="T1627" s="30">
        <f>0.0001*Q1627</f>
        <v>0</v>
      </c>
      <c r="U1627" s="21"/>
      <c r="V1627" s="22" t="s">
        <v>6852</v>
      </c>
      <c r="W1627" s="22" t="s">
        <v>49</v>
      </c>
      <c r="X1627" s="3"/>
      <c r="Y1627" s="3" t="s">
        <v>6848</v>
      </c>
      <c r="Z1627" s="3" t="s">
        <v>52</v>
      </c>
      <c r="AA1627" s="3"/>
      <c r="AB1627" s="3"/>
      <c r="AC1627" s="3" t="str">
        <f>HYPERLINK("https://knigipp.ru/api/getInfo/image/395aa826-eddb-11ee-a25b-00155d82e908")</f>
        <v>https://knigipp.ru/api/getInfo/image/395aa826-eddb-11ee-a25b-00155d82e908</v>
      </c>
      <c r="AD1627" s="3"/>
      <c r="AE1627" s="3"/>
      <c r="AF1627" s="3" t="s">
        <v>452</v>
      </c>
      <c r="AG1627" s="3"/>
      <c r="AH1627" s="3" t="s">
        <v>56</v>
      </c>
      <c r="AI1627" s="3"/>
      <c r="AJ1627" s="3"/>
      <c r="AK1627" s="3" t="str">
        <f>HYPERLINK("https://knigipp.ru/api/getInfo/item/395aa826-eddb-11ee-a25b-00155d82e908")</f>
        <v>https://knigipp.ru/api/getInfo/item/395aa826-eddb-11ee-a25b-00155d82e908</v>
      </c>
      <c r="AL1627" s="3" t="s">
        <v>585</v>
      </c>
    </row>
    <row r="1628" spans="1:38" ht="21" customHeight="1" outlineLevel="5" x14ac:dyDescent="0.2">
      <c r="A1628" s="39">
        <v>1233</v>
      </c>
      <c r="B1628" s="3" t="s">
        <v>6853</v>
      </c>
      <c r="C1628" s="49" t="s">
        <v>6854</v>
      </c>
      <c r="D1628" s="49"/>
      <c r="E1628" s="49"/>
      <c r="F1628" s="49"/>
      <c r="G1628" s="4" t="s">
        <v>6855</v>
      </c>
      <c r="H1628" s="8"/>
      <c r="I1628" s="9" t="s">
        <v>6846</v>
      </c>
      <c r="J1628" s="10"/>
      <c r="K1628" s="11">
        <v>50</v>
      </c>
      <c r="L1628" s="10"/>
      <c r="M1628" s="10" t="s">
        <v>47</v>
      </c>
      <c r="N1628" s="10"/>
      <c r="O1628" s="2">
        <v>4</v>
      </c>
      <c r="P1628" s="17">
        <f>177*(1-S3/100)</f>
        <v>177</v>
      </c>
      <c r="Q1628" s="18"/>
      <c r="R1628" s="10">
        <f>P1628*Q1628</f>
        <v>0</v>
      </c>
      <c r="S1628" s="28">
        <f>0.05*Q1628</f>
        <v>0</v>
      </c>
      <c r="T1628" s="30">
        <f>0.0001*Q1628</f>
        <v>0</v>
      </c>
      <c r="U1628" s="21"/>
      <c r="V1628" s="22" t="s">
        <v>6856</v>
      </c>
      <c r="W1628" s="22" t="s">
        <v>49</v>
      </c>
      <c r="X1628" s="3"/>
      <c r="Y1628" s="3" t="s">
        <v>6848</v>
      </c>
      <c r="Z1628" s="3" t="s">
        <v>52</v>
      </c>
      <c r="AA1628" s="3"/>
      <c r="AB1628" s="3"/>
      <c r="AC1628" s="3" t="str">
        <f>HYPERLINK("https://knigipp.ru/api/getInfo/image/19d546af-eddc-11ee-a25b-00155d82e908")</f>
        <v>https://knigipp.ru/api/getInfo/image/19d546af-eddc-11ee-a25b-00155d82e908</v>
      </c>
      <c r="AD1628" s="3"/>
      <c r="AE1628" s="3"/>
      <c r="AF1628" s="3" t="s">
        <v>452</v>
      </c>
      <c r="AG1628" s="3"/>
      <c r="AH1628" s="3" t="s">
        <v>56</v>
      </c>
      <c r="AI1628" s="3"/>
      <c r="AJ1628" s="3"/>
      <c r="AK1628" s="3" t="str">
        <f>HYPERLINK("https://knigipp.ru/api/getInfo/item/19d546af-eddc-11ee-a25b-00155d82e908")</f>
        <v>https://knigipp.ru/api/getInfo/item/19d546af-eddc-11ee-a25b-00155d82e908</v>
      </c>
      <c r="AL1628" s="3" t="s">
        <v>585</v>
      </c>
    </row>
    <row r="1629" spans="1:38" ht="21" customHeight="1" outlineLevel="5" x14ac:dyDescent="0.2">
      <c r="A1629" s="39">
        <v>1234</v>
      </c>
      <c r="B1629" s="3" t="s">
        <v>6857</v>
      </c>
      <c r="C1629" s="49" t="s">
        <v>6858</v>
      </c>
      <c r="D1629" s="49"/>
      <c r="E1629" s="49"/>
      <c r="F1629" s="49"/>
      <c r="G1629" s="4" t="s">
        <v>6859</v>
      </c>
      <c r="H1629" s="8"/>
      <c r="I1629" s="9" t="s">
        <v>6846</v>
      </c>
      <c r="J1629" s="10"/>
      <c r="K1629" s="11">
        <v>50</v>
      </c>
      <c r="L1629" s="10"/>
      <c r="M1629" s="10" t="s">
        <v>47</v>
      </c>
      <c r="N1629" s="10"/>
      <c r="O1629" s="2">
        <v>4</v>
      </c>
      <c r="P1629" s="17">
        <f>177*(1-S3/100)</f>
        <v>177</v>
      </c>
      <c r="Q1629" s="18"/>
      <c r="R1629" s="10">
        <f>P1629*Q1629</f>
        <v>0</v>
      </c>
      <c r="S1629" s="28">
        <f>0.05*Q1629</f>
        <v>0</v>
      </c>
      <c r="T1629" s="30">
        <f>0.0001*Q1629</f>
        <v>0</v>
      </c>
      <c r="U1629" s="21"/>
      <c r="V1629" s="22" t="s">
        <v>6860</v>
      </c>
      <c r="W1629" s="22" t="s">
        <v>49</v>
      </c>
      <c r="X1629" s="3"/>
      <c r="Y1629" s="3" t="s">
        <v>6848</v>
      </c>
      <c r="Z1629" s="3" t="s">
        <v>52</v>
      </c>
      <c r="AA1629" s="3"/>
      <c r="AB1629" s="3"/>
      <c r="AC1629" s="3" t="str">
        <f>HYPERLINK("https://knigipp.ru/api/getInfo/image/d113c429-eddb-11ee-a25b-00155d82e908")</f>
        <v>https://knigipp.ru/api/getInfo/image/d113c429-eddb-11ee-a25b-00155d82e908</v>
      </c>
      <c r="AD1629" s="3"/>
      <c r="AE1629" s="3"/>
      <c r="AF1629" s="3" t="s">
        <v>452</v>
      </c>
      <c r="AG1629" s="3"/>
      <c r="AH1629" s="3" t="s">
        <v>56</v>
      </c>
      <c r="AI1629" s="3"/>
      <c r="AJ1629" s="3"/>
      <c r="AK1629" s="3" t="str">
        <f>HYPERLINK("https://knigipp.ru/api/getInfo/item/d113c429-eddb-11ee-a25b-00155d82e908")</f>
        <v>https://knigipp.ru/api/getInfo/item/d113c429-eddb-11ee-a25b-00155d82e908</v>
      </c>
      <c r="AL1629" s="3" t="s">
        <v>585</v>
      </c>
    </row>
    <row r="1630" spans="1:38" ht="23.1" customHeight="1" outlineLevel="4" x14ac:dyDescent="0.2">
      <c r="A1630" s="55" t="s">
        <v>6861</v>
      </c>
      <c r="B1630" s="55"/>
      <c r="C1630" s="55"/>
      <c r="D1630" s="55"/>
      <c r="E1630" s="55"/>
      <c r="F1630" s="55"/>
    </row>
    <row r="1631" spans="1:38" ht="21" customHeight="1" outlineLevel="5" x14ac:dyDescent="0.2">
      <c r="A1631" s="39">
        <v>1235</v>
      </c>
      <c r="B1631" s="3" t="s">
        <v>6862</v>
      </c>
      <c r="C1631" s="49" t="s">
        <v>6863</v>
      </c>
      <c r="D1631" s="49"/>
      <c r="E1631" s="49"/>
      <c r="F1631" s="49"/>
      <c r="G1631" s="4" t="s">
        <v>6864</v>
      </c>
      <c r="H1631" s="8"/>
      <c r="I1631" s="9" t="s">
        <v>6865</v>
      </c>
      <c r="J1631" s="10"/>
      <c r="K1631" s="11">
        <v>30</v>
      </c>
      <c r="L1631" s="10"/>
      <c r="M1631" s="10" t="s">
        <v>47</v>
      </c>
      <c r="N1631" s="10"/>
      <c r="O1631" s="2">
        <v>3</v>
      </c>
      <c r="P1631" s="17">
        <f>217*(1-S3/100)</f>
        <v>217</v>
      </c>
      <c r="Q1631" s="18"/>
      <c r="R1631" s="10">
        <f>P1631*Q1631</f>
        <v>0</v>
      </c>
      <c r="S1631" s="10">
        <v>0</v>
      </c>
      <c r="T1631" s="10">
        <v>0</v>
      </c>
      <c r="U1631" s="21"/>
      <c r="V1631" s="22" t="s">
        <v>6866</v>
      </c>
      <c r="W1631" s="22" t="s">
        <v>49</v>
      </c>
      <c r="X1631" s="3"/>
      <c r="Y1631" s="3" t="s">
        <v>6867</v>
      </c>
      <c r="Z1631" s="3" t="s">
        <v>52</v>
      </c>
      <c r="AA1631" s="3"/>
      <c r="AB1631" s="3"/>
      <c r="AC1631" s="3" t="str">
        <f>HYPERLINK("https://knigipp.ru/api/getInfo/image/ddeace99-4f38-11ef-a262-00155d82e908")</f>
        <v>https://knigipp.ru/api/getInfo/image/ddeace99-4f38-11ef-a262-00155d82e908</v>
      </c>
      <c r="AD1631" s="32">
        <v>8</v>
      </c>
      <c r="AE1631" s="3" t="s">
        <v>54</v>
      </c>
      <c r="AF1631" s="3" t="s">
        <v>741</v>
      </c>
      <c r="AG1631" s="3"/>
      <c r="AH1631" s="3" t="s">
        <v>56</v>
      </c>
      <c r="AI1631" s="3"/>
      <c r="AJ1631" s="3"/>
      <c r="AK1631" s="3" t="str">
        <f>HYPERLINK("https://knigipp.ru/api/getInfo/item/ddeace99-4f38-11ef-a262-00155d82e908")</f>
        <v>https://knigipp.ru/api/getInfo/item/ddeace99-4f38-11ef-a262-00155d82e908</v>
      </c>
      <c r="AL1631" s="3" t="s">
        <v>6868</v>
      </c>
    </row>
    <row r="1632" spans="1:38" ht="21" customHeight="1" outlineLevel="5" x14ac:dyDescent="0.2">
      <c r="A1632" s="39">
        <v>1236</v>
      </c>
      <c r="B1632" s="3" t="s">
        <v>6869</v>
      </c>
      <c r="C1632" s="49" t="s">
        <v>6870</v>
      </c>
      <c r="D1632" s="49"/>
      <c r="E1632" s="49"/>
      <c r="F1632" s="49"/>
      <c r="G1632" s="4" t="s">
        <v>6871</v>
      </c>
      <c r="H1632" s="8"/>
      <c r="I1632" s="9" t="s">
        <v>6865</v>
      </c>
      <c r="J1632" s="10"/>
      <c r="K1632" s="11">
        <v>30</v>
      </c>
      <c r="L1632" s="10"/>
      <c r="M1632" s="10" t="s">
        <v>47</v>
      </c>
      <c r="N1632" s="10"/>
      <c r="O1632" s="2">
        <v>3</v>
      </c>
      <c r="P1632" s="17">
        <f>217*(1-S3/100)</f>
        <v>217</v>
      </c>
      <c r="Q1632" s="18"/>
      <c r="R1632" s="10">
        <f>P1632*Q1632</f>
        <v>0</v>
      </c>
      <c r="S1632" s="10">
        <v>0</v>
      </c>
      <c r="T1632" s="10">
        <v>0</v>
      </c>
      <c r="U1632" s="21"/>
      <c r="V1632" s="22" t="s">
        <v>6872</v>
      </c>
      <c r="W1632" s="22" t="s">
        <v>49</v>
      </c>
      <c r="X1632" s="3"/>
      <c r="Y1632" s="3" t="s">
        <v>6873</v>
      </c>
      <c r="Z1632" s="3" t="s">
        <v>52</v>
      </c>
      <c r="AA1632" s="3"/>
      <c r="AB1632" s="3"/>
      <c r="AC1632" s="3" t="str">
        <f>HYPERLINK("https://knigipp.ru/api/getInfo/image/41c88c89-4f39-11ef-a262-00155d82e908")</f>
        <v>https://knigipp.ru/api/getInfo/image/41c88c89-4f39-11ef-a262-00155d82e908</v>
      </c>
      <c r="AD1632" s="32">
        <v>8</v>
      </c>
      <c r="AE1632" s="3" t="s">
        <v>54</v>
      </c>
      <c r="AF1632" s="3" t="s">
        <v>741</v>
      </c>
      <c r="AG1632" s="3"/>
      <c r="AH1632" s="3" t="s">
        <v>56</v>
      </c>
      <c r="AI1632" s="3"/>
      <c r="AJ1632" s="3"/>
      <c r="AK1632" s="3" t="str">
        <f>HYPERLINK("https://knigipp.ru/api/getInfo/item/41c88c89-4f39-11ef-a262-00155d82e908")</f>
        <v>https://knigipp.ru/api/getInfo/item/41c88c89-4f39-11ef-a262-00155d82e908</v>
      </c>
      <c r="AL1632" s="3" t="s">
        <v>6868</v>
      </c>
    </row>
    <row r="1633" spans="1:38" ht="21" customHeight="1" outlineLevel="5" x14ac:dyDescent="0.2">
      <c r="A1633" s="39">
        <v>1237</v>
      </c>
      <c r="B1633" s="3" t="s">
        <v>6874</v>
      </c>
      <c r="C1633" s="49" t="s">
        <v>6875</v>
      </c>
      <c r="D1633" s="49"/>
      <c r="E1633" s="49"/>
      <c r="F1633" s="49"/>
      <c r="G1633" s="4" t="s">
        <v>6876</v>
      </c>
      <c r="H1633" s="8"/>
      <c r="I1633" s="9" t="s">
        <v>6865</v>
      </c>
      <c r="J1633" s="10"/>
      <c r="K1633" s="11">
        <v>30</v>
      </c>
      <c r="L1633" s="10"/>
      <c r="M1633" s="10" t="s">
        <v>47</v>
      </c>
      <c r="N1633" s="10"/>
      <c r="O1633" s="2">
        <v>3</v>
      </c>
      <c r="P1633" s="17">
        <f>217*(1-S3/100)</f>
        <v>217</v>
      </c>
      <c r="Q1633" s="18"/>
      <c r="R1633" s="10">
        <f>P1633*Q1633</f>
        <v>0</v>
      </c>
      <c r="S1633" s="19">
        <f>0.046*Q1633</f>
        <v>0</v>
      </c>
      <c r="T1633" s="20">
        <f>0.00031*Q1633</f>
        <v>0</v>
      </c>
      <c r="U1633" s="21"/>
      <c r="V1633" s="22" t="s">
        <v>6877</v>
      </c>
      <c r="W1633" s="22" t="s">
        <v>49</v>
      </c>
      <c r="X1633" s="3"/>
      <c r="Y1633" s="3" t="s">
        <v>6878</v>
      </c>
      <c r="Z1633" s="3" t="s">
        <v>52</v>
      </c>
      <c r="AA1633" s="3" t="s">
        <v>6879</v>
      </c>
      <c r="AB1633" s="3"/>
      <c r="AC1633" s="3" t="str">
        <f>HYPERLINK("https://knigipp.ru/api/getInfo/image/7386b84c-4f39-11ef-a262-00155d82e908")</f>
        <v>https://knigipp.ru/api/getInfo/image/7386b84c-4f39-11ef-a262-00155d82e908</v>
      </c>
      <c r="AD1633" s="32">
        <v>8</v>
      </c>
      <c r="AE1633" s="3"/>
      <c r="AF1633" s="3" t="s">
        <v>741</v>
      </c>
      <c r="AG1633" s="3"/>
      <c r="AH1633" s="3" t="s">
        <v>56</v>
      </c>
      <c r="AI1633" s="3"/>
      <c r="AJ1633" s="3"/>
      <c r="AK1633" s="3" t="str">
        <f>HYPERLINK("https://knigipp.ru/api/getInfo/item/7386b84c-4f39-11ef-a262-00155d82e908")</f>
        <v>https://knigipp.ru/api/getInfo/item/7386b84c-4f39-11ef-a262-00155d82e908</v>
      </c>
      <c r="AL1633" s="3" t="s">
        <v>6868</v>
      </c>
    </row>
    <row r="1634" spans="1:38" ht="21" customHeight="1" outlineLevel="5" x14ac:dyDescent="0.2">
      <c r="A1634" s="39">
        <v>1238</v>
      </c>
      <c r="B1634" s="3" t="s">
        <v>6880</v>
      </c>
      <c r="C1634" s="49" t="s">
        <v>6881</v>
      </c>
      <c r="D1634" s="49"/>
      <c r="E1634" s="49"/>
      <c r="F1634" s="49"/>
      <c r="G1634" s="4" t="s">
        <v>6882</v>
      </c>
      <c r="H1634" s="8"/>
      <c r="I1634" s="9" t="s">
        <v>6865</v>
      </c>
      <c r="J1634" s="10"/>
      <c r="K1634" s="11">
        <v>30</v>
      </c>
      <c r="L1634" s="10"/>
      <c r="M1634" s="10" t="s">
        <v>47</v>
      </c>
      <c r="N1634" s="10"/>
      <c r="O1634" s="2">
        <v>3</v>
      </c>
      <c r="P1634" s="17">
        <f>217*(1-S3/100)</f>
        <v>217</v>
      </c>
      <c r="Q1634" s="18"/>
      <c r="R1634" s="10">
        <f>P1634*Q1634</f>
        <v>0</v>
      </c>
      <c r="S1634" s="10">
        <v>0</v>
      </c>
      <c r="T1634" s="10">
        <v>0</v>
      </c>
      <c r="U1634" s="21"/>
      <c r="V1634" s="22" t="s">
        <v>6883</v>
      </c>
      <c r="W1634" s="22" t="s">
        <v>49</v>
      </c>
      <c r="X1634" s="3"/>
      <c r="Y1634" s="3" t="s">
        <v>6884</v>
      </c>
      <c r="Z1634" s="3" t="s">
        <v>52</v>
      </c>
      <c r="AA1634" s="3" t="s">
        <v>6879</v>
      </c>
      <c r="AB1634" s="3"/>
      <c r="AC1634" s="3" t="str">
        <f>HYPERLINK("https://knigipp.ru/api/getInfo/image/9e24ac39-4f39-11ef-a262-00155d82e908")</f>
        <v>https://knigipp.ru/api/getInfo/image/9e24ac39-4f39-11ef-a262-00155d82e908</v>
      </c>
      <c r="AD1634" s="32">
        <v>8</v>
      </c>
      <c r="AE1634" s="3" t="s">
        <v>54</v>
      </c>
      <c r="AF1634" s="3" t="s">
        <v>741</v>
      </c>
      <c r="AG1634" s="3"/>
      <c r="AH1634" s="3" t="s">
        <v>56</v>
      </c>
      <c r="AI1634" s="3"/>
      <c r="AJ1634" s="3"/>
      <c r="AK1634" s="3" t="str">
        <f>HYPERLINK("https://knigipp.ru/api/getInfo/item/9e24ac39-4f39-11ef-a262-00155d82e908")</f>
        <v>https://knigipp.ru/api/getInfo/item/9e24ac39-4f39-11ef-a262-00155d82e908</v>
      </c>
      <c r="AL1634" s="3" t="s">
        <v>6868</v>
      </c>
    </row>
    <row r="1635" spans="1:38" ht="23.1" customHeight="1" outlineLevel="4" x14ac:dyDescent="0.2">
      <c r="A1635" s="55" t="s">
        <v>6885</v>
      </c>
      <c r="B1635" s="55"/>
      <c r="C1635" s="55"/>
      <c r="D1635" s="55"/>
      <c r="E1635" s="55"/>
      <c r="F1635" s="55"/>
    </row>
    <row r="1636" spans="1:38" ht="21" customHeight="1" outlineLevel="5" x14ac:dyDescent="0.2">
      <c r="A1636" s="39">
        <v>1239</v>
      </c>
      <c r="B1636" s="3" t="s">
        <v>6886</v>
      </c>
      <c r="C1636" s="49" t="s">
        <v>6887</v>
      </c>
      <c r="D1636" s="49"/>
      <c r="E1636" s="49"/>
      <c r="F1636" s="49"/>
      <c r="G1636" s="4" t="s">
        <v>6888</v>
      </c>
      <c r="H1636" s="8"/>
      <c r="I1636" s="9" t="s">
        <v>6889</v>
      </c>
      <c r="J1636" s="10"/>
      <c r="K1636" s="11">
        <v>60</v>
      </c>
      <c r="L1636" s="11">
        <v>5</v>
      </c>
      <c r="M1636" s="10" t="s">
        <v>47</v>
      </c>
      <c r="N1636" s="10"/>
      <c r="O1636" s="2">
        <v>4</v>
      </c>
      <c r="P1636" s="17">
        <f>147*(1-S3/100)</f>
        <v>147</v>
      </c>
      <c r="Q1636" s="18"/>
      <c r="R1636" s="10">
        <f t="shared" ref="R1636:R1641" si="69">P1636*Q1636</f>
        <v>0</v>
      </c>
      <c r="S1636" s="19">
        <f>0.048*Q1636</f>
        <v>0</v>
      </c>
      <c r="T1636" s="20">
        <f>0.00006*Q1636</f>
        <v>0</v>
      </c>
      <c r="U1636" s="21"/>
      <c r="V1636" s="22" t="s">
        <v>6890</v>
      </c>
      <c r="W1636" s="22" t="s">
        <v>49</v>
      </c>
      <c r="X1636" s="3"/>
      <c r="Y1636" s="3" t="s">
        <v>6891</v>
      </c>
      <c r="Z1636" s="3" t="s">
        <v>52</v>
      </c>
      <c r="AA1636" s="3"/>
      <c r="AB1636" s="3"/>
      <c r="AC1636" s="3" t="str">
        <f>HYPERLINK("https://knigipp.ru/api/getInfo/image/5d437066-1a70-11ee-a23b-00155d82e902")</f>
        <v>https://knigipp.ru/api/getInfo/image/5d437066-1a70-11ee-a23b-00155d82e902</v>
      </c>
      <c r="AD1636" s="32">
        <v>8</v>
      </c>
      <c r="AE1636" s="3" t="s">
        <v>54</v>
      </c>
      <c r="AF1636" s="3" t="s">
        <v>136</v>
      </c>
      <c r="AG1636" s="3"/>
      <c r="AH1636" s="3" t="s">
        <v>56</v>
      </c>
      <c r="AI1636" s="3"/>
      <c r="AJ1636" s="3"/>
      <c r="AK1636" s="3" t="str">
        <f>HYPERLINK("https://knigipp.ru/api/getInfo/item/5d437066-1a70-11ee-a23b-00155d82e902")</f>
        <v>https://knigipp.ru/api/getInfo/item/5d437066-1a70-11ee-a23b-00155d82e902</v>
      </c>
      <c r="AL1636" s="3" t="s">
        <v>4046</v>
      </c>
    </row>
    <row r="1637" spans="1:38" ht="21" customHeight="1" outlineLevel="5" x14ac:dyDescent="0.2">
      <c r="A1637" s="39">
        <v>1240</v>
      </c>
      <c r="B1637" s="3" t="s">
        <v>6892</v>
      </c>
      <c r="C1637" s="49" t="s">
        <v>6893</v>
      </c>
      <c r="D1637" s="49"/>
      <c r="E1637" s="49"/>
      <c r="F1637" s="49"/>
      <c r="G1637" s="4" t="s">
        <v>6894</v>
      </c>
      <c r="H1637" s="8"/>
      <c r="I1637" s="9" t="s">
        <v>6889</v>
      </c>
      <c r="J1637" s="10"/>
      <c r="K1637" s="11">
        <v>60</v>
      </c>
      <c r="L1637" s="11">
        <v>5</v>
      </c>
      <c r="M1637" s="10" t="s">
        <v>47</v>
      </c>
      <c r="N1637" s="10"/>
      <c r="O1637" s="2">
        <v>4</v>
      </c>
      <c r="P1637" s="17">
        <f>147*(1-S3/100)</f>
        <v>147</v>
      </c>
      <c r="Q1637" s="18"/>
      <c r="R1637" s="10">
        <f t="shared" si="69"/>
        <v>0</v>
      </c>
      <c r="S1637" s="19">
        <f>0.045*Q1637</f>
        <v>0</v>
      </c>
      <c r="T1637" s="20">
        <f>0.00015*Q1637</f>
        <v>0</v>
      </c>
      <c r="U1637" s="21"/>
      <c r="V1637" s="22" t="s">
        <v>6895</v>
      </c>
      <c r="W1637" s="22" t="s">
        <v>49</v>
      </c>
      <c r="X1637" s="3"/>
      <c r="Y1637" s="3" t="s">
        <v>6896</v>
      </c>
      <c r="Z1637" s="3" t="s">
        <v>52</v>
      </c>
      <c r="AA1637" s="3"/>
      <c r="AB1637" s="3"/>
      <c r="AC1637" s="3" t="str">
        <f>HYPERLINK("https://knigipp.ru/api/getInfo/image/3795f115-1a6f-11ee-a23b-00155d82e902")</f>
        <v>https://knigipp.ru/api/getInfo/image/3795f115-1a6f-11ee-a23b-00155d82e902</v>
      </c>
      <c r="AD1637" s="32">
        <v>8</v>
      </c>
      <c r="AE1637" s="3" t="s">
        <v>54</v>
      </c>
      <c r="AF1637" s="3" t="s">
        <v>136</v>
      </c>
      <c r="AG1637" s="3"/>
      <c r="AH1637" s="3" t="s">
        <v>56</v>
      </c>
      <c r="AI1637" s="3"/>
      <c r="AJ1637" s="3"/>
      <c r="AK1637" s="3" t="str">
        <f>HYPERLINK("https://knigipp.ru/api/getInfo/item/3795f115-1a6f-11ee-a23b-00155d82e902")</f>
        <v>https://knigipp.ru/api/getInfo/item/3795f115-1a6f-11ee-a23b-00155d82e902</v>
      </c>
      <c r="AL1637" s="3" t="s">
        <v>4046</v>
      </c>
    </row>
    <row r="1638" spans="1:38" ht="21" customHeight="1" outlineLevel="5" x14ac:dyDescent="0.2">
      <c r="A1638" s="39">
        <v>1241</v>
      </c>
      <c r="B1638" s="3" t="s">
        <v>6897</v>
      </c>
      <c r="C1638" s="49" t="s">
        <v>6898</v>
      </c>
      <c r="D1638" s="49"/>
      <c r="E1638" s="49"/>
      <c r="F1638" s="49"/>
      <c r="G1638" s="4" t="s">
        <v>6899</v>
      </c>
      <c r="H1638" s="8"/>
      <c r="I1638" s="9" t="s">
        <v>6900</v>
      </c>
      <c r="J1638" s="10"/>
      <c r="K1638" s="11">
        <v>60</v>
      </c>
      <c r="L1638" s="11">
        <v>5</v>
      </c>
      <c r="M1638" s="10" t="s">
        <v>47</v>
      </c>
      <c r="N1638" s="10"/>
      <c r="O1638" s="2">
        <v>4</v>
      </c>
      <c r="P1638" s="17">
        <f>147*(1-S3/100)</f>
        <v>147</v>
      </c>
      <c r="Q1638" s="18"/>
      <c r="R1638" s="10">
        <f t="shared" si="69"/>
        <v>0</v>
      </c>
      <c r="S1638" s="19">
        <f>0.235*Q1638</f>
        <v>0</v>
      </c>
      <c r="T1638" s="20">
        <f>0.00034*Q1638</f>
        <v>0</v>
      </c>
      <c r="U1638" s="21"/>
      <c r="V1638" s="22" t="s">
        <v>6901</v>
      </c>
      <c r="W1638" s="22" t="s">
        <v>49</v>
      </c>
      <c r="X1638" s="3"/>
      <c r="Y1638" s="3" t="s">
        <v>6902</v>
      </c>
      <c r="Z1638" s="3" t="s">
        <v>52</v>
      </c>
      <c r="AA1638" s="3"/>
      <c r="AB1638" s="3"/>
      <c r="AC1638" s="3" t="str">
        <f>HYPERLINK("https://knigipp.ru/api/getInfo/image/1d49621b-c4f1-11ef-a268-00155d82e908")</f>
        <v>https://knigipp.ru/api/getInfo/image/1d49621b-c4f1-11ef-a268-00155d82e908</v>
      </c>
      <c r="AD1638" s="32">
        <v>8</v>
      </c>
      <c r="AE1638" s="3" t="s">
        <v>54</v>
      </c>
      <c r="AF1638" s="3" t="s">
        <v>136</v>
      </c>
      <c r="AG1638" s="3"/>
      <c r="AH1638" s="3" t="s">
        <v>56</v>
      </c>
      <c r="AI1638" s="3"/>
      <c r="AJ1638" s="3"/>
      <c r="AK1638" s="3" t="str">
        <f>HYPERLINK("https://knigipp.ru/api/getInfo/item/1d49621b-c4f1-11ef-a268-00155d82e908")</f>
        <v>https://knigipp.ru/api/getInfo/item/1d49621b-c4f1-11ef-a268-00155d82e908</v>
      </c>
      <c r="AL1638" s="3" t="s">
        <v>4046</v>
      </c>
    </row>
    <row r="1639" spans="1:38" ht="21" customHeight="1" outlineLevel="5" x14ac:dyDescent="0.2">
      <c r="A1639" s="39">
        <v>1242</v>
      </c>
      <c r="B1639" s="3" t="s">
        <v>6903</v>
      </c>
      <c r="C1639" s="49" t="s">
        <v>6904</v>
      </c>
      <c r="D1639" s="49"/>
      <c r="E1639" s="49"/>
      <c r="F1639" s="49"/>
      <c r="G1639" s="4" t="s">
        <v>6905</v>
      </c>
      <c r="H1639" s="8"/>
      <c r="I1639" s="9"/>
      <c r="J1639" s="10"/>
      <c r="K1639" s="11">
        <v>60</v>
      </c>
      <c r="L1639" s="11">
        <v>5</v>
      </c>
      <c r="M1639" s="10" t="s">
        <v>47</v>
      </c>
      <c r="N1639" s="10"/>
      <c r="O1639" s="2">
        <v>4</v>
      </c>
      <c r="P1639" s="17">
        <f>147*(1-S3/100)</f>
        <v>147</v>
      </c>
      <c r="Q1639" s="18"/>
      <c r="R1639" s="10">
        <f t="shared" si="69"/>
        <v>0</v>
      </c>
      <c r="S1639" s="19">
        <f>0.234*Q1639</f>
        <v>0</v>
      </c>
      <c r="T1639" s="20">
        <f>0.00026*Q1639</f>
        <v>0</v>
      </c>
      <c r="U1639" s="21"/>
      <c r="V1639" s="22" t="s">
        <v>6906</v>
      </c>
      <c r="W1639" s="22" t="s">
        <v>49</v>
      </c>
      <c r="X1639" s="3"/>
      <c r="Y1639" s="3" t="s">
        <v>6907</v>
      </c>
      <c r="Z1639" s="3" t="s">
        <v>52</v>
      </c>
      <c r="AA1639" s="3"/>
      <c r="AB1639" s="3"/>
      <c r="AC1639" s="3" t="str">
        <f>HYPERLINK("https://knigipp.ru/api/getInfo/image/07ee8c82-0460-11ef-a25d-00155d82e908")</f>
        <v>https://knigipp.ru/api/getInfo/image/07ee8c82-0460-11ef-a25d-00155d82e908</v>
      </c>
      <c r="AD1639" s="32">
        <v>8</v>
      </c>
      <c r="AE1639" s="3" t="s">
        <v>54</v>
      </c>
      <c r="AF1639" s="3" t="s">
        <v>136</v>
      </c>
      <c r="AG1639" s="3"/>
      <c r="AH1639" s="3" t="s">
        <v>56</v>
      </c>
      <c r="AI1639" s="3"/>
      <c r="AJ1639" s="3"/>
      <c r="AK1639" s="3" t="str">
        <f>HYPERLINK("https://knigipp.ru/api/getInfo/item/07ee8c82-0460-11ef-a25d-00155d82e908")</f>
        <v>https://knigipp.ru/api/getInfo/item/07ee8c82-0460-11ef-a25d-00155d82e908</v>
      </c>
      <c r="AL1639" s="3" t="s">
        <v>4046</v>
      </c>
    </row>
    <row r="1640" spans="1:38" ht="21" customHeight="1" outlineLevel="5" x14ac:dyDescent="0.2">
      <c r="A1640" s="39">
        <v>1243</v>
      </c>
      <c r="B1640" s="3" t="s">
        <v>6908</v>
      </c>
      <c r="C1640" s="49" t="s">
        <v>6909</v>
      </c>
      <c r="D1640" s="49"/>
      <c r="E1640" s="49"/>
      <c r="F1640" s="49"/>
      <c r="G1640" s="4" t="s">
        <v>6910</v>
      </c>
      <c r="H1640" s="8"/>
      <c r="I1640" s="9"/>
      <c r="J1640" s="10"/>
      <c r="K1640" s="11">
        <v>60</v>
      </c>
      <c r="L1640" s="11">
        <v>5</v>
      </c>
      <c r="M1640" s="10" t="s">
        <v>47</v>
      </c>
      <c r="N1640" s="10"/>
      <c r="O1640" s="2">
        <v>4</v>
      </c>
      <c r="P1640" s="17">
        <f>147*(1-S3/100)</f>
        <v>147</v>
      </c>
      <c r="Q1640" s="18"/>
      <c r="R1640" s="10">
        <f t="shared" si="69"/>
        <v>0</v>
      </c>
      <c r="S1640" s="19">
        <f>0.238*Q1640</f>
        <v>0</v>
      </c>
      <c r="T1640" s="20">
        <f>0.00034*Q1640</f>
        <v>0</v>
      </c>
      <c r="U1640" s="21"/>
      <c r="V1640" s="22" t="s">
        <v>6911</v>
      </c>
      <c r="W1640" s="22" t="s">
        <v>49</v>
      </c>
      <c r="X1640" s="3"/>
      <c r="Y1640" s="3" t="s">
        <v>6912</v>
      </c>
      <c r="Z1640" s="3" t="s">
        <v>52</v>
      </c>
      <c r="AA1640" s="3" t="s">
        <v>6913</v>
      </c>
      <c r="AB1640" s="3"/>
      <c r="AC1640" s="3" t="str">
        <f>HYPERLINK("https://knigipp.ru/api/getInfo/image/dcec3cdc-045f-11ef-a25d-00155d82e908")</f>
        <v>https://knigipp.ru/api/getInfo/image/dcec3cdc-045f-11ef-a25d-00155d82e908</v>
      </c>
      <c r="AD1640" s="32">
        <v>8</v>
      </c>
      <c r="AE1640" s="3" t="s">
        <v>54</v>
      </c>
      <c r="AF1640" s="3" t="s">
        <v>136</v>
      </c>
      <c r="AG1640" s="3"/>
      <c r="AH1640" s="3" t="s">
        <v>56</v>
      </c>
      <c r="AI1640" s="3"/>
      <c r="AJ1640" s="3"/>
      <c r="AK1640" s="3" t="str">
        <f>HYPERLINK("https://knigipp.ru/api/getInfo/item/dcec3cdc-045f-11ef-a25d-00155d82e908")</f>
        <v>https://knigipp.ru/api/getInfo/item/dcec3cdc-045f-11ef-a25d-00155d82e908</v>
      </c>
      <c r="AL1640" s="3" t="s">
        <v>4046</v>
      </c>
    </row>
    <row r="1641" spans="1:38" ht="21" customHeight="1" outlineLevel="5" x14ac:dyDescent="0.2">
      <c r="A1641" s="39">
        <v>1244</v>
      </c>
      <c r="B1641" s="3" t="s">
        <v>6914</v>
      </c>
      <c r="C1641" s="49" t="s">
        <v>6915</v>
      </c>
      <c r="D1641" s="49"/>
      <c r="E1641" s="49"/>
      <c r="F1641" s="49"/>
      <c r="G1641" s="4" t="s">
        <v>6916</v>
      </c>
      <c r="H1641" s="8"/>
      <c r="I1641" s="9" t="s">
        <v>6889</v>
      </c>
      <c r="J1641" s="10"/>
      <c r="K1641" s="11">
        <v>60</v>
      </c>
      <c r="L1641" s="11">
        <v>5</v>
      </c>
      <c r="M1641" s="10" t="s">
        <v>47</v>
      </c>
      <c r="N1641" s="10"/>
      <c r="O1641" s="2">
        <v>4</v>
      </c>
      <c r="P1641" s="17">
        <f>147*(1-S3/100)</f>
        <v>147</v>
      </c>
      <c r="Q1641" s="18"/>
      <c r="R1641" s="10">
        <f t="shared" si="69"/>
        <v>0</v>
      </c>
      <c r="S1641" s="19">
        <f>0.044*Q1641</f>
        <v>0</v>
      </c>
      <c r="T1641" s="20">
        <f>0.00012*Q1641</f>
        <v>0</v>
      </c>
      <c r="U1641" s="21"/>
      <c r="V1641" s="22" t="s">
        <v>6917</v>
      </c>
      <c r="W1641" s="22" t="s">
        <v>49</v>
      </c>
      <c r="X1641" s="3"/>
      <c r="Y1641" s="3" t="s">
        <v>6918</v>
      </c>
      <c r="Z1641" s="3" t="s">
        <v>52</v>
      </c>
      <c r="AA1641" s="3"/>
      <c r="AB1641" s="3"/>
      <c r="AC1641" s="3" t="str">
        <f>HYPERLINK("https://knigipp.ru/api/getInfo/image/0d9ef611-1a71-11ee-a23b-00155d82e902")</f>
        <v>https://knigipp.ru/api/getInfo/image/0d9ef611-1a71-11ee-a23b-00155d82e902</v>
      </c>
      <c r="AD1641" s="32">
        <v>8</v>
      </c>
      <c r="AE1641" s="3" t="s">
        <v>54</v>
      </c>
      <c r="AF1641" s="3" t="s">
        <v>136</v>
      </c>
      <c r="AG1641" s="3"/>
      <c r="AH1641" s="3" t="s">
        <v>56</v>
      </c>
      <c r="AI1641" s="3"/>
      <c r="AJ1641" s="3"/>
      <c r="AK1641" s="3" t="str">
        <f>HYPERLINK("https://knigipp.ru/api/getInfo/item/0d9ef611-1a71-11ee-a23b-00155d82e902")</f>
        <v>https://knigipp.ru/api/getInfo/item/0d9ef611-1a71-11ee-a23b-00155d82e902</v>
      </c>
      <c r="AL1641" s="3" t="s">
        <v>4046</v>
      </c>
    </row>
    <row r="1642" spans="1:38" ht="23.1" customHeight="1" outlineLevel="4" x14ac:dyDescent="0.2">
      <c r="A1642" s="55" t="s">
        <v>6919</v>
      </c>
      <c r="B1642" s="55"/>
      <c r="C1642" s="55"/>
      <c r="D1642" s="55"/>
      <c r="E1642" s="55"/>
      <c r="F1642" s="55"/>
    </row>
    <row r="1643" spans="1:38" ht="21" customHeight="1" outlineLevel="5" x14ac:dyDescent="0.2">
      <c r="A1643" s="39">
        <v>1245</v>
      </c>
      <c r="B1643" s="3" t="s">
        <v>6920</v>
      </c>
      <c r="C1643" s="49" t="s">
        <v>6921</v>
      </c>
      <c r="D1643" s="49"/>
      <c r="E1643" s="49"/>
      <c r="F1643" s="49"/>
      <c r="G1643" s="4" t="s">
        <v>6922</v>
      </c>
      <c r="H1643" s="8"/>
      <c r="I1643" s="9" t="s">
        <v>6900</v>
      </c>
      <c r="J1643" s="10"/>
      <c r="K1643" s="11">
        <v>30</v>
      </c>
      <c r="L1643" s="10"/>
      <c r="M1643" s="10" t="s">
        <v>47</v>
      </c>
      <c r="N1643" s="10"/>
      <c r="O1643" s="2">
        <v>3</v>
      </c>
      <c r="P1643" s="17">
        <f>249*(1-S3/100)</f>
        <v>249</v>
      </c>
      <c r="Q1643" s="18"/>
      <c r="R1643" s="10">
        <f>P1643*Q1643</f>
        <v>0</v>
      </c>
      <c r="S1643" s="28">
        <f>0.07*Q1643</f>
        <v>0</v>
      </c>
      <c r="T1643" s="20">
        <f>0.00031*Q1643</f>
        <v>0</v>
      </c>
      <c r="U1643" s="21"/>
      <c r="V1643" s="22" t="s">
        <v>6923</v>
      </c>
      <c r="W1643" s="22" t="s">
        <v>49</v>
      </c>
      <c r="X1643" s="3"/>
      <c r="Y1643" s="3" t="s">
        <v>6924</v>
      </c>
      <c r="Z1643" s="3" t="s">
        <v>52</v>
      </c>
      <c r="AA1643" s="3" t="s">
        <v>3040</v>
      </c>
      <c r="AB1643" s="3"/>
      <c r="AC1643" s="3" t="str">
        <f>HYPERLINK("https://knigipp.ru/api/getInfo/image/3657eb0d-48ed-11ef-a262-00155d82e908")</f>
        <v>https://knigipp.ru/api/getInfo/image/3657eb0d-48ed-11ef-a262-00155d82e908</v>
      </c>
      <c r="AD1643" s="32">
        <v>8</v>
      </c>
      <c r="AE1643" s="3" t="s">
        <v>54</v>
      </c>
      <c r="AF1643" s="3" t="s">
        <v>136</v>
      </c>
      <c r="AG1643" s="3"/>
      <c r="AH1643" s="3" t="s">
        <v>56</v>
      </c>
      <c r="AI1643" s="3"/>
      <c r="AJ1643" s="3"/>
      <c r="AK1643" s="3" t="str">
        <f>HYPERLINK("https://knigipp.ru/api/getInfo/item/3657eb0d-48ed-11ef-a262-00155d82e908")</f>
        <v>https://knigipp.ru/api/getInfo/item/3657eb0d-48ed-11ef-a262-00155d82e908</v>
      </c>
      <c r="AL1643" s="3" t="s">
        <v>6925</v>
      </c>
    </row>
    <row r="1644" spans="1:38" ht="21" customHeight="1" outlineLevel="5" x14ac:dyDescent="0.2">
      <c r="A1644" s="39">
        <v>1246</v>
      </c>
      <c r="B1644" s="3" t="s">
        <v>6926</v>
      </c>
      <c r="C1644" s="49" t="s">
        <v>6927</v>
      </c>
      <c r="D1644" s="49"/>
      <c r="E1644" s="49"/>
      <c r="F1644" s="49"/>
      <c r="G1644" s="4" t="s">
        <v>6928</v>
      </c>
      <c r="H1644" s="8"/>
      <c r="I1644" s="9" t="s">
        <v>6900</v>
      </c>
      <c r="J1644" s="10"/>
      <c r="K1644" s="11">
        <v>30</v>
      </c>
      <c r="L1644" s="10"/>
      <c r="M1644" s="10" t="s">
        <v>47</v>
      </c>
      <c r="N1644" s="10"/>
      <c r="O1644" s="2">
        <v>3</v>
      </c>
      <c r="P1644" s="17">
        <f>249*(1-S3/100)</f>
        <v>249</v>
      </c>
      <c r="Q1644" s="18"/>
      <c r="R1644" s="10">
        <f>P1644*Q1644</f>
        <v>0</v>
      </c>
      <c r="S1644" s="19">
        <f>0.061*Q1644</f>
        <v>0</v>
      </c>
      <c r="T1644" s="20">
        <f>0.00033*Q1644</f>
        <v>0</v>
      </c>
      <c r="U1644" s="21"/>
      <c r="V1644" s="22" t="s">
        <v>6929</v>
      </c>
      <c r="W1644" s="22" t="s">
        <v>49</v>
      </c>
      <c r="X1644" s="3"/>
      <c r="Y1644" s="3" t="s">
        <v>6930</v>
      </c>
      <c r="Z1644" s="3" t="s">
        <v>52</v>
      </c>
      <c r="AA1644" s="3" t="s">
        <v>3040</v>
      </c>
      <c r="AB1644" s="3"/>
      <c r="AC1644" s="3" t="str">
        <f>HYPERLINK("https://knigipp.ru/api/getInfo/image/653ed0b9-48ed-11ef-a262-00155d82e908")</f>
        <v>https://knigipp.ru/api/getInfo/image/653ed0b9-48ed-11ef-a262-00155d82e908</v>
      </c>
      <c r="AD1644" s="32">
        <v>8</v>
      </c>
      <c r="AE1644" s="3" t="s">
        <v>54</v>
      </c>
      <c r="AF1644" s="3" t="s">
        <v>136</v>
      </c>
      <c r="AG1644" s="3"/>
      <c r="AH1644" s="3" t="s">
        <v>56</v>
      </c>
      <c r="AI1644" s="3"/>
      <c r="AJ1644" s="3"/>
      <c r="AK1644" s="3" t="str">
        <f>HYPERLINK("https://knigipp.ru/api/getInfo/item/653ed0b9-48ed-11ef-a262-00155d82e908")</f>
        <v>https://knigipp.ru/api/getInfo/item/653ed0b9-48ed-11ef-a262-00155d82e908</v>
      </c>
      <c r="AL1644" s="3" t="s">
        <v>6925</v>
      </c>
    </row>
    <row r="1645" spans="1:38" ht="21" customHeight="1" outlineLevel="5" x14ac:dyDescent="0.2">
      <c r="A1645" s="39">
        <v>1247</v>
      </c>
      <c r="B1645" s="3" t="s">
        <v>6931</v>
      </c>
      <c r="C1645" s="49" t="s">
        <v>6932</v>
      </c>
      <c r="D1645" s="49"/>
      <c r="E1645" s="49"/>
      <c r="F1645" s="49"/>
      <c r="G1645" s="4" t="s">
        <v>6933</v>
      </c>
      <c r="H1645" s="8"/>
      <c r="I1645" s="9" t="s">
        <v>6900</v>
      </c>
      <c r="J1645" s="10"/>
      <c r="K1645" s="11">
        <v>30</v>
      </c>
      <c r="L1645" s="10"/>
      <c r="M1645" s="10" t="s">
        <v>47</v>
      </c>
      <c r="N1645" s="10"/>
      <c r="O1645" s="2">
        <v>3</v>
      </c>
      <c r="P1645" s="17">
        <f>249*(1-S3/100)</f>
        <v>249</v>
      </c>
      <c r="Q1645" s="18"/>
      <c r="R1645" s="10">
        <f>P1645*Q1645</f>
        <v>0</v>
      </c>
      <c r="S1645" s="28">
        <f>0.07*Q1645</f>
        <v>0</v>
      </c>
      <c r="T1645" s="20">
        <f>0.00026*Q1645</f>
        <v>0</v>
      </c>
      <c r="U1645" s="21"/>
      <c r="V1645" s="22" t="s">
        <v>6934</v>
      </c>
      <c r="W1645" s="22" t="s">
        <v>49</v>
      </c>
      <c r="X1645" s="3"/>
      <c r="Y1645" s="3" t="s">
        <v>6935</v>
      </c>
      <c r="Z1645" s="3" t="s">
        <v>52</v>
      </c>
      <c r="AA1645" s="3" t="s">
        <v>3040</v>
      </c>
      <c r="AB1645" s="3"/>
      <c r="AC1645" s="3" t="str">
        <f>HYPERLINK("https://knigipp.ru/api/getInfo/image/34f3639e-bea8-11ee-a25a-00155d82e908")</f>
        <v>https://knigipp.ru/api/getInfo/image/34f3639e-bea8-11ee-a25a-00155d82e908</v>
      </c>
      <c r="AD1645" s="32">
        <v>8</v>
      </c>
      <c r="AE1645" s="3" t="s">
        <v>54</v>
      </c>
      <c r="AF1645" s="3" t="s">
        <v>136</v>
      </c>
      <c r="AG1645" s="3"/>
      <c r="AH1645" s="3" t="s">
        <v>56</v>
      </c>
      <c r="AI1645" s="3"/>
      <c r="AJ1645" s="3"/>
      <c r="AK1645" s="3" t="str">
        <f>HYPERLINK("https://knigipp.ru/api/getInfo/item/34f3639e-bea8-11ee-a25a-00155d82e908")</f>
        <v>https://knigipp.ru/api/getInfo/item/34f3639e-bea8-11ee-a25a-00155d82e908</v>
      </c>
      <c r="AL1645" s="3" t="s">
        <v>4831</v>
      </c>
    </row>
    <row r="1646" spans="1:38" ht="23.1" customHeight="1" outlineLevel="4" x14ac:dyDescent="0.2">
      <c r="A1646" s="55" t="s">
        <v>6936</v>
      </c>
      <c r="B1646" s="55"/>
      <c r="C1646" s="55"/>
      <c r="D1646" s="55"/>
      <c r="E1646" s="55"/>
      <c r="F1646" s="55"/>
    </row>
    <row r="1647" spans="1:38" ht="21" customHeight="1" outlineLevel="5" x14ac:dyDescent="0.2">
      <c r="A1647" s="39">
        <v>1248</v>
      </c>
      <c r="B1647" s="3" t="s">
        <v>6937</v>
      </c>
      <c r="C1647" s="49" t="s">
        <v>6938</v>
      </c>
      <c r="D1647" s="49"/>
      <c r="E1647" s="49"/>
      <c r="F1647" s="49"/>
      <c r="G1647" s="4" t="s">
        <v>6939</v>
      </c>
      <c r="H1647" s="8"/>
      <c r="I1647" s="9" t="s">
        <v>6940</v>
      </c>
      <c r="J1647" s="10"/>
      <c r="K1647" s="11">
        <v>30</v>
      </c>
      <c r="L1647" s="10"/>
      <c r="M1647" s="10" t="s">
        <v>47</v>
      </c>
      <c r="N1647" s="10"/>
      <c r="O1647" s="2">
        <v>3</v>
      </c>
      <c r="P1647" s="17">
        <f>247*(1-S3/100)</f>
        <v>247</v>
      </c>
      <c r="Q1647" s="18"/>
      <c r="R1647" s="10">
        <f>P1647*Q1647</f>
        <v>0</v>
      </c>
      <c r="S1647" s="19">
        <f>0.048*Q1647</f>
        <v>0</v>
      </c>
      <c r="T1647" s="20">
        <f>0.00016*Q1647</f>
        <v>0</v>
      </c>
      <c r="U1647" s="21"/>
      <c r="V1647" s="22" t="s">
        <v>6941</v>
      </c>
      <c r="W1647" s="22" t="s">
        <v>49</v>
      </c>
      <c r="X1647" s="3"/>
      <c r="Y1647" s="3" t="s">
        <v>6942</v>
      </c>
      <c r="Z1647" s="3" t="s">
        <v>460</v>
      </c>
      <c r="AA1647" s="3"/>
      <c r="AB1647" s="3"/>
      <c r="AC1647" s="3" t="str">
        <f>HYPERLINK("https://knigipp.ru/api/getInfo/image/ecd50945-25c2-11f0-a279-00155d82e908")</f>
        <v>https://knigipp.ru/api/getInfo/image/ecd50945-25c2-11f0-a279-00155d82e908</v>
      </c>
      <c r="AD1647" s="32">
        <v>8</v>
      </c>
      <c r="AE1647" s="3"/>
      <c r="AF1647" s="3" t="s">
        <v>136</v>
      </c>
      <c r="AG1647" s="3"/>
      <c r="AH1647" s="3" t="s">
        <v>56</v>
      </c>
      <c r="AI1647" s="3"/>
      <c r="AJ1647" s="3"/>
      <c r="AK1647" s="3" t="str">
        <f>HYPERLINK("https://knigipp.ru/api/getInfo/item/ecd50945-25c2-11f0-a279-00155d82e908")</f>
        <v>https://knigipp.ru/api/getInfo/item/ecd50945-25c2-11f0-a279-00155d82e908</v>
      </c>
      <c r="AL1647" s="3" t="s">
        <v>4046</v>
      </c>
    </row>
    <row r="1648" spans="1:38" ht="21" customHeight="1" outlineLevel="5" x14ac:dyDescent="0.2">
      <c r="A1648" s="39">
        <v>1249</v>
      </c>
      <c r="B1648" s="3" t="s">
        <v>6943</v>
      </c>
      <c r="C1648" s="49" t="s">
        <v>6944</v>
      </c>
      <c r="D1648" s="49"/>
      <c r="E1648" s="49"/>
      <c r="F1648" s="49"/>
      <c r="G1648" s="4" t="s">
        <v>6945</v>
      </c>
      <c r="H1648" s="8"/>
      <c r="I1648" s="9" t="s">
        <v>6940</v>
      </c>
      <c r="J1648" s="10"/>
      <c r="K1648" s="11">
        <v>30</v>
      </c>
      <c r="L1648" s="10"/>
      <c r="M1648" s="10" t="s">
        <v>47</v>
      </c>
      <c r="N1648" s="10"/>
      <c r="O1648" s="2">
        <v>3</v>
      </c>
      <c r="P1648" s="17">
        <f>247*(1-S3/100)</f>
        <v>247</v>
      </c>
      <c r="Q1648" s="18"/>
      <c r="R1648" s="10">
        <f>P1648*Q1648</f>
        <v>0</v>
      </c>
      <c r="S1648" s="19">
        <f>0.048*Q1648</f>
        <v>0</v>
      </c>
      <c r="T1648" s="20">
        <f>0.00016*Q1648</f>
        <v>0</v>
      </c>
      <c r="U1648" s="21"/>
      <c r="V1648" s="22" t="s">
        <v>6946</v>
      </c>
      <c r="W1648" s="22" t="s">
        <v>49</v>
      </c>
      <c r="X1648" s="3"/>
      <c r="Y1648" s="3" t="s">
        <v>6947</v>
      </c>
      <c r="Z1648" s="3" t="s">
        <v>460</v>
      </c>
      <c r="AA1648" s="3"/>
      <c r="AB1648" s="3"/>
      <c r="AC1648" s="3" t="str">
        <f>HYPERLINK("https://knigipp.ru/api/getInfo/image/5df5d92a-25c3-11f0-a279-00155d82e908")</f>
        <v>https://knigipp.ru/api/getInfo/image/5df5d92a-25c3-11f0-a279-00155d82e908</v>
      </c>
      <c r="AD1648" s="32">
        <v>8</v>
      </c>
      <c r="AE1648" s="3"/>
      <c r="AF1648" s="3" t="s">
        <v>136</v>
      </c>
      <c r="AG1648" s="3"/>
      <c r="AH1648" s="3" t="s">
        <v>56</v>
      </c>
      <c r="AI1648" s="3"/>
      <c r="AJ1648" s="3"/>
      <c r="AK1648" s="3" t="str">
        <f>HYPERLINK("https://knigipp.ru/api/getInfo/item/5df5d92a-25c3-11f0-a279-00155d82e908")</f>
        <v>https://knigipp.ru/api/getInfo/item/5df5d92a-25c3-11f0-a279-00155d82e908</v>
      </c>
      <c r="AL1648" s="3" t="s">
        <v>4046</v>
      </c>
    </row>
    <row r="1649" spans="1:38" ht="21" customHeight="1" outlineLevel="5" x14ac:dyDescent="0.2">
      <c r="A1649" s="39">
        <v>1250</v>
      </c>
      <c r="B1649" s="3" t="s">
        <v>6948</v>
      </c>
      <c r="C1649" s="49" t="s">
        <v>6949</v>
      </c>
      <c r="D1649" s="49"/>
      <c r="E1649" s="49"/>
      <c r="F1649" s="49"/>
      <c r="G1649" s="4" t="s">
        <v>6950</v>
      </c>
      <c r="H1649" s="8"/>
      <c r="I1649" s="9" t="s">
        <v>6940</v>
      </c>
      <c r="J1649" s="10"/>
      <c r="K1649" s="11">
        <v>30</v>
      </c>
      <c r="L1649" s="10"/>
      <c r="M1649" s="10" t="s">
        <v>47</v>
      </c>
      <c r="N1649" s="10"/>
      <c r="O1649" s="2">
        <v>3</v>
      </c>
      <c r="P1649" s="17">
        <f>247*(1-S3/100)</f>
        <v>247</v>
      </c>
      <c r="Q1649" s="18"/>
      <c r="R1649" s="10">
        <f>P1649*Q1649</f>
        <v>0</v>
      </c>
      <c r="S1649" s="19">
        <f>0.048*Q1649</f>
        <v>0</v>
      </c>
      <c r="T1649" s="20">
        <f>0.00016*Q1649</f>
        <v>0</v>
      </c>
      <c r="U1649" s="21"/>
      <c r="V1649" s="22" t="s">
        <v>6951</v>
      </c>
      <c r="W1649" s="22" t="s">
        <v>49</v>
      </c>
      <c r="X1649" s="3"/>
      <c r="Y1649" s="3" t="s">
        <v>6952</v>
      </c>
      <c r="Z1649" s="3" t="s">
        <v>460</v>
      </c>
      <c r="AA1649" s="3"/>
      <c r="AB1649" s="3"/>
      <c r="AC1649" s="3" t="str">
        <f>HYPERLINK("https://knigipp.ru/api/getInfo/image/b56ea3cd-25c2-11f0-a279-00155d82e908")</f>
        <v>https://knigipp.ru/api/getInfo/image/b56ea3cd-25c2-11f0-a279-00155d82e908</v>
      </c>
      <c r="AD1649" s="32">
        <v>8</v>
      </c>
      <c r="AE1649" s="3"/>
      <c r="AF1649" s="3" t="s">
        <v>136</v>
      </c>
      <c r="AG1649" s="3"/>
      <c r="AH1649" s="3" t="s">
        <v>56</v>
      </c>
      <c r="AI1649" s="3"/>
      <c r="AJ1649" s="3"/>
      <c r="AK1649" s="3" t="str">
        <f>HYPERLINK("https://knigipp.ru/api/getInfo/item/b56ea3cd-25c2-11f0-a279-00155d82e908")</f>
        <v>https://knigipp.ru/api/getInfo/item/b56ea3cd-25c2-11f0-a279-00155d82e908</v>
      </c>
      <c r="AL1649" s="3" t="s">
        <v>4046</v>
      </c>
    </row>
    <row r="1650" spans="1:38" ht="21" customHeight="1" outlineLevel="5" x14ac:dyDescent="0.2">
      <c r="A1650" s="39">
        <v>1251</v>
      </c>
      <c r="B1650" s="3" t="s">
        <v>6953</v>
      </c>
      <c r="C1650" s="49" t="s">
        <v>6954</v>
      </c>
      <c r="D1650" s="49"/>
      <c r="E1650" s="49"/>
      <c r="F1650" s="49"/>
      <c r="G1650" s="4" t="s">
        <v>6955</v>
      </c>
      <c r="H1650" s="8"/>
      <c r="I1650" s="9" t="s">
        <v>6940</v>
      </c>
      <c r="J1650" s="10"/>
      <c r="K1650" s="11">
        <v>30</v>
      </c>
      <c r="L1650" s="10"/>
      <c r="M1650" s="10" t="s">
        <v>47</v>
      </c>
      <c r="N1650" s="10"/>
      <c r="O1650" s="2">
        <v>3</v>
      </c>
      <c r="P1650" s="17">
        <f>247*(1-S3/100)</f>
        <v>247</v>
      </c>
      <c r="Q1650" s="18"/>
      <c r="R1650" s="10">
        <f>P1650*Q1650</f>
        <v>0</v>
      </c>
      <c r="S1650" s="19">
        <f>0.048*Q1650</f>
        <v>0</v>
      </c>
      <c r="T1650" s="20">
        <f>0.00016*Q1650</f>
        <v>0</v>
      </c>
      <c r="U1650" s="21"/>
      <c r="V1650" s="22" t="s">
        <v>6956</v>
      </c>
      <c r="W1650" s="22" t="s">
        <v>49</v>
      </c>
      <c r="X1650" s="3"/>
      <c r="Y1650" s="3" t="s">
        <v>6957</v>
      </c>
      <c r="Z1650" s="3" t="s">
        <v>460</v>
      </c>
      <c r="AA1650" s="3"/>
      <c r="AB1650" s="3"/>
      <c r="AC1650" s="3" t="str">
        <f>HYPERLINK("https://knigipp.ru/api/getInfo/image/3533a8d4-25c3-11f0-a279-00155d82e908")</f>
        <v>https://knigipp.ru/api/getInfo/image/3533a8d4-25c3-11f0-a279-00155d82e908</v>
      </c>
      <c r="AD1650" s="32">
        <v>8</v>
      </c>
      <c r="AE1650" s="3"/>
      <c r="AF1650" s="3" t="s">
        <v>136</v>
      </c>
      <c r="AG1650" s="3"/>
      <c r="AH1650" s="3" t="s">
        <v>56</v>
      </c>
      <c r="AI1650" s="3"/>
      <c r="AJ1650" s="3"/>
      <c r="AK1650" s="3" t="str">
        <f>HYPERLINK("https://knigipp.ru/api/getInfo/item/3533a8d4-25c3-11f0-a279-00155d82e908")</f>
        <v>https://knigipp.ru/api/getInfo/item/3533a8d4-25c3-11f0-a279-00155d82e908</v>
      </c>
      <c r="AL1650" s="3" t="s">
        <v>4046</v>
      </c>
    </row>
    <row r="1651" spans="1:38" ht="23.1" customHeight="1" outlineLevel="4" x14ac:dyDescent="0.2">
      <c r="A1651" s="55" t="s">
        <v>6958</v>
      </c>
      <c r="B1651" s="55"/>
      <c r="C1651" s="55"/>
      <c r="D1651" s="55"/>
      <c r="E1651" s="55"/>
      <c r="F1651" s="55"/>
    </row>
    <row r="1652" spans="1:38" ht="21" customHeight="1" outlineLevel="5" x14ac:dyDescent="0.2">
      <c r="A1652" s="39">
        <v>1252</v>
      </c>
      <c r="B1652" s="3" t="s">
        <v>6959</v>
      </c>
      <c r="C1652" s="49" t="s">
        <v>6960</v>
      </c>
      <c r="D1652" s="49"/>
      <c r="E1652" s="49"/>
      <c r="F1652" s="49"/>
      <c r="G1652" s="4" t="s">
        <v>6961</v>
      </c>
      <c r="H1652" s="8"/>
      <c r="I1652" s="9" t="s">
        <v>6962</v>
      </c>
      <c r="J1652" s="10"/>
      <c r="K1652" s="11">
        <v>30</v>
      </c>
      <c r="L1652" s="10"/>
      <c r="M1652" s="10" t="s">
        <v>47</v>
      </c>
      <c r="N1652" s="10"/>
      <c r="O1652" s="2">
        <v>2</v>
      </c>
      <c r="P1652" s="17">
        <f>277*(1-S3/100)</f>
        <v>277</v>
      </c>
      <c r="Q1652" s="18"/>
      <c r="R1652" s="10">
        <f>P1652*Q1652</f>
        <v>0</v>
      </c>
      <c r="S1652" s="19">
        <f>0.074*Q1652</f>
        <v>0</v>
      </c>
      <c r="T1652" s="20">
        <f>0.00011*Q1652</f>
        <v>0</v>
      </c>
      <c r="U1652" s="21"/>
      <c r="V1652" s="22" t="s">
        <v>6963</v>
      </c>
      <c r="W1652" s="22" t="s">
        <v>49</v>
      </c>
      <c r="X1652" s="3"/>
      <c r="Y1652" s="3" t="s">
        <v>6964</v>
      </c>
      <c r="Z1652" s="3" t="s">
        <v>52</v>
      </c>
      <c r="AA1652" s="3"/>
      <c r="AB1652" s="3"/>
      <c r="AC1652" s="3" t="str">
        <f>HYPERLINK("https://knigipp.ru/api/getInfo/image/3b74ebb0-1d99-11ef-a25e-00155d82e908")</f>
        <v>https://knigipp.ru/api/getInfo/image/3b74ebb0-1d99-11ef-a25e-00155d82e908</v>
      </c>
      <c r="AD1652" s="32">
        <v>8</v>
      </c>
      <c r="AE1652" s="3" t="s">
        <v>54</v>
      </c>
      <c r="AF1652" s="3" t="s">
        <v>136</v>
      </c>
      <c r="AG1652" s="3"/>
      <c r="AH1652" s="3" t="s">
        <v>56</v>
      </c>
      <c r="AI1652" s="3"/>
      <c r="AJ1652" s="3"/>
      <c r="AK1652" s="3" t="str">
        <f>HYPERLINK("https://knigipp.ru/api/getInfo/item/3b74ebb0-1d99-11ef-a25e-00155d82e908")</f>
        <v>https://knigipp.ru/api/getInfo/item/3b74ebb0-1d99-11ef-a25e-00155d82e908</v>
      </c>
      <c r="AL1652" s="3" t="s">
        <v>6965</v>
      </c>
    </row>
    <row r="1653" spans="1:38" ht="21" customHeight="1" outlineLevel="5" x14ac:dyDescent="0.2">
      <c r="A1653" s="39">
        <v>1253</v>
      </c>
      <c r="B1653" s="3" t="s">
        <v>6966</v>
      </c>
      <c r="C1653" s="49" t="s">
        <v>6967</v>
      </c>
      <c r="D1653" s="49"/>
      <c r="E1653" s="49"/>
      <c r="F1653" s="49"/>
      <c r="G1653" s="4" t="s">
        <v>6968</v>
      </c>
      <c r="H1653" s="8"/>
      <c r="I1653" s="9" t="s">
        <v>6962</v>
      </c>
      <c r="J1653" s="10"/>
      <c r="K1653" s="11">
        <v>30</v>
      </c>
      <c r="L1653" s="10"/>
      <c r="M1653" s="10" t="s">
        <v>47</v>
      </c>
      <c r="N1653" s="10"/>
      <c r="O1653" s="2">
        <v>2</v>
      </c>
      <c r="P1653" s="17">
        <f>277*(1-S3/100)</f>
        <v>277</v>
      </c>
      <c r="Q1653" s="18"/>
      <c r="R1653" s="10">
        <f>P1653*Q1653</f>
        <v>0</v>
      </c>
      <c r="S1653" s="19">
        <f>0.074*Q1653</f>
        <v>0</v>
      </c>
      <c r="T1653" s="20">
        <f>0.00011*Q1653</f>
        <v>0</v>
      </c>
      <c r="U1653" s="21"/>
      <c r="V1653" s="22" t="s">
        <v>6969</v>
      </c>
      <c r="W1653" s="22" t="s">
        <v>49</v>
      </c>
      <c r="X1653" s="3"/>
      <c r="Y1653" s="3" t="s">
        <v>6970</v>
      </c>
      <c r="Z1653" s="3" t="s">
        <v>52</v>
      </c>
      <c r="AA1653" s="3"/>
      <c r="AB1653" s="3"/>
      <c r="AC1653" s="3" t="str">
        <f>HYPERLINK("https://knigipp.ru/api/getInfo/image/14148468-1d99-11ef-a25e-00155d82e908")</f>
        <v>https://knigipp.ru/api/getInfo/image/14148468-1d99-11ef-a25e-00155d82e908</v>
      </c>
      <c r="AD1653" s="32">
        <v>8</v>
      </c>
      <c r="AE1653" s="3" t="s">
        <v>54</v>
      </c>
      <c r="AF1653" s="3" t="s">
        <v>136</v>
      </c>
      <c r="AG1653" s="3"/>
      <c r="AH1653" s="3" t="s">
        <v>56</v>
      </c>
      <c r="AI1653" s="3"/>
      <c r="AJ1653" s="3"/>
      <c r="AK1653" s="3" t="str">
        <f>HYPERLINK("https://knigipp.ru/api/getInfo/item/14148468-1d99-11ef-a25e-00155d82e908")</f>
        <v>https://knigipp.ru/api/getInfo/item/14148468-1d99-11ef-a25e-00155d82e908</v>
      </c>
      <c r="AL1653" s="3" t="s">
        <v>6965</v>
      </c>
    </row>
    <row r="1654" spans="1:38" ht="21" customHeight="1" outlineLevel="5" x14ac:dyDescent="0.2">
      <c r="A1654" s="39">
        <v>1254</v>
      </c>
      <c r="B1654" s="3" t="s">
        <v>6971</v>
      </c>
      <c r="C1654" s="49" t="s">
        <v>6972</v>
      </c>
      <c r="D1654" s="49"/>
      <c r="E1654" s="49"/>
      <c r="F1654" s="49"/>
      <c r="G1654" s="4" t="s">
        <v>6973</v>
      </c>
      <c r="H1654" s="8"/>
      <c r="I1654" s="9" t="s">
        <v>6962</v>
      </c>
      <c r="J1654" s="10"/>
      <c r="K1654" s="11">
        <v>30</v>
      </c>
      <c r="L1654" s="10"/>
      <c r="M1654" s="10" t="s">
        <v>47</v>
      </c>
      <c r="N1654" s="10"/>
      <c r="O1654" s="2">
        <v>2</v>
      </c>
      <c r="P1654" s="17">
        <f>277*(1-S3/100)</f>
        <v>277</v>
      </c>
      <c r="Q1654" s="18"/>
      <c r="R1654" s="10">
        <f>P1654*Q1654</f>
        <v>0</v>
      </c>
      <c r="S1654" s="19">
        <f>0.074*Q1654</f>
        <v>0</v>
      </c>
      <c r="T1654" s="20">
        <f>0.00011*Q1654</f>
        <v>0</v>
      </c>
      <c r="U1654" s="21"/>
      <c r="V1654" s="22" t="s">
        <v>6974</v>
      </c>
      <c r="W1654" s="22" t="s">
        <v>49</v>
      </c>
      <c r="X1654" s="3"/>
      <c r="Y1654" s="3" t="s">
        <v>6975</v>
      </c>
      <c r="Z1654" s="3" t="s">
        <v>52</v>
      </c>
      <c r="AA1654" s="3"/>
      <c r="AB1654" s="3"/>
      <c r="AC1654" s="3" t="str">
        <f>HYPERLINK("https://knigipp.ru/api/getInfo/image/b8f59bcb-1d98-11ef-a25e-00155d82e908")</f>
        <v>https://knigipp.ru/api/getInfo/image/b8f59bcb-1d98-11ef-a25e-00155d82e908</v>
      </c>
      <c r="AD1654" s="32">
        <v>8</v>
      </c>
      <c r="AE1654" s="3" t="s">
        <v>54</v>
      </c>
      <c r="AF1654" s="3" t="s">
        <v>136</v>
      </c>
      <c r="AG1654" s="3"/>
      <c r="AH1654" s="3" t="s">
        <v>56</v>
      </c>
      <c r="AI1654" s="3"/>
      <c r="AJ1654" s="3"/>
      <c r="AK1654" s="3" t="str">
        <f>HYPERLINK("https://knigipp.ru/api/getInfo/item/b8f59bcb-1d98-11ef-a25e-00155d82e908")</f>
        <v>https://knigipp.ru/api/getInfo/item/b8f59bcb-1d98-11ef-a25e-00155d82e908</v>
      </c>
      <c r="AL1654" s="3" t="s">
        <v>6965</v>
      </c>
    </row>
    <row r="1655" spans="1:38" ht="21" customHeight="1" outlineLevel="5" x14ac:dyDescent="0.2">
      <c r="A1655" s="39">
        <v>1255</v>
      </c>
      <c r="B1655" s="3" t="s">
        <v>6976</v>
      </c>
      <c r="C1655" s="49" t="s">
        <v>6977</v>
      </c>
      <c r="D1655" s="49"/>
      <c r="E1655" s="49"/>
      <c r="F1655" s="49"/>
      <c r="G1655" s="4" t="s">
        <v>6978</v>
      </c>
      <c r="H1655" s="8"/>
      <c r="I1655" s="9" t="s">
        <v>6962</v>
      </c>
      <c r="J1655" s="10"/>
      <c r="K1655" s="11">
        <v>30</v>
      </c>
      <c r="L1655" s="10"/>
      <c r="M1655" s="10" t="s">
        <v>47</v>
      </c>
      <c r="N1655" s="10"/>
      <c r="O1655" s="2">
        <v>2</v>
      </c>
      <c r="P1655" s="17">
        <f>277*(1-S3/100)</f>
        <v>277</v>
      </c>
      <c r="Q1655" s="18"/>
      <c r="R1655" s="10">
        <f>P1655*Q1655</f>
        <v>0</v>
      </c>
      <c r="S1655" s="19">
        <f>0.074*Q1655</f>
        <v>0</v>
      </c>
      <c r="T1655" s="20">
        <f>0.00011*Q1655</f>
        <v>0</v>
      </c>
      <c r="U1655" s="21"/>
      <c r="V1655" s="22" t="s">
        <v>6979</v>
      </c>
      <c r="W1655" s="22" t="s">
        <v>49</v>
      </c>
      <c r="X1655" s="3"/>
      <c r="Y1655" s="3" t="s">
        <v>6980</v>
      </c>
      <c r="Z1655" s="3" t="s">
        <v>52</v>
      </c>
      <c r="AA1655" s="3"/>
      <c r="AB1655" s="3"/>
      <c r="AC1655" s="3" t="str">
        <f>HYPERLINK("https://knigipp.ru/api/getInfo/image/e4fe09c6-1d98-11ef-a25e-00155d82e908")</f>
        <v>https://knigipp.ru/api/getInfo/image/e4fe09c6-1d98-11ef-a25e-00155d82e908</v>
      </c>
      <c r="AD1655" s="32">
        <v>8</v>
      </c>
      <c r="AE1655" s="3" t="s">
        <v>54</v>
      </c>
      <c r="AF1655" s="3" t="s">
        <v>136</v>
      </c>
      <c r="AG1655" s="3"/>
      <c r="AH1655" s="3" t="s">
        <v>56</v>
      </c>
      <c r="AI1655" s="3"/>
      <c r="AJ1655" s="3"/>
      <c r="AK1655" s="3" t="str">
        <f>HYPERLINK("https://knigipp.ru/api/getInfo/item/e4fe09c6-1d98-11ef-a25e-00155d82e908")</f>
        <v>https://knigipp.ru/api/getInfo/item/e4fe09c6-1d98-11ef-a25e-00155d82e908</v>
      </c>
      <c r="AL1655" s="3" t="s">
        <v>6965</v>
      </c>
    </row>
    <row r="1656" spans="1:38" ht="23.1" customHeight="1" outlineLevel="4" x14ac:dyDescent="0.2">
      <c r="A1656" s="55" t="s">
        <v>6981</v>
      </c>
      <c r="B1656" s="55"/>
      <c r="C1656" s="55"/>
      <c r="D1656" s="55"/>
      <c r="E1656" s="55"/>
      <c r="F1656" s="55"/>
    </row>
    <row r="1657" spans="1:38" ht="21" customHeight="1" outlineLevel="5" x14ac:dyDescent="0.2">
      <c r="A1657" s="39">
        <v>1256</v>
      </c>
      <c r="B1657" s="3" t="s">
        <v>6982</v>
      </c>
      <c r="C1657" s="49" t="s">
        <v>6983</v>
      </c>
      <c r="D1657" s="49"/>
      <c r="E1657" s="49"/>
      <c r="F1657" s="49"/>
      <c r="G1657" s="4" t="s">
        <v>6984</v>
      </c>
      <c r="H1657" s="8"/>
      <c r="I1657" s="9" t="s">
        <v>6985</v>
      </c>
      <c r="J1657" s="10"/>
      <c r="K1657" s="11">
        <v>30</v>
      </c>
      <c r="L1657" s="10"/>
      <c r="M1657" s="10" t="s">
        <v>47</v>
      </c>
      <c r="N1657" s="10"/>
      <c r="O1657" s="2">
        <v>3</v>
      </c>
      <c r="P1657" s="17">
        <f>107*(1-S3/100)</f>
        <v>107</v>
      </c>
      <c r="Q1657" s="18"/>
      <c r="R1657" s="10">
        <f t="shared" ref="R1657:R1669" si="70">P1657*Q1657</f>
        <v>0</v>
      </c>
      <c r="S1657" s="19">
        <f>0.054*Q1657</f>
        <v>0</v>
      </c>
      <c r="T1657" s="20">
        <f>0.01008*Q1657</f>
        <v>0</v>
      </c>
      <c r="U1657" s="21"/>
      <c r="V1657" s="22" t="s">
        <v>6986</v>
      </c>
      <c r="W1657" s="22" t="s">
        <v>49</v>
      </c>
      <c r="X1657" s="3"/>
      <c r="Y1657" s="3" t="s">
        <v>6987</v>
      </c>
      <c r="Z1657" s="3" t="s">
        <v>460</v>
      </c>
      <c r="AA1657" s="3"/>
      <c r="AB1657" s="3"/>
      <c r="AC1657" s="3" t="str">
        <f>HYPERLINK("https://knigipp.ru/api/getInfo/image/a717ee22-9c8c-11ed-a22e-00155d82e902")</f>
        <v>https://knigipp.ru/api/getInfo/image/a717ee22-9c8c-11ed-a22e-00155d82e902</v>
      </c>
      <c r="AD1657" s="32">
        <v>12</v>
      </c>
      <c r="AE1657" s="3"/>
      <c r="AF1657" s="3" t="s">
        <v>136</v>
      </c>
      <c r="AG1657" s="3"/>
      <c r="AH1657" s="3" t="s">
        <v>56</v>
      </c>
      <c r="AI1657" s="3"/>
      <c r="AJ1657" s="3"/>
      <c r="AK1657" s="3" t="str">
        <f>HYPERLINK("https://knigipp.ru/api/getInfo/item/a717ee22-9c8c-11ed-a22e-00155d82e902")</f>
        <v>https://knigipp.ru/api/getInfo/item/a717ee22-9c8c-11ed-a22e-00155d82e902</v>
      </c>
      <c r="AL1657" s="3" t="s">
        <v>6988</v>
      </c>
    </row>
    <row r="1658" spans="1:38" ht="21" customHeight="1" outlineLevel="5" x14ac:dyDescent="0.2">
      <c r="A1658" s="39">
        <v>1257</v>
      </c>
      <c r="B1658" s="3" t="s">
        <v>6989</v>
      </c>
      <c r="C1658" s="49" t="s">
        <v>6990</v>
      </c>
      <c r="D1658" s="49"/>
      <c r="E1658" s="49"/>
      <c r="F1658" s="49"/>
      <c r="G1658" s="4" t="s">
        <v>6991</v>
      </c>
      <c r="H1658" s="8"/>
      <c r="I1658" s="9" t="s">
        <v>6985</v>
      </c>
      <c r="J1658" s="10"/>
      <c r="K1658" s="11">
        <v>30</v>
      </c>
      <c r="L1658" s="10"/>
      <c r="M1658" s="10" t="s">
        <v>47</v>
      </c>
      <c r="N1658" s="10"/>
      <c r="O1658" s="2">
        <v>3</v>
      </c>
      <c r="P1658" s="17">
        <f>107*(1-S3/100)</f>
        <v>107</v>
      </c>
      <c r="Q1658" s="18"/>
      <c r="R1658" s="10">
        <f t="shared" si="70"/>
        <v>0</v>
      </c>
      <c r="S1658" s="19">
        <f>0.054*Q1658</f>
        <v>0</v>
      </c>
      <c r="T1658" s="20">
        <f>0.00024*Q1658</f>
        <v>0</v>
      </c>
      <c r="U1658" s="21"/>
      <c r="V1658" s="22" t="s">
        <v>6992</v>
      </c>
      <c r="W1658" s="22" t="s">
        <v>49</v>
      </c>
      <c r="X1658" s="3"/>
      <c r="Y1658" s="3" t="s">
        <v>6993</v>
      </c>
      <c r="Z1658" s="3" t="s">
        <v>460</v>
      </c>
      <c r="AA1658" s="3"/>
      <c r="AB1658" s="3"/>
      <c r="AC1658" s="3" t="str">
        <f>HYPERLINK("https://knigipp.ru/api/getInfo/image/e91ffb71-9c8c-11ed-a22e-00155d82e902")</f>
        <v>https://knigipp.ru/api/getInfo/image/e91ffb71-9c8c-11ed-a22e-00155d82e902</v>
      </c>
      <c r="AD1658" s="32">
        <v>12</v>
      </c>
      <c r="AE1658" s="3"/>
      <c r="AF1658" s="3" t="s">
        <v>136</v>
      </c>
      <c r="AG1658" s="3"/>
      <c r="AH1658" s="3" t="s">
        <v>56</v>
      </c>
      <c r="AI1658" s="3"/>
      <c r="AJ1658" s="3"/>
      <c r="AK1658" s="3" t="str">
        <f>HYPERLINK("https://knigipp.ru/api/getInfo/item/e91ffb71-9c8c-11ed-a22e-00155d82e902")</f>
        <v>https://knigipp.ru/api/getInfo/item/e91ffb71-9c8c-11ed-a22e-00155d82e902</v>
      </c>
      <c r="AL1658" s="3" t="s">
        <v>6988</v>
      </c>
    </row>
    <row r="1659" spans="1:38" ht="21" customHeight="1" outlineLevel="5" x14ac:dyDescent="0.2">
      <c r="A1659" s="39">
        <v>1258</v>
      </c>
      <c r="B1659" s="3" t="s">
        <v>6994</v>
      </c>
      <c r="C1659" s="49" t="s">
        <v>6995</v>
      </c>
      <c r="D1659" s="49"/>
      <c r="E1659" s="49"/>
      <c r="F1659" s="49"/>
      <c r="G1659" s="4" t="s">
        <v>6996</v>
      </c>
      <c r="H1659" s="8"/>
      <c r="I1659" s="9" t="s">
        <v>6985</v>
      </c>
      <c r="J1659" s="10"/>
      <c r="K1659" s="11">
        <v>30</v>
      </c>
      <c r="L1659" s="10"/>
      <c r="M1659" s="10" t="s">
        <v>47</v>
      </c>
      <c r="N1659" s="10"/>
      <c r="O1659" s="2">
        <v>3</v>
      </c>
      <c r="P1659" s="17">
        <f>107*(1-S3/100)</f>
        <v>107</v>
      </c>
      <c r="Q1659" s="18"/>
      <c r="R1659" s="10">
        <f t="shared" si="70"/>
        <v>0</v>
      </c>
      <c r="S1659" s="19">
        <f>0.053*Q1659</f>
        <v>0</v>
      </c>
      <c r="T1659" s="20">
        <f>0.00016*Q1659</f>
        <v>0</v>
      </c>
      <c r="U1659" s="21"/>
      <c r="V1659" s="22" t="s">
        <v>6997</v>
      </c>
      <c r="W1659" s="22" t="s">
        <v>49</v>
      </c>
      <c r="X1659" s="3"/>
      <c r="Y1659" s="3" t="s">
        <v>6998</v>
      </c>
      <c r="Z1659" s="3" t="s">
        <v>460</v>
      </c>
      <c r="AA1659" s="3"/>
      <c r="AB1659" s="3"/>
      <c r="AC1659" s="3" t="str">
        <f>HYPERLINK("https://knigipp.ru/api/getInfo/image/133fcb43-9c8d-11ed-a22e-00155d82e902")</f>
        <v>https://knigipp.ru/api/getInfo/image/133fcb43-9c8d-11ed-a22e-00155d82e902</v>
      </c>
      <c r="AD1659" s="32">
        <v>12</v>
      </c>
      <c r="AE1659" s="3"/>
      <c r="AF1659" s="3" t="s">
        <v>136</v>
      </c>
      <c r="AG1659" s="3"/>
      <c r="AH1659" s="3" t="s">
        <v>56</v>
      </c>
      <c r="AI1659" s="3"/>
      <c r="AJ1659" s="3"/>
      <c r="AK1659" s="3" t="str">
        <f>HYPERLINK("https://knigipp.ru/api/getInfo/item/133fcb43-9c8d-11ed-a22e-00155d82e902")</f>
        <v>https://knigipp.ru/api/getInfo/item/133fcb43-9c8d-11ed-a22e-00155d82e902</v>
      </c>
      <c r="AL1659" s="3" t="s">
        <v>6988</v>
      </c>
    </row>
    <row r="1660" spans="1:38" ht="21" customHeight="1" outlineLevel="5" x14ac:dyDescent="0.2">
      <c r="A1660" s="40">
        <v>1259</v>
      </c>
      <c r="B1660" s="6" t="s">
        <v>6999</v>
      </c>
      <c r="C1660" s="54" t="s">
        <v>7000</v>
      </c>
      <c r="D1660" s="54"/>
      <c r="E1660" s="54"/>
      <c r="F1660" s="54"/>
      <c r="G1660" s="7" t="s">
        <v>7001</v>
      </c>
      <c r="H1660" s="12"/>
      <c r="I1660" s="13" t="s">
        <v>7002</v>
      </c>
      <c r="J1660" s="14"/>
      <c r="K1660" s="15">
        <v>30</v>
      </c>
      <c r="L1660" s="14"/>
      <c r="M1660" s="14" t="s">
        <v>47</v>
      </c>
      <c r="N1660" s="14"/>
      <c r="O1660" s="5">
        <v>3</v>
      </c>
      <c r="P1660" s="23">
        <f>107*(1-S3/100)</f>
        <v>107</v>
      </c>
      <c r="Q1660" s="18"/>
      <c r="R1660" s="14">
        <f t="shared" si="70"/>
        <v>0</v>
      </c>
      <c r="S1660" s="24">
        <f>0.053*Q1660</f>
        <v>0</v>
      </c>
      <c r="T1660" s="25">
        <f>0.00012*Q1660</f>
        <v>0</v>
      </c>
      <c r="U1660" s="26" t="s">
        <v>62</v>
      </c>
      <c r="V1660" s="27" t="s">
        <v>7003</v>
      </c>
      <c r="W1660" s="27" t="s">
        <v>49</v>
      </c>
      <c r="X1660" s="6"/>
      <c r="Y1660" s="6"/>
      <c r="Z1660" s="6" t="s">
        <v>460</v>
      </c>
      <c r="AA1660" s="6"/>
      <c r="AB1660" s="6"/>
      <c r="AC1660" s="6" t="str">
        <f>HYPERLINK("https://knigipp.ru/api/getInfo/image/b151a99a-290e-11f1-a291-00155d82e908")</f>
        <v>https://knigipp.ru/api/getInfo/image/b151a99a-290e-11f1-a291-00155d82e908</v>
      </c>
      <c r="AD1660" s="33">
        <v>12</v>
      </c>
      <c r="AE1660" s="6" t="s">
        <v>54</v>
      </c>
      <c r="AF1660" s="6" t="s">
        <v>136</v>
      </c>
      <c r="AG1660" s="6"/>
      <c r="AH1660" s="6" t="s">
        <v>56</v>
      </c>
      <c r="AI1660" s="6"/>
      <c r="AJ1660" s="6"/>
      <c r="AK1660" s="6" t="str">
        <f>HYPERLINK("https://knigipp.ru/api/getInfo/item/b151a99a-290e-11f1-a291-00155d82e908")</f>
        <v>https://knigipp.ru/api/getInfo/item/b151a99a-290e-11f1-a291-00155d82e908</v>
      </c>
      <c r="AL1660" s="6" t="s">
        <v>6988</v>
      </c>
    </row>
    <row r="1661" spans="1:38" ht="21" customHeight="1" outlineLevel="5" x14ac:dyDescent="0.2">
      <c r="A1661" s="39">
        <v>1260</v>
      </c>
      <c r="B1661" s="3" t="s">
        <v>7004</v>
      </c>
      <c r="C1661" s="49" t="s">
        <v>7005</v>
      </c>
      <c r="D1661" s="49"/>
      <c r="E1661" s="49"/>
      <c r="F1661" s="49"/>
      <c r="G1661" s="4" t="s">
        <v>7006</v>
      </c>
      <c r="H1661" s="8"/>
      <c r="I1661" s="9" t="s">
        <v>7007</v>
      </c>
      <c r="J1661" s="10"/>
      <c r="K1661" s="11">
        <v>30</v>
      </c>
      <c r="L1661" s="10"/>
      <c r="M1661" s="10" t="s">
        <v>47</v>
      </c>
      <c r="N1661" s="10"/>
      <c r="O1661" s="2">
        <v>3</v>
      </c>
      <c r="P1661" s="17">
        <f>107*(1-S3/100)</f>
        <v>107</v>
      </c>
      <c r="Q1661" s="18"/>
      <c r="R1661" s="10">
        <f t="shared" si="70"/>
        <v>0</v>
      </c>
      <c r="S1661" s="28">
        <f>0.05*Q1661</f>
        <v>0</v>
      </c>
      <c r="T1661" s="20">
        <f>0.00012*Q1661</f>
        <v>0</v>
      </c>
      <c r="U1661" s="21"/>
      <c r="V1661" s="22" t="s">
        <v>7008</v>
      </c>
      <c r="W1661" s="22" t="s">
        <v>49</v>
      </c>
      <c r="X1661" s="3"/>
      <c r="Y1661" s="3" t="s">
        <v>7009</v>
      </c>
      <c r="Z1661" s="3" t="s">
        <v>460</v>
      </c>
      <c r="AA1661" s="3"/>
      <c r="AB1661" s="3"/>
      <c r="AC1661" s="3" t="str">
        <f>HYPERLINK("https://knigipp.ru/api/getInfo/image/19008d57-ae52-11ef-a267-00155d82e908")</f>
        <v>https://knigipp.ru/api/getInfo/image/19008d57-ae52-11ef-a267-00155d82e908</v>
      </c>
      <c r="AD1661" s="32">
        <v>12</v>
      </c>
      <c r="AE1661" s="3"/>
      <c r="AF1661" s="3" t="s">
        <v>136</v>
      </c>
      <c r="AG1661" s="3"/>
      <c r="AH1661" s="3" t="s">
        <v>56</v>
      </c>
      <c r="AI1661" s="3"/>
      <c r="AJ1661" s="3"/>
      <c r="AK1661" s="3" t="str">
        <f>HYPERLINK("https://knigipp.ru/api/getInfo/item/19008d57-ae52-11ef-a267-00155d82e908")</f>
        <v>https://knigipp.ru/api/getInfo/item/19008d57-ae52-11ef-a267-00155d82e908</v>
      </c>
      <c r="AL1661" s="3" t="s">
        <v>6988</v>
      </c>
    </row>
    <row r="1662" spans="1:38" ht="21" customHeight="1" outlineLevel="5" x14ac:dyDescent="0.2">
      <c r="A1662" s="39">
        <v>1261</v>
      </c>
      <c r="B1662" s="3" t="s">
        <v>7010</v>
      </c>
      <c r="C1662" s="49" t="s">
        <v>7011</v>
      </c>
      <c r="D1662" s="49"/>
      <c r="E1662" s="49"/>
      <c r="F1662" s="49"/>
      <c r="G1662" s="4" t="s">
        <v>7012</v>
      </c>
      <c r="H1662" s="8"/>
      <c r="I1662" s="9" t="s">
        <v>6985</v>
      </c>
      <c r="J1662" s="10"/>
      <c r="K1662" s="11">
        <v>30</v>
      </c>
      <c r="L1662" s="10"/>
      <c r="M1662" s="10" t="s">
        <v>47</v>
      </c>
      <c r="N1662" s="10"/>
      <c r="O1662" s="2">
        <v>3</v>
      </c>
      <c r="P1662" s="17">
        <f>107*(1-S3/100)</f>
        <v>107</v>
      </c>
      <c r="Q1662" s="18"/>
      <c r="R1662" s="10">
        <f t="shared" si="70"/>
        <v>0</v>
      </c>
      <c r="S1662" s="19">
        <f>0.054*Q1662</f>
        <v>0</v>
      </c>
      <c r="T1662" s="20">
        <f>0.00024*Q1662</f>
        <v>0</v>
      </c>
      <c r="U1662" s="21"/>
      <c r="V1662" s="22" t="s">
        <v>7013</v>
      </c>
      <c r="W1662" s="22" t="s">
        <v>49</v>
      </c>
      <c r="X1662" s="3"/>
      <c r="Y1662" s="3" t="s">
        <v>7014</v>
      </c>
      <c r="Z1662" s="3" t="s">
        <v>460</v>
      </c>
      <c r="AA1662" s="3"/>
      <c r="AB1662" s="3"/>
      <c r="AC1662" s="3" t="str">
        <f>HYPERLINK("https://knigipp.ru/api/getInfo/image/8c873248-9c8d-11ed-a22e-00155d82e902")</f>
        <v>https://knigipp.ru/api/getInfo/image/8c873248-9c8d-11ed-a22e-00155d82e902</v>
      </c>
      <c r="AD1662" s="32">
        <v>12</v>
      </c>
      <c r="AE1662" s="3"/>
      <c r="AF1662" s="3" t="s">
        <v>136</v>
      </c>
      <c r="AG1662" s="3"/>
      <c r="AH1662" s="3" t="s">
        <v>56</v>
      </c>
      <c r="AI1662" s="3"/>
      <c r="AJ1662" s="3"/>
      <c r="AK1662" s="3" t="str">
        <f>HYPERLINK("https://knigipp.ru/api/getInfo/item/8c873248-9c8d-11ed-a22e-00155d82e902")</f>
        <v>https://knigipp.ru/api/getInfo/item/8c873248-9c8d-11ed-a22e-00155d82e902</v>
      </c>
      <c r="AL1662" s="3" t="s">
        <v>6988</v>
      </c>
    </row>
    <row r="1663" spans="1:38" ht="21" customHeight="1" outlineLevel="5" x14ac:dyDescent="0.2">
      <c r="A1663" s="39">
        <v>1262</v>
      </c>
      <c r="B1663" s="3" t="s">
        <v>7015</v>
      </c>
      <c r="C1663" s="49" t="s">
        <v>7016</v>
      </c>
      <c r="D1663" s="49"/>
      <c r="E1663" s="49"/>
      <c r="F1663" s="49"/>
      <c r="G1663" s="4" t="s">
        <v>7017</v>
      </c>
      <c r="H1663" s="8"/>
      <c r="I1663" s="9" t="s">
        <v>6800</v>
      </c>
      <c r="J1663" s="10"/>
      <c r="K1663" s="11">
        <v>30</v>
      </c>
      <c r="L1663" s="10"/>
      <c r="M1663" s="10" t="s">
        <v>47</v>
      </c>
      <c r="N1663" s="10"/>
      <c r="O1663" s="2">
        <v>3</v>
      </c>
      <c r="P1663" s="17">
        <f>107*(1-S3/100)</f>
        <v>107</v>
      </c>
      <c r="Q1663" s="18"/>
      <c r="R1663" s="10">
        <f t="shared" si="70"/>
        <v>0</v>
      </c>
      <c r="S1663" s="19">
        <f>0.054*Q1663</f>
        <v>0</v>
      </c>
      <c r="T1663" s="20">
        <f>0.00004*Q1663</f>
        <v>0</v>
      </c>
      <c r="U1663" s="21"/>
      <c r="V1663" s="22" t="s">
        <v>7018</v>
      </c>
      <c r="W1663" s="22" t="s">
        <v>49</v>
      </c>
      <c r="X1663" s="3"/>
      <c r="Y1663" s="3" t="s">
        <v>7019</v>
      </c>
      <c r="Z1663" s="3" t="s">
        <v>460</v>
      </c>
      <c r="AA1663" s="3"/>
      <c r="AB1663" s="3"/>
      <c r="AC1663" s="3" t="str">
        <f>HYPERLINK("https://knigipp.ru/api/getInfo/image/2ee88e3b-b662-11f0-a286-00155d82e908")</f>
        <v>https://knigipp.ru/api/getInfo/image/2ee88e3b-b662-11f0-a286-00155d82e908</v>
      </c>
      <c r="AD1663" s="32">
        <v>12</v>
      </c>
      <c r="AE1663" s="3" t="s">
        <v>54</v>
      </c>
      <c r="AF1663" s="3" t="s">
        <v>136</v>
      </c>
      <c r="AG1663" s="3"/>
      <c r="AH1663" s="3" t="s">
        <v>56</v>
      </c>
      <c r="AI1663" s="3"/>
      <c r="AJ1663" s="3"/>
      <c r="AK1663" s="3" t="str">
        <f>HYPERLINK("https://knigipp.ru/api/getInfo/item/2ee88e3b-b662-11f0-a286-00155d82e908")</f>
        <v>https://knigipp.ru/api/getInfo/item/2ee88e3b-b662-11f0-a286-00155d82e908</v>
      </c>
      <c r="AL1663" s="3" t="s">
        <v>6988</v>
      </c>
    </row>
    <row r="1664" spans="1:38" ht="21" customHeight="1" outlineLevel="5" x14ac:dyDescent="0.2">
      <c r="A1664" s="39">
        <v>1263</v>
      </c>
      <c r="B1664" s="3" t="s">
        <v>7020</v>
      </c>
      <c r="C1664" s="49" t="s">
        <v>7021</v>
      </c>
      <c r="D1664" s="49"/>
      <c r="E1664" s="49"/>
      <c r="F1664" s="49"/>
      <c r="G1664" s="4" t="s">
        <v>7022</v>
      </c>
      <c r="H1664" s="8"/>
      <c r="I1664" s="9" t="s">
        <v>7023</v>
      </c>
      <c r="J1664" s="10"/>
      <c r="K1664" s="11">
        <v>30</v>
      </c>
      <c r="L1664" s="10"/>
      <c r="M1664" s="10" t="s">
        <v>47</v>
      </c>
      <c r="N1664" s="10"/>
      <c r="O1664" s="2">
        <v>3</v>
      </c>
      <c r="P1664" s="17">
        <f>107*(1-S3/100)</f>
        <v>107</v>
      </c>
      <c r="Q1664" s="18"/>
      <c r="R1664" s="10">
        <f t="shared" si="70"/>
        <v>0</v>
      </c>
      <c r="S1664" s="28">
        <f>0.05*Q1664</f>
        <v>0</v>
      </c>
      <c r="T1664" s="30">
        <f>0.0002*Q1664</f>
        <v>0</v>
      </c>
      <c r="U1664" s="21"/>
      <c r="V1664" s="22" t="s">
        <v>7024</v>
      </c>
      <c r="W1664" s="22" t="s">
        <v>49</v>
      </c>
      <c r="X1664" s="3"/>
      <c r="Y1664" s="3" t="s">
        <v>7025</v>
      </c>
      <c r="Z1664" s="3" t="s">
        <v>460</v>
      </c>
      <c r="AA1664" s="3"/>
      <c r="AB1664" s="3"/>
      <c r="AC1664" s="3" t="str">
        <f>HYPERLINK("https://knigipp.ru/api/getInfo/image/8050a7b0-e5e7-11ee-a25a-00155d82e908")</f>
        <v>https://knigipp.ru/api/getInfo/image/8050a7b0-e5e7-11ee-a25a-00155d82e908</v>
      </c>
      <c r="AD1664" s="32">
        <v>12</v>
      </c>
      <c r="AE1664" s="3"/>
      <c r="AF1664" s="3" t="s">
        <v>136</v>
      </c>
      <c r="AG1664" s="3"/>
      <c r="AH1664" s="3" t="s">
        <v>56</v>
      </c>
      <c r="AI1664" s="3"/>
      <c r="AJ1664" s="3"/>
      <c r="AK1664" s="3" t="str">
        <f>HYPERLINK("https://knigipp.ru/api/getInfo/item/8050a7b0-e5e7-11ee-a25a-00155d82e908")</f>
        <v>https://knigipp.ru/api/getInfo/item/8050a7b0-e5e7-11ee-a25a-00155d82e908</v>
      </c>
      <c r="AL1664" s="3" t="s">
        <v>6988</v>
      </c>
    </row>
    <row r="1665" spans="1:38" ht="21" customHeight="1" outlineLevel="5" x14ac:dyDescent="0.2">
      <c r="A1665" s="39">
        <v>1264</v>
      </c>
      <c r="B1665" s="3" t="s">
        <v>7026</v>
      </c>
      <c r="C1665" s="49" t="s">
        <v>7027</v>
      </c>
      <c r="D1665" s="49"/>
      <c r="E1665" s="49"/>
      <c r="F1665" s="49"/>
      <c r="G1665" s="4" t="s">
        <v>7028</v>
      </c>
      <c r="H1665" s="8"/>
      <c r="I1665" s="9" t="s">
        <v>7023</v>
      </c>
      <c r="J1665" s="10"/>
      <c r="K1665" s="11">
        <v>30</v>
      </c>
      <c r="L1665" s="10"/>
      <c r="M1665" s="10" t="s">
        <v>47</v>
      </c>
      <c r="N1665" s="10"/>
      <c r="O1665" s="2">
        <v>3</v>
      </c>
      <c r="P1665" s="17">
        <f>107*(1-S3/100)</f>
        <v>107</v>
      </c>
      <c r="Q1665" s="18"/>
      <c r="R1665" s="10">
        <f t="shared" si="70"/>
        <v>0</v>
      </c>
      <c r="S1665" s="28">
        <f>0.05*Q1665</f>
        <v>0</v>
      </c>
      <c r="T1665" s="20">
        <f>0.00026*Q1665</f>
        <v>0</v>
      </c>
      <c r="U1665" s="21"/>
      <c r="V1665" s="22" t="s">
        <v>7029</v>
      </c>
      <c r="W1665" s="22" t="s">
        <v>49</v>
      </c>
      <c r="X1665" s="3"/>
      <c r="Y1665" s="3" t="s">
        <v>7030</v>
      </c>
      <c r="Z1665" s="3" t="s">
        <v>460</v>
      </c>
      <c r="AA1665" s="3"/>
      <c r="AB1665" s="3"/>
      <c r="AC1665" s="3" t="str">
        <f>HYPERLINK("https://knigipp.ru/api/getInfo/image/62795794-e5e7-11ee-a25a-00155d82e908")</f>
        <v>https://knigipp.ru/api/getInfo/image/62795794-e5e7-11ee-a25a-00155d82e908</v>
      </c>
      <c r="AD1665" s="32">
        <v>12</v>
      </c>
      <c r="AE1665" s="3"/>
      <c r="AF1665" s="3" t="s">
        <v>136</v>
      </c>
      <c r="AG1665" s="3"/>
      <c r="AH1665" s="3" t="s">
        <v>56</v>
      </c>
      <c r="AI1665" s="3"/>
      <c r="AJ1665" s="3"/>
      <c r="AK1665" s="3" t="str">
        <f>HYPERLINK("https://knigipp.ru/api/getInfo/item/62795794-e5e7-11ee-a25a-00155d82e908")</f>
        <v>https://knigipp.ru/api/getInfo/item/62795794-e5e7-11ee-a25a-00155d82e908</v>
      </c>
      <c r="AL1665" s="3" t="s">
        <v>6988</v>
      </c>
    </row>
    <row r="1666" spans="1:38" ht="21" customHeight="1" outlineLevel="5" x14ac:dyDescent="0.2">
      <c r="A1666" s="39">
        <v>1265</v>
      </c>
      <c r="B1666" s="3" t="s">
        <v>7031</v>
      </c>
      <c r="C1666" s="49" t="s">
        <v>7032</v>
      </c>
      <c r="D1666" s="49"/>
      <c r="E1666" s="49"/>
      <c r="F1666" s="49"/>
      <c r="G1666" s="4" t="s">
        <v>7033</v>
      </c>
      <c r="H1666" s="8"/>
      <c r="I1666" s="9" t="s">
        <v>7034</v>
      </c>
      <c r="J1666" s="10"/>
      <c r="K1666" s="11">
        <v>30</v>
      </c>
      <c r="L1666" s="10"/>
      <c r="M1666" s="10" t="s">
        <v>47</v>
      </c>
      <c r="N1666" s="10"/>
      <c r="O1666" s="2">
        <v>3</v>
      </c>
      <c r="P1666" s="17">
        <f>107*(1-S3/100)</f>
        <v>107</v>
      </c>
      <c r="Q1666" s="18"/>
      <c r="R1666" s="10">
        <f t="shared" si="70"/>
        <v>0</v>
      </c>
      <c r="S1666" s="19">
        <f>0.052*Q1666</f>
        <v>0</v>
      </c>
      <c r="T1666" s="20">
        <f>0.00024*Q1666</f>
        <v>0</v>
      </c>
      <c r="U1666" s="21"/>
      <c r="V1666" s="22" t="s">
        <v>7035</v>
      </c>
      <c r="W1666" s="22" t="s">
        <v>49</v>
      </c>
      <c r="X1666" s="3"/>
      <c r="Y1666" s="3" t="s">
        <v>7036</v>
      </c>
      <c r="Z1666" s="3" t="s">
        <v>460</v>
      </c>
      <c r="AA1666" s="3"/>
      <c r="AB1666" s="3"/>
      <c r="AC1666" s="3" t="str">
        <f>HYPERLINK("https://knigipp.ru/api/getInfo/image/531f9569-8770-11ee-a248-00155d82e902")</f>
        <v>https://knigipp.ru/api/getInfo/image/531f9569-8770-11ee-a248-00155d82e902</v>
      </c>
      <c r="AD1666" s="32">
        <v>12</v>
      </c>
      <c r="AE1666" s="3" t="s">
        <v>54</v>
      </c>
      <c r="AF1666" s="3" t="s">
        <v>136</v>
      </c>
      <c r="AG1666" s="3"/>
      <c r="AH1666" s="3" t="s">
        <v>56</v>
      </c>
      <c r="AI1666" s="3"/>
      <c r="AJ1666" s="3"/>
      <c r="AK1666" s="3" t="str">
        <f>HYPERLINK("https://knigipp.ru/api/getInfo/item/531f9569-8770-11ee-a248-00155d82e902")</f>
        <v>https://knigipp.ru/api/getInfo/item/531f9569-8770-11ee-a248-00155d82e902</v>
      </c>
      <c r="AL1666" s="3" t="s">
        <v>6988</v>
      </c>
    </row>
    <row r="1667" spans="1:38" ht="21" customHeight="1" outlineLevel="5" x14ac:dyDescent="0.2">
      <c r="A1667" s="39">
        <v>1266</v>
      </c>
      <c r="B1667" s="3" t="s">
        <v>7037</v>
      </c>
      <c r="C1667" s="49" t="s">
        <v>7038</v>
      </c>
      <c r="D1667" s="49"/>
      <c r="E1667" s="49"/>
      <c r="F1667" s="49"/>
      <c r="G1667" s="4" t="s">
        <v>7039</v>
      </c>
      <c r="H1667" s="8"/>
      <c r="I1667" s="9" t="s">
        <v>7040</v>
      </c>
      <c r="J1667" s="10"/>
      <c r="K1667" s="11">
        <v>30</v>
      </c>
      <c r="L1667" s="10"/>
      <c r="M1667" s="10" t="s">
        <v>47</v>
      </c>
      <c r="N1667" s="10"/>
      <c r="O1667" s="2">
        <v>3</v>
      </c>
      <c r="P1667" s="17">
        <f>107*(1-S3/100)</f>
        <v>107</v>
      </c>
      <c r="Q1667" s="18"/>
      <c r="R1667" s="10">
        <f t="shared" si="70"/>
        <v>0</v>
      </c>
      <c r="S1667" s="19">
        <f>0.051*Q1667</f>
        <v>0</v>
      </c>
      <c r="T1667" s="20">
        <f>0.00027*Q1667</f>
        <v>0</v>
      </c>
      <c r="U1667" s="21"/>
      <c r="V1667" s="22" t="s">
        <v>7041</v>
      </c>
      <c r="W1667" s="22" t="s">
        <v>49</v>
      </c>
      <c r="X1667" s="3"/>
      <c r="Y1667" s="3" t="s">
        <v>7042</v>
      </c>
      <c r="Z1667" s="3" t="s">
        <v>460</v>
      </c>
      <c r="AA1667" s="3"/>
      <c r="AB1667" s="3"/>
      <c r="AC1667" s="3" t="str">
        <f>HYPERLINK("https://knigipp.ru/api/getInfo/image/b22a05ea-7f3b-11ef-a265-00155d82e908")</f>
        <v>https://knigipp.ru/api/getInfo/image/b22a05ea-7f3b-11ef-a265-00155d82e908</v>
      </c>
      <c r="AD1667" s="32">
        <v>12</v>
      </c>
      <c r="AE1667" s="3" t="s">
        <v>54</v>
      </c>
      <c r="AF1667" s="3" t="s">
        <v>136</v>
      </c>
      <c r="AG1667" s="3"/>
      <c r="AH1667" s="3" t="s">
        <v>56</v>
      </c>
      <c r="AI1667" s="3"/>
      <c r="AJ1667" s="3"/>
      <c r="AK1667" s="3" t="str">
        <f>HYPERLINK("https://knigipp.ru/api/getInfo/item/b22a05ea-7f3b-11ef-a265-00155d82e908")</f>
        <v>https://knigipp.ru/api/getInfo/item/b22a05ea-7f3b-11ef-a265-00155d82e908</v>
      </c>
      <c r="AL1667" s="3" t="s">
        <v>6988</v>
      </c>
    </row>
    <row r="1668" spans="1:38" ht="21" customHeight="1" outlineLevel="5" x14ac:dyDescent="0.2">
      <c r="A1668" s="39">
        <v>1267</v>
      </c>
      <c r="B1668" s="3" t="s">
        <v>7043</v>
      </c>
      <c r="C1668" s="49" t="s">
        <v>7044</v>
      </c>
      <c r="D1668" s="49"/>
      <c r="E1668" s="49"/>
      <c r="F1668" s="49"/>
      <c r="G1668" s="4" t="s">
        <v>7045</v>
      </c>
      <c r="H1668" s="8"/>
      <c r="I1668" s="9" t="s">
        <v>1106</v>
      </c>
      <c r="J1668" s="10"/>
      <c r="K1668" s="11">
        <v>30</v>
      </c>
      <c r="L1668" s="10"/>
      <c r="M1668" s="10" t="s">
        <v>47</v>
      </c>
      <c r="N1668" s="10"/>
      <c r="O1668" s="2">
        <v>3</v>
      </c>
      <c r="P1668" s="17">
        <f>107*(1-S3/100)</f>
        <v>107</v>
      </c>
      <c r="Q1668" s="18"/>
      <c r="R1668" s="10">
        <f t="shared" si="70"/>
        <v>0</v>
      </c>
      <c r="S1668" s="19">
        <f>0.052*Q1668</f>
        <v>0</v>
      </c>
      <c r="T1668" s="20">
        <f>0.00008*Q1668</f>
        <v>0</v>
      </c>
      <c r="U1668" s="21"/>
      <c r="V1668" s="22" t="s">
        <v>7046</v>
      </c>
      <c r="W1668" s="22" t="s">
        <v>49</v>
      </c>
      <c r="X1668" s="3"/>
      <c r="Y1668" s="3" t="s">
        <v>7047</v>
      </c>
      <c r="Z1668" s="3" t="s">
        <v>460</v>
      </c>
      <c r="AA1668" s="3"/>
      <c r="AB1668" s="3"/>
      <c r="AC1668" s="3" t="str">
        <f>HYPERLINK("https://knigipp.ru/api/getInfo/image/8e13fab6-dfdb-11ef-a273-00155d82e908")</f>
        <v>https://knigipp.ru/api/getInfo/image/8e13fab6-dfdb-11ef-a273-00155d82e908</v>
      </c>
      <c r="AD1668" s="32">
        <v>12</v>
      </c>
      <c r="AE1668" s="3" t="s">
        <v>54</v>
      </c>
      <c r="AF1668" s="3" t="s">
        <v>136</v>
      </c>
      <c r="AG1668" s="3"/>
      <c r="AH1668" s="3" t="s">
        <v>56</v>
      </c>
      <c r="AI1668" s="3"/>
      <c r="AJ1668" s="3"/>
      <c r="AK1668" s="3" t="str">
        <f>HYPERLINK("https://knigipp.ru/api/getInfo/item/8e13fab6-dfdb-11ef-a273-00155d82e908")</f>
        <v>https://knigipp.ru/api/getInfo/item/8e13fab6-dfdb-11ef-a273-00155d82e908</v>
      </c>
      <c r="AL1668" s="3" t="s">
        <v>6988</v>
      </c>
    </row>
    <row r="1669" spans="1:38" ht="21" customHeight="1" outlineLevel="5" x14ac:dyDescent="0.2">
      <c r="A1669" s="39">
        <v>1268</v>
      </c>
      <c r="B1669" s="3" t="s">
        <v>7048</v>
      </c>
      <c r="C1669" s="49" t="s">
        <v>7049</v>
      </c>
      <c r="D1669" s="49"/>
      <c r="E1669" s="49"/>
      <c r="F1669" s="49"/>
      <c r="G1669" s="4" t="s">
        <v>7050</v>
      </c>
      <c r="H1669" s="8"/>
      <c r="I1669" s="9" t="s">
        <v>1111</v>
      </c>
      <c r="J1669" s="10"/>
      <c r="K1669" s="11">
        <v>30</v>
      </c>
      <c r="L1669" s="10"/>
      <c r="M1669" s="10" t="s">
        <v>47</v>
      </c>
      <c r="N1669" s="10"/>
      <c r="O1669" s="2">
        <v>3</v>
      </c>
      <c r="P1669" s="17">
        <f>107*(1-S3/100)</f>
        <v>107</v>
      </c>
      <c r="Q1669" s="18"/>
      <c r="R1669" s="10">
        <f t="shared" si="70"/>
        <v>0</v>
      </c>
      <c r="S1669" s="19">
        <f>0.053*Q1669</f>
        <v>0</v>
      </c>
      <c r="T1669" s="20">
        <f>0.00008*Q1669</f>
        <v>0</v>
      </c>
      <c r="U1669" s="21"/>
      <c r="V1669" s="22" t="s">
        <v>7051</v>
      </c>
      <c r="W1669" s="22" t="s">
        <v>49</v>
      </c>
      <c r="X1669" s="3"/>
      <c r="Y1669" s="3" t="s">
        <v>7052</v>
      </c>
      <c r="Z1669" s="3" t="s">
        <v>460</v>
      </c>
      <c r="AA1669" s="3"/>
      <c r="AB1669" s="3"/>
      <c r="AC1669" s="3" t="str">
        <f>HYPERLINK("https://knigipp.ru/api/getInfo/image/6068e8a3-b662-11f0-a286-00155d82e908")</f>
        <v>https://knigipp.ru/api/getInfo/image/6068e8a3-b662-11f0-a286-00155d82e908</v>
      </c>
      <c r="AD1669" s="32">
        <v>12</v>
      </c>
      <c r="AE1669" s="3" t="s">
        <v>54</v>
      </c>
      <c r="AF1669" s="3" t="s">
        <v>136</v>
      </c>
      <c r="AG1669" s="3"/>
      <c r="AH1669" s="3" t="s">
        <v>56</v>
      </c>
      <c r="AI1669" s="3"/>
      <c r="AJ1669" s="3"/>
      <c r="AK1669" s="3" t="str">
        <f>HYPERLINK("https://knigipp.ru/api/getInfo/item/6068e8a3-b662-11f0-a286-00155d82e908")</f>
        <v>https://knigipp.ru/api/getInfo/item/6068e8a3-b662-11f0-a286-00155d82e908</v>
      </c>
      <c r="AL1669" s="3" t="s">
        <v>6988</v>
      </c>
    </row>
    <row r="1670" spans="1:38" ht="23.1" customHeight="1" outlineLevel="3" x14ac:dyDescent="0.2">
      <c r="A1670" s="48" t="s">
        <v>7053</v>
      </c>
      <c r="B1670" s="48"/>
      <c r="C1670" s="48"/>
      <c r="D1670" s="48"/>
      <c r="E1670" s="48"/>
      <c r="F1670" s="48"/>
    </row>
    <row r="1671" spans="1:38" ht="23.1" customHeight="1" outlineLevel="4" x14ac:dyDescent="0.2">
      <c r="A1671" s="55" t="s">
        <v>7054</v>
      </c>
      <c r="B1671" s="55"/>
      <c r="C1671" s="55"/>
      <c r="D1671" s="55"/>
      <c r="E1671" s="55"/>
      <c r="F1671" s="55"/>
    </row>
    <row r="1672" spans="1:38" ht="21" customHeight="1" outlineLevel="5" x14ac:dyDescent="0.2">
      <c r="A1672" s="39">
        <v>1269</v>
      </c>
      <c r="B1672" s="3" t="s">
        <v>7055</v>
      </c>
      <c r="C1672" s="49" t="s">
        <v>7056</v>
      </c>
      <c r="D1672" s="49"/>
      <c r="E1672" s="49"/>
      <c r="F1672" s="49"/>
      <c r="G1672" s="4" t="s">
        <v>7057</v>
      </c>
      <c r="H1672" s="8"/>
      <c r="I1672" s="9" t="s">
        <v>7058</v>
      </c>
      <c r="J1672" s="10"/>
      <c r="K1672" s="11">
        <v>30</v>
      </c>
      <c r="L1672" s="10"/>
      <c r="M1672" s="10" t="s">
        <v>47</v>
      </c>
      <c r="N1672" s="10"/>
      <c r="O1672" s="2">
        <v>7</v>
      </c>
      <c r="P1672" s="17">
        <f>99*(1-S3/100)</f>
        <v>99</v>
      </c>
      <c r="Q1672" s="18"/>
      <c r="R1672" s="10">
        <f>P1672*Q1672</f>
        <v>0</v>
      </c>
      <c r="S1672" s="28">
        <f>0.09*Q1672</f>
        <v>0</v>
      </c>
      <c r="T1672" s="20">
        <f>0.00018*Q1672</f>
        <v>0</v>
      </c>
      <c r="U1672" s="21"/>
      <c r="V1672" s="22" t="s">
        <v>7059</v>
      </c>
      <c r="W1672" s="22" t="s">
        <v>49</v>
      </c>
      <c r="X1672" s="3"/>
      <c r="Y1672" s="3"/>
      <c r="Z1672" s="3" t="s">
        <v>52</v>
      </c>
      <c r="AA1672" s="3"/>
      <c r="AB1672" s="3"/>
      <c r="AC1672" s="3" t="str">
        <f>HYPERLINK("https://knigipp.ru/api/getInfo/image/453394be-3be8-11ec-a20f-ac1f6b442185")</f>
        <v>https://knigipp.ru/api/getInfo/image/453394be-3be8-11ec-a20f-ac1f6b442185</v>
      </c>
      <c r="AD1672" s="32">
        <v>32</v>
      </c>
      <c r="AE1672" s="3"/>
      <c r="AF1672" s="3" t="s">
        <v>55</v>
      </c>
      <c r="AG1672" s="3"/>
      <c r="AH1672" s="3" t="s">
        <v>56</v>
      </c>
      <c r="AI1672" s="3"/>
      <c r="AJ1672" s="3"/>
      <c r="AK1672" s="3" t="str">
        <f>HYPERLINK("https://knigipp.ru/api/getInfo/item/453394be-3be8-11ec-a20f-ac1f6b442185")</f>
        <v>https://knigipp.ru/api/getInfo/item/453394be-3be8-11ec-a20f-ac1f6b442185</v>
      </c>
      <c r="AL1672" s="3" t="s">
        <v>7060</v>
      </c>
    </row>
    <row r="1673" spans="1:38" ht="21" customHeight="1" outlineLevel="5" x14ac:dyDescent="0.2">
      <c r="A1673" s="39">
        <v>1270</v>
      </c>
      <c r="B1673" s="3" t="s">
        <v>7061</v>
      </c>
      <c r="C1673" s="49" t="s">
        <v>7062</v>
      </c>
      <c r="D1673" s="49"/>
      <c r="E1673" s="49"/>
      <c r="F1673" s="49"/>
      <c r="G1673" s="4" t="s">
        <v>7063</v>
      </c>
      <c r="H1673" s="8"/>
      <c r="I1673" s="9" t="s">
        <v>7064</v>
      </c>
      <c r="J1673" s="10"/>
      <c r="K1673" s="11">
        <v>30</v>
      </c>
      <c r="L1673" s="10"/>
      <c r="M1673" s="10" t="s">
        <v>47</v>
      </c>
      <c r="N1673" s="10"/>
      <c r="O1673" s="2">
        <v>7</v>
      </c>
      <c r="P1673" s="17">
        <f>99*(1-S3/100)</f>
        <v>99</v>
      </c>
      <c r="Q1673" s="18"/>
      <c r="R1673" s="10">
        <f>P1673*Q1673</f>
        <v>0</v>
      </c>
      <c r="S1673" s="28">
        <f>0.09*Q1673</f>
        <v>0</v>
      </c>
      <c r="T1673" s="20">
        <f>0.00018*Q1673</f>
        <v>0</v>
      </c>
      <c r="U1673" s="21"/>
      <c r="V1673" s="22" t="s">
        <v>7065</v>
      </c>
      <c r="W1673" s="22" t="s">
        <v>49</v>
      </c>
      <c r="X1673" s="3"/>
      <c r="Y1673" s="3"/>
      <c r="Z1673" s="3" t="s">
        <v>52</v>
      </c>
      <c r="AA1673" s="3"/>
      <c r="AB1673" s="3"/>
      <c r="AC1673" s="3" t="str">
        <f>HYPERLINK("https://knigipp.ru/api/getInfo/image/2caa3a55-7e2c-11ee-a248-00155d82e902")</f>
        <v>https://knigipp.ru/api/getInfo/image/2caa3a55-7e2c-11ee-a248-00155d82e902</v>
      </c>
      <c r="AD1673" s="32">
        <v>32</v>
      </c>
      <c r="AE1673" s="3"/>
      <c r="AF1673" s="3" t="s">
        <v>55</v>
      </c>
      <c r="AG1673" s="3"/>
      <c r="AH1673" s="3" t="s">
        <v>56</v>
      </c>
      <c r="AI1673" s="3"/>
      <c r="AJ1673" s="3"/>
      <c r="AK1673" s="3" t="str">
        <f>HYPERLINK("https://knigipp.ru/api/getInfo/item/2caa3a55-7e2c-11ee-a248-00155d82e902")</f>
        <v>https://knigipp.ru/api/getInfo/item/2caa3a55-7e2c-11ee-a248-00155d82e902</v>
      </c>
      <c r="AL1673" s="3" t="s">
        <v>7060</v>
      </c>
    </row>
    <row r="1674" spans="1:38" ht="21" customHeight="1" outlineLevel="5" x14ac:dyDescent="0.2">
      <c r="A1674" s="39">
        <v>1271</v>
      </c>
      <c r="B1674" s="3" t="s">
        <v>7066</v>
      </c>
      <c r="C1674" s="49" t="s">
        <v>7067</v>
      </c>
      <c r="D1674" s="49"/>
      <c r="E1674" s="49"/>
      <c r="F1674" s="49"/>
      <c r="G1674" s="4" t="s">
        <v>7068</v>
      </c>
      <c r="H1674" s="8"/>
      <c r="I1674" s="9" t="s">
        <v>7069</v>
      </c>
      <c r="J1674" s="10"/>
      <c r="K1674" s="11">
        <v>30</v>
      </c>
      <c r="L1674" s="10"/>
      <c r="M1674" s="10" t="s">
        <v>47</v>
      </c>
      <c r="N1674" s="10"/>
      <c r="O1674" s="2">
        <v>7</v>
      </c>
      <c r="P1674" s="17">
        <f>99*(1-S3/100)</f>
        <v>99</v>
      </c>
      <c r="Q1674" s="18"/>
      <c r="R1674" s="10">
        <f>P1674*Q1674</f>
        <v>0</v>
      </c>
      <c r="S1674" s="19">
        <f>0.087*Q1674</f>
        <v>0</v>
      </c>
      <c r="T1674" s="20">
        <f>0.00023*Q1674</f>
        <v>0</v>
      </c>
      <c r="U1674" s="21"/>
      <c r="V1674" s="22" t="s">
        <v>7070</v>
      </c>
      <c r="W1674" s="22" t="s">
        <v>49</v>
      </c>
      <c r="X1674" s="3"/>
      <c r="Y1674" s="3"/>
      <c r="Z1674" s="3" t="s">
        <v>52</v>
      </c>
      <c r="AA1674" s="3"/>
      <c r="AB1674" s="3"/>
      <c r="AC1674" s="3" t="str">
        <f>HYPERLINK("https://knigipp.ru/api/getInfo/image/438190b0-e720-11ec-a213-ac1f6b442185")</f>
        <v>https://knigipp.ru/api/getInfo/image/438190b0-e720-11ec-a213-ac1f6b442185</v>
      </c>
      <c r="AD1674" s="32">
        <v>32</v>
      </c>
      <c r="AE1674" s="3"/>
      <c r="AF1674" s="3" t="s">
        <v>55</v>
      </c>
      <c r="AG1674" s="3"/>
      <c r="AH1674" s="3" t="s">
        <v>56</v>
      </c>
      <c r="AI1674" s="3"/>
      <c r="AJ1674" s="3"/>
      <c r="AK1674" s="3" t="str">
        <f>HYPERLINK("https://knigipp.ru/api/getInfo/item/438190b0-e720-11ec-a213-ac1f6b442185")</f>
        <v>https://knigipp.ru/api/getInfo/item/438190b0-e720-11ec-a213-ac1f6b442185</v>
      </c>
      <c r="AL1674" s="3" t="s">
        <v>7060</v>
      </c>
    </row>
    <row r="1675" spans="1:38" ht="21" customHeight="1" outlineLevel="5" x14ac:dyDescent="0.2">
      <c r="A1675" s="39">
        <v>1272</v>
      </c>
      <c r="B1675" s="3" t="s">
        <v>7071</v>
      </c>
      <c r="C1675" s="49" t="s">
        <v>7072</v>
      </c>
      <c r="D1675" s="49"/>
      <c r="E1675" s="49"/>
      <c r="F1675" s="49"/>
      <c r="G1675" s="4" t="s">
        <v>7073</v>
      </c>
      <c r="H1675" s="8"/>
      <c r="I1675" s="9" t="s">
        <v>7058</v>
      </c>
      <c r="J1675" s="10"/>
      <c r="K1675" s="11">
        <v>30</v>
      </c>
      <c r="L1675" s="10"/>
      <c r="M1675" s="10" t="s">
        <v>47</v>
      </c>
      <c r="N1675" s="10"/>
      <c r="O1675" s="2">
        <v>7</v>
      </c>
      <c r="P1675" s="17">
        <f>99*(1-S3/100)</f>
        <v>99</v>
      </c>
      <c r="Q1675" s="18"/>
      <c r="R1675" s="10">
        <f>P1675*Q1675</f>
        <v>0</v>
      </c>
      <c r="S1675" s="19">
        <f>0.087*Q1675</f>
        <v>0</v>
      </c>
      <c r="T1675" s="20">
        <f>0.00014*Q1675</f>
        <v>0</v>
      </c>
      <c r="U1675" s="21"/>
      <c r="V1675" s="22" t="s">
        <v>7074</v>
      </c>
      <c r="W1675" s="22" t="s">
        <v>49</v>
      </c>
      <c r="X1675" s="3"/>
      <c r="Y1675" s="3"/>
      <c r="Z1675" s="3" t="s">
        <v>52</v>
      </c>
      <c r="AA1675" s="3"/>
      <c r="AB1675" s="3"/>
      <c r="AC1675" s="3" t="str">
        <f>HYPERLINK("https://knigipp.ru/api/getInfo/image/18b895d0-3be8-11ec-a20f-ac1f6b442185")</f>
        <v>https://knigipp.ru/api/getInfo/image/18b895d0-3be8-11ec-a20f-ac1f6b442185</v>
      </c>
      <c r="AD1675" s="32">
        <v>32</v>
      </c>
      <c r="AE1675" s="3"/>
      <c r="AF1675" s="3" t="s">
        <v>55</v>
      </c>
      <c r="AG1675" s="3"/>
      <c r="AH1675" s="3" t="s">
        <v>56</v>
      </c>
      <c r="AI1675" s="3"/>
      <c r="AJ1675" s="3"/>
      <c r="AK1675" s="3" t="str">
        <f>HYPERLINK("https://knigipp.ru/api/getInfo/item/18b895d0-3be8-11ec-a20f-ac1f6b442185")</f>
        <v>https://knigipp.ru/api/getInfo/item/18b895d0-3be8-11ec-a20f-ac1f6b442185</v>
      </c>
      <c r="AL1675" s="3" t="s">
        <v>7060</v>
      </c>
    </row>
    <row r="1676" spans="1:38" ht="23.1" customHeight="1" outlineLevel="4" x14ac:dyDescent="0.2">
      <c r="A1676" s="55" t="s">
        <v>7075</v>
      </c>
      <c r="B1676" s="55"/>
      <c r="C1676" s="55"/>
      <c r="D1676" s="55"/>
      <c r="E1676" s="55"/>
      <c r="F1676" s="55"/>
    </row>
    <row r="1677" spans="1:38" ht="21" customHeight="1" outlineLevel="5" x14ac:dyDescent="0.2">
      <c r="A1677" s="39">
        <v>1273</v>
      </c>
      <c r="B1677" s="3" t="s">
        <v>7076</v>
      </c>
      <c r="C1677" s="49" t="s">
        <v>7077</v>
      </c>
      <c r="D1677" s="49"/>
      <c r="E1677" s="49"/>
      <c r="F1677" s="49"/>
      <c r="G1677" s="4" t="s">
        <v>7078</v>
      </c>
      <c r="H1677" s="8"/>
      <c r="I1677" s="9" t="s">
        <v>7079</v>
      </c>
      <c r="J1677" s="10"/>
      <c r="K1677" s="11">
        <v>20</v>
      </c>
      <c r="L1677" s="10"/>
      <c r="M1677" s="10" t="s">
        <v>47</v>
      </c>
      <c r="N1677" s="10"/>
      <c r="O1677" s="2">
        <v>3</v>
      </c>
      <c r="P1677" s="17">
        <f>199*(1-S3/100)</f>
        <v>199</v>
      </c>
      <c r="Q1677" s="18"/>
      <c r="R1677" s="10">
        <f>P1677*Q1677</f>
        <v>0</v>
      </c>
      <c r="S1677" s="19">
        <f>0.117*Q1677</f>
        <v>0</v>
      </c>
      <c r="T1677" s="20">
        <f>0.00025*Q1677</f>
        <v>0</v>
      </c>
      <c r="U1677" s="21"/>
      <c r="V1677" s="22" t="s">
        <v>7080</v>
      </c>
      <c r="W1677" s="22" t="s">
        <v>49</v>
      </c>
      <c r="X1677" s="3" t="s">
        <v>7081</v>
      </c>
      <c r="Y1677" s="3" t="s">
        <v>7082</v>
      </c>
      <c r="Z1677" s="3" t="s">
        <v>52</v>
      </c>
      <c r="AA1677" s="3"/>
      <c r="AB1677" s="3"/>
      <c r="AC1677" s="3" t="str">
        <f>HYPERLINK("https://knigipp.ru/api/getInfo/image/8e5d3453-3a2a-11f0-a27c-00155d82e908")</f>
        <v>https://knigipp.ru/api/getInfo/image/8e5d3453-3a2a-11f0-a27c-00155d82e908</v>
      </c>
      <c r="AD1677" s="32">
        <v>64</v>
      </c>
      <c r="AE1677" s="3" t="s">
        <v>740</v>
      </c>
      <c r="AF1677" s="3" t="s">
        <v>741</v>
      </c>
      <c r="AG1677" s="3"/>
      <c r="AH1677" s="3" t="s">
        <v>56</v>
      </c>
      <c r="AI1677" s="3"/>
      <c r="AJ1677" s="3"/>
      <c r="AK1677" s="3" t="str">
        <f>HYPERLINK("https://knigipp.ru/api/getInfo/item/8e5d3453-3a2a-11f0-a27c-00155d82e908")</f>
        <v>https://knigipp.ru/api/getInfo/item/8e5d3453-3a2a-11f0-a27c-00155d82e908</v>
      </c>
      <c r="AL1677" s="3" t="s">
        <v>7083</v>
      </c>
    </row>
    <row r="1678" spans="1:38" ht="21" customHeight="1" outlineLevel="5" x14ac:dyDescent="0.2">
      <c r="A1678" s="39">
        <v>1274</v>
      </c>
      <c r="B1678" s="3" t="s">
        <v>7084</v>
      </c>
      <c r="C1678" s="49" t="s">
        <v>7085</v>
      </c>
      <c r="D1678" s="49"/>
      <c r="E1678" s="49"/>
      <c r="F1678" s="49"/>
      <c r="G1678" s="4" t="s">
        <v>7086</v>
      </c>
      <c r="H1678" s="8"/>
      <c r="I1678" s="9" t="s">
        <v>7087</v>
      </c>
      <c r="J1678" s="10"/>
      <c r="K1678" s="11">
        <v>20</v>
      </c>
      <c r="L1678" s="10"/>
      <c r="M1678" s="10" t="s">
        <v>47</v>
      </c>
      <c r="N1678" s="10"/>
      <c r="O1678" s="2">
        <v>3</v>
      </c>
      <c r="P1678" s="17">
        <f>199*(1-S3/100)</f>
        <v>199</v>
      </c>
      <c r="Q1678" s="18"/>
      <c r="R1678" s="10">
        <f>P1678*Q1678</f>
        <v>0</v>
      </c>
      <c r="S1678" s="19">
        <f>0.114*Q1678</f>
        <v>0</v>
      </c>
      <c r="T1678" s="20">
        <f>0.00034*Q1678</f>
        <v>0</v>
      </c>
      <c r="U1678" s="21"/>
      <c r="V1678" s="22" t="s">
        <v>7088</v>
      </c>
      <c r="W1678" s="22" t="s">
        <v>49</v>
      </c>
      <c r="X1678" s="3" t="s">
        <v>7081</v>
      </c>
      <c r="Y1678" s="3" t="s">
        <v>7089</v>
      </c>
      <c r="Z1678" s="3" t="s">
        <v>52</v>
      </c>
      <c r="AA1678" s="3"/>
      <c r="AB1678" s="3"/>
      <c r="AC1678" s="3" t="str">
        <f>HYPERLINK("https://knigipp.ru/api/getInfo/image/5a46c5ac-3a2a-11f0-a27c-00155d82e908")</f>
        <v>https://knigipp.ru/api/getInfo/image/5a46c5ac-3a2a-11f0-a27c-00155d82e908</v>
      </c>
      <c r="AD1678" s="32">
        <v>64</v>
      </c>
      <c r="AE1678" s="3" t="s">
        <v>740</v>
      </c>
      <c r="AF1678" s="3" t="s">
        <v>741</v>
      </c>
      <c r="AG1678" s="3"/>
      <c r="AH1678" s="3" t="s">
        <v>56</v>
      </c>
      <c r="AI1678" s="3"/>
      <c r="AJ1678" s="3"/>
      <c r="AK1678" s="3" t="str">
        <f>HYPERLINK("https://knigipp.ru/api/getInfo/item/5a46c5ac-3a2a-11f0-a27c-00155d82e908")</f>
        <v>https://knigipp.ru/api/getInfo/item/5a46c5ac-3a2a-11f0-a27c-00155d82e908</v>
      </c>
      <c r="AL1678" s="3" t="s">
        <v>7083</v>
      </c>
    </row>
    <row r="1679" spans="1:38" ht="23.1" customHeight="1" outlineLevel="4" x14ac:dyDescent="0.2">
      <c r="A1679" s="55" t="s">
        <v>7090</v>
      </c>
      <c r="B1679" s="55"/>
      <c r="C1679" s="55"/>
      <c r="D1679" s="55"/>
      <c r="E1679" s="55"/>
      <c r="F1679" s="55"/>
    </row>
    <row r="1680" spans="1:38" ht="21" customHeight="1" outlineLevel="5" x14ac:dyDescent="0.2">
      <c r="A1680" s="39">
        <v>1275</v>
      </c>
      <c r="B1680" s="3" t="s">
        <v>7091</v>
      </c>
      <c r="C1680" s="49" t="s">
        <v>7092</v>
      </c>
      <c r="D1680" s="49"/>
      <c r="E1680" s="49"/>
      <c r="F1680" s="49"/>
      <c r="G1680" s="4" t="s">
        <v>7093</v>
      </c>
      <c r="H1680" s="8"/>
      <c r="I1680" s="9" t="s">
        <v>7094</v>
      </c>
      <c r="J1680" s="10"/>
      <c r="K1680" s="11">
        <v>20</v>
      </c>
      <c r="L1680" s="10"/>
      <c r="M1680" s="10" t="s">
        <v>47</v>
      </c>
      <c r="N1680" s="10"/>
      <c r="O1680" s="2">
        <v>4</v>
      </c>
      <c r="P1680" s="17">
        <f>142*(1-S3/100)</f>
        <v>142</v>
      </c>
      <c r="Q1680" s="18"/>
      <c r="R1680" s="10">
        <f t="shared" ref="R1680:R1689" si="71">P1680*Q1680</f>
        <v>0</v>
      </c>
      <c r="S1680" s="19">
        <f>0.091*Q1680</f>
        <v>0</v>
      </c>
      <c r="T1680" s="20">
        <f>0.00029*Q1680</f>
        <v>0</v>
      </c>
      <c r="U1680" s="21"/>
      <c r="V1680" s="22" t="s">
        <v>7095</v>
      </c>
      <c r="W1680" s="22" t="s">
        <v>49</v>
      </c>
      <c r="X1680" s="3" t="s">
        <v>7081</v>
      </c>
      <c r="Y1680" s="3"/>
      <c r="Z1680" s="3" t="s">
        <v>384</v>
      </c>
      <c r="AA1680" s="3"/>
      <c r="AB1680" s="3"/>
      <c r="AC1680" s="3" t="str">
        <f>HYPERLINK("https://knigipp.ru/api/getInfo/image/50847a1e-36bd-11ee-a240-00155d82e902")</f>
        <v>https://knigipp.ru/api/getInfo/image/50847a1e-36bd-11ee-a240-00155d82e902</v>
      </c>
      <c r="AD1680" s="32">
        <v>32</v>
      </c>
      <c r="AE1680" s="3" t="s">
        <v>54</v>
      </c>
      <c r="AF1680" s="3" t="s">
        <v>741</v>
      </c>
      <c r="AG1680" s="3"/>
      <c r="AH1680" s="3" t="s">
        <v>56</v>
      </c>
      <c r="AI1680" s="3"/>
      <c r="AJ1680" s="3"/>
      <c r="AK1680" s="3" t="str">
        <f>HYPERLINK("https://knigipp.ru/api/getInfo/item/50847a1e-36bd-11ee-a240-00155d82e902")</f>
        <v>https://knigipp.ru/api/getInfo/item/50847a1e-36bd-11ee-a240-00155d82e902</v>
      </c>
      <c r="AL1680" s="3" t="s">
        <v>7096</v>
      </c>
    </row>
    <row r="1681" spans="1:38" ht="21" customHeight="1" outlineLevel="5" x14ac:dyDescent="0.2">
      <c r="A1681" s="39">
        <v>1276</v>
      </c>
      <c r="B1681" s="3" t="s">
        <v>7097</v>
      </c>
      <c r="C1681" s="49" t="s">
        <v>7098</v>
      </c>
      <c r="D1681" s="49"/>
      <c r="E1681" s="49"/>
      <c r="F1681" s="49"/>
      <c r="G1681" s="4" t="s">
        <v>7099</v>
      </c>
      <c r="H1681" s="8"/>
      <c r="I1681" s="9" t="s">
        <v>7100</v>
      </c>
      <c r="J1681" s="10"/>
      <c r="K1681" s="11">
        <v>20</v>
      </c>
      <c r="L1681" s="10"/>
      <c r="M1681" s="10" t="s">
        <v>47</v>
      </c>
      <c r="N1681" s="10"/>
      <c r="O1681" s="2">
        <v>4</v>
      </c>
      <c r="P1681" s="17">
        <f>142*(1-S3/100)</f>
        <v>142</v>
      </c>
      <c r="Q1681" s="18"/>
      <c r="R1681" s="10">
        <f t="shared" si="71"/>
        <v>0</v>
      </c>
      <c r="S1681" s="19">
        <f>0.096*Q1681</f>
        <v>0</v>
      </c>
      <c r="T1681" s="20">
        <f>0.00016*Q1681</f>
        <v>0</v>
      </c>
      <c r="U1681" s="21"/>
      <c r="V1681" s="22" t="s">
        <v>7101</v>
      </c>
      <c r="W1681" s="22" t="s">
        <v>49</v>
      </c>
      <c r="X1681" s="3" t="s">
        <v>7081</v>
      </c>
      <c r="Y1681" s="3" t="s">
        <v>7102</v>
      </c>
      <c r="Z1681" s="3" t="s">
        <v>384</v>
      </c>
      <c r="AA1681" s="3" t="s">
        <v>7103</v>
      </c>
      <c r="AB1681" s="3"/>
      <c r="AC1681" s="3" t="str">
        <f>HYPERLINK("https://knigipp.ru/api/getInfo/image/be3e1eed-66d1-11ef-a265-00155d82e908")</f>
        <v>https://knigipp.ru/api/getInfo/image/be3e1eed-66d1-11ef-a265-00155d82e908</v>
      </c>
      <c r="AD1681" s="32">
        <v>32</v>
      </c>
      <c r="AE1681" s="3" t="s">
        <v>54</v>
      </c>
      <c r="AF1681" s="3" t="s">
        <v>741</v>
      </c>
      <c r="AG1681" s="3"/>
      <c r="AH1681" s="3" t="s">
        <v>56</v>
      </c>
      <c r="AI1681" s="3"/>
      <c r="AJ1681" s="3"/>
      <c r="AK1681" s="3" t="str">
        <f>HYPERLINK("https://knigipp.ru/api/getInfo/item/be3e1eed-66d1-11ef-a265-00155d82e908")</f>
        <v>https://knigipp.ru/api/getInfo/item/be3e1eed-66d1-11ef-a265-00155d82e908</v>
      </c>
      <c r="AL1681" s="3" t="s">
        <v>7096</v>
      </c>
    </row>
    <row r="1682" spans="1:38" ht="21" customHeight="1" outlineLevel="5" x14ac:dyDescent="0.2">
      <c r="A1682" s="39">
        <v>1277</v>
      </c>
      <c r="B1682" s="3" t="s">
        <v>7104</v>
      </c>
      <c r="C1682" s="49" t="s">
        <v>7105</v>
      </c>
      <c r="D1682" s="49"/>
      <c r="E1682" s="49"/>
      <c r="F1682" s="49"/>
      <c r="G1682" s="4" t="s">
        <v>7106</v>
      </c>
      <c r="H1682" s="8"/>
      <c r="I1682" s="9" t="s">
        <v>7107</v>
      </c>
      <c r="J1682" s="10"/>
      <c r="K1682" s="11">
        <v>20</v>
      </c>
      <c r="L1682" s="10"/>
      <c r="M1682" s="10" t="s">
        <v>47</v>
      </c>
      <c r="N1682" s="10"/>
      <c r="O1682" s="2">
        <v>4</v>
      </c>
      <c r="P1682" s="17">
        <f>142*(1-S3/100)</f>
        <v>142</v>
      </c>
      <c r="Q1682" s="18"/>
      <c r="R1682" s="10">
        <f t="shared" si="71"/>
        <v>0</v>
      </c>
      <c r="S1682" s="28">
        <f>0.09*Q1682</f>
        <v>0</v>
      </c>
      <c r="T1682" s="20">
        <f>0.00041*Q1682</f>
        <v>0</v>
      </c>
      <c r="U1682" s="21"/>
      <c r="V1682" s="22" t="s">
        <v>7108</v>
      </c>
      <c r="W1682" s="22" t="s">
        <v>49</v>
      </c>
      <c r="X1682" s="3" t="s">
        <v>7081</v>
      </c>
      <c r="Y1682" s="3" t="s">
        <v>7109</v>
      </c>
      <c r="Z1682" s="3" t="s">
        <v>384</v>
      </c>
      <c r="AA1682" s="3"/>
      <c r="AB1682" s="3"/>
      <c r="AC1682" s="3" t="str">
        <f>HYPERLINK("https://knigipp.ru/api/getInfo/image/edcabbbe-1f4a-11ef-a25f-00155d82e908")</f>
        <v>https://knigipp.ru/api/getInfo/image/edcabbbe-1f4a-11ef-a25f-00155d82e908</v>
      </c>
      <c r="AD1682" s="32">
        <v>32</v>
      </c>
      <c r="AE1682" s="3" t="s">
        <v>54</v>
      </c>
      <c r="AF1682" s="3" t="s">
        <v>741</v>
      </c>
      <c r="AG1682" s="3"/>
      <c r="AH1682" s="3" t="s">
        <v>56</v>
      </c>
      <c r="AI1682" s="3"/>
      <c r="AJ1682" s="3"/>
      <c r="AK1682" s="3" t="str">
        <f>HYPERLINK("https://knigipp.ru/api/getInfo/item/edcabbbe-1f4a-11ef-a25f-00155d82e908")</f>
        <v>https://knigipp.ru/api/getInfo/item/edcabbbe-1f4a-11ef-a25f-00155d82e908</v>
      </c>
      <c r="AL1682" s="3" t="s">
        <v>7096</v>
      </c>
    </row>
    <row r="1683" spans="1:38" ht="21" customHeight="1" outlineLevel="5" x14ac:dyDescent="0.2">
      <c r="A1683" s="39">
        <v>1278</v>
      </c>
      <c r="B1683" s="3" t="s">
        <v>7110</v>
      </c>
      <c r="C1683" s="49" t="s">
        <v>7111</v>
      </c>
      <c r="D1683" s="49"/>
      <c r="E1683" s="49"/>
      <c r="F1683" s="49"/>
      <c r="G1683" s="4" t="s">
        <v>7112</v>
      </c>
      <c r="H1683" s="8"/>
      <c r="I1683" s="9" t="s">
        <v>7113</v>
      </c>
      <c r="J1683" s="10"/>
      <c r="K1683" s="11">
        <v>20</v>
      </c>
      <c r="L1683" s="10"/>
      <c r="M1683" s="10" t="s">
        <v>47</v>
      </c>
      <c r="N1683" s="10"/>
      <c r="O1683" s="2">
        <v>4</v>
      </c>
      <c r="P1683" s="17">
        <f>142*(1-S3/100)</f>
        <v>142</v>
      </c>
      <c r="Q1683" s="18"/>
      <c r="R1683" s="10">
        <f t="shared" si="71"/>
        <v>0</v>
      </c>
      <c r="S1683" s="19">
        <f>0.119*Q1683</f>
        <v>0</v>
      </c>
      <c r="T1683" s="30">
        <f>0.0003*Q1683</f>
        <v>0</v>
      </c>
      <c r="U1683" s="21"/>
      <c r="V1683" s="22" t="s">
        <v>7114</v>
      </c>
      <c r="W1683" s="22" t="s">
        <v>49</v>
      </c>
      <c r="X1683" s="3"/>
      <c r="Y1683" s="3" t="s">
        <v>7115</v>
      </c>
      <c r="Z1683" s="3" t="s">
        <v>384</v>
      </c>
      <c r="AA1683" s="3"/>
      <c r="AB1683" s="3"/>
      <c r="AC1683" s="3" t="str">
        <f>HYPERLINK("https://knigipp.ru/api/getInfo/image/a1047ab5-b6f8-11f0-a287-00155d82e908")</f>
        <v>https://knigipp.ru/api/getInfo/image/a1047ab5-b6f8-11f0-a287-00155d82e908</v>
      </c>
      <c r="AD1683" s="32">
        <v>48</v>
      </c>
      <c r="AE1683" s="3" t="s">
        <v>54</v>
      </c>
      <c r="AF1683" s="3" t="s">
        <v>741</v>
      </c>
      <c r="AG1683" s="3"/>
      <c r="AH1683" s="3" t="s">
        <v>56</v>
      </c>
      <c r="AI1683" s="3"/>
      <c r="AJ1683" s="3"/>
      <c r="AK1683" s="3" t="str">
        <f>HYPERLINK("https://knigipp.ru/api/getInfo/item/a1047ab5-b6f8-11f0-a287-00155d82e908")</f>
        <v>https://knigipp.ru/api/getInfo/item/a1047ab5-b6f8-11f0-a287-00155d82e908</v>
      </c>
      <c r="AL1683" s="3" t="s">
        <v>7096</v>
      </c>
    </row>
    <row r="1684" spans="1:38" ht="21" customHeight="1" outlineLevel="5" x14ac:dyDescent="0.2">
      <c r="A1684" s="39">
        <v>1279</v>
      </c>
      <c r="B1684" s="3" t="s">
        <v>7116</v>
      </c>
      <c r="C1684" s="49" t="s">
        <v>7117</v>
      </c>
      <c r="D1684" s="49"/>
      <c r="E1684" s="49"/>
      <c r="F1684" s="49"/>
      <c r="G1684" s="4" t="s">
        <v>7118</v>
      </c>
      <c r="H1684" s="8"/>
      <c r="I1684" s="9" t="s">
        <v>7119</v>
      </c>
      <c r="J1684" s="10"/>
      <c r="K1684" s="11">
        <v>20</v>
      </c>
      <c r="L1684" s="10"/>
      <c r="M1684" s="10" t="s">
        <v>47</v>
      </c>
      <c r="N1684" s="10"/>
      <c r="O1684" s="2">
        <v>4</v>
      </c>
      <c r="P1684" s="17">
        <f>142*(1-S3/100)</f>
        <v>142</v>
      </c>
      <c r="Q1684" s="18"/>
      <c r="R1684" s="10">
        <f t="shared" si="71"/>
        <v>0</v>
      </c>
      <c r="S1684" s="19">
        <f>0.119*Q1684</f>
        <v>0</v>
      </c>
      <c r="T1684" s="30">
        <f>0.0003*Q1684</f>
        <v>0</v>
      </c>
      <c r="U1684" s="21"/>
      <c r="V1684" s="22" t="s">
        <v>7120</v>
      </c>
      <c r="W1684" s="22" t="s">
        <v>49</v>
      </c>
      <c r="X1684" s="3"/>
      <c r="Y1684" s="3" t="s">
        <v>7115</v>
      </c>
      <c r="Z1684" s="3" t="s">
        <v>384</v>
      </c>
      <c r="AA1684" s="3"/>
      <c r="AB1684" s="3"/>
      <c r="AC1684" s="3" t="str">
        <f>HYPERLINK("https://knigipp.ru/api/getInfo/image/494dcc3b-b6f8-11f0-a287-00155d82e908")</f>
        <v>https://knigipp.ru/api/getInfo/image/494dcc3b-b6f8-11f0-a287-00155d82e908</v>
      </c>
      <c r="AD1684" s="32">
        <v>48</v>
      </c>
      <c r="AE1684" s="3" t="s">
        <v>54</v>
      </c>
      <c r="AF1684" s="3" t="s">
        <v>741</v>
      </c>
      <c r="AG1684" s="3"/>
      <c r="AH1684" s="3" t="s">
        <v>56</v>
      </c>
      <c r="AI1684" s="3"/>
      <c r="AJ1684" s="3"/>
      <c r="AK1684" s="3" t="str">
        <f>HYPERLINK("https://knigipp.ru/api/getInfo/item/494dcc3b-b6f8-11f0-a287-00155d82e908")</f>
        <v>https://knigipp.ru/api/getInfo/item/494dcc3b-b6f8-11f0-a287-00155d82e908</v>
      </c>
      <c r="AL1684" s="3" t="s">
        <v>7096</v>
      </c>
    </row>
    <row r="1685" spans="1:38" ht="21" customHeight="1" outlineLevel="5" x14ac:dyDescent="0.2">
      <c r="A1685" s="39">
        <v>1280</v>
      </c>
      <c r="B1685" s="3" t="s">
        <v>7121</v>
      </c>
      <c r="C1685" s="49" t="s">
        <v>7122</v>
      </c>
      <c r="D1685" s="49"/>
      <c r="E1685" s="49"/>
      <c r="F1685" s="49"/>
      <c r="G1685" s="4" t="s">
        <v>7123</v>
      </c>
      <c r="H1685" s="8"/>
      <c r="I1685" s="9" t="s">
        <v>7094</v>
      </c>
      <c r="J1685" s="10"/>
      <c r="K1685" s="11">
        <v>20</v>
      </c>
      <c r="L1685" s="10"/>
      <c r="M1685" s="10" t="s">
        <v>47</v>
      </c>
      <c r="N1685" s="10"/>
      <c r="O1685" s="2">
        <v>4</v>
      </c>
      <c r="P1685" s="17">
        <f>142*(1-S3/100)</f>
        <v>142</v>
      </c>
      <c r="Q1685" s="18"/>
      <c r="R1685" s="10">
        <f t="shared" si="71"/>
        <v>0</v>
      </c>
      <c r="S1685" s="19">
        <f>0.091*Q1685</f>
        <v>0</v>
      </c>
      <c r="T1685" s="20">
        <f>0.00029*Q1685</f>
        <v>0</v>
      </c>
      <c r="U1685" s="21"/>
      <c r="V1685" s="22" t="s">
        <v>7124</v>
      </c>
      <c r="W1685" s="22" t="s">
        <v>49</v>
      </c>
      <c r="X1685" s="3" t="s">
        <v>7081</v>
      </c>
      <c r="Y1685" s="3"/>
      <c r="Z1685" s="3" t="s">
        <v>384</v>
      </c>
      <c r="AA1685" s="3"/>
      <c r="AB1685" s="3"/>
      <c r="AC1685" s="3" t="str">
        <f>HYPERLINK("https://knigipp.ru/api/getInfo/image/7ba13974-36bd-11ee-a240-00155d82e902")</f>
        <v>https://knigipp.ru/api/getInfo/image/7ba13974-36bd-11ee-a240-00155d82e902</v>
      </c>
      <c r="AD1685" s="32">
        <v>32</v>
      </c>
      <c r="AE1685" s="3" t="s">
        <v>54</v>
      </c>
      <c r="AF1685" s="3" t="s">
        <v>741</v>
      </c>
      <c r="AG1685" s="3"/>
      <c r="AH1685" s="3" t="s">
        <v>56</v>
      </c>
      <c r="AI1685" s="3"/>
      <c r="AJ1685" s="3"/>
      <c r="AK1685" s="3" t="str">
        <f>HYPERLINK("https://knigipp.ru/api/getInfo/item/7ba13974-36bd-11ee-a240-00155d82e902")</f>
        <v>https://knigipp.ru/api/getInfo/item/7ba13974-36bd-11ee-a240-00155d82e902</v>
      </c>
      <c r="AL1685" s="3" t="s">
        <v>7096</v>
      </c>
    </row>
    <row r="1686" spans="1:38" ht="21" customHeight="1" outlineLevel="5" x14ac:dyDescent="0.2">
      <c r="A1686" s="39">
        <v>1281</v>
      </c>
      <c r="B1686" s="3" t="s">
        <v>7125</v>
      </c>
      <c r="C1686" s="49" t="s">
        <v>7126</v>
      </c>
      <c r="D1686" s="49"/>
      <c r="E1686" s="49"/>
      <c r="F1686" s="49"/>
      <c r="G1686" s="4" t="s">
        <v>7127</v>
      </c>
      <c r="H1686" s="8"/>
      <c r="I1686" s="9" t="s">
        <v>7107</v>
      </c>
      <c r="J1686" s="10"/>
      <c r="K1686" s="11">
        <v>20</v>
      </c>
      <c r="L1686" s="10"/>
      <c r="M1686" s="10" t="s">
        <v>47</v>
      </c>
      <c r="N1686" s="10"/>
      <c r="O1686" s="2">
        <v>4</v>
      </c>
      <c r="P1686" s="17">
        <f>142*(1-S3/100)</f>
        <v>142</v>
      </c>
      <c r="Q1686" s="18"/>
      <c r="R1686" s="10">
        <f t="shared" si="71"/>
        <v>0</v>
      </c>
      <c r="S1686" s="28">
        <f>0.09*Q1686</f>
        <v>0</v>
      </c>
      <c r="T1686" s="20">
        <f>0.00025*Q1686</f>
        <v>0</v>
      </c>
      <c r="U1686" s="21"/>
      <c r="V1686" s="22" t="s">
        <v>7128</v>
      </c>
      <c r="W1686" s="22" t="s">
        <v>49</v>
      </c>
      <c r="X1686" s="3" t="s">
        <v>7081</v>
      </c>
      <c r="Y1686" s="3" t="s">
        <v>7129</v>
      </c>
      <c r="Z1686" s="3" t="s">
        <v>384</v>
      </c>
      <c r="AA1686" s="3"/>
      <c r="AB1686" s="3"/>
      <c r="AC1686" s="3" t="str">
        <f>HYPERLINK("https://knigipp.ru/api/getInfo/image/1387840a-1f4b-11ef-a25f-00155d82e908")</f>
        <v>https://knigipp.ru/api/getInfo/image/1387840a-1f4b-11ef-a25f-00155d82e908</v>
      </c>
      <c r="AD1686" s="32">
        <v>32</v>
      </c>
      <c r="AE1686" s="3" t="s">
        <v>54</v>
      </c>
      <c r="AF1686" s="3" t="s">
        <v>741</v>
      </c>
      <c r="AG1686" s="3"/>
      <c r="AH1686" s="3" t="s">
        <v>56</v>
      </c>
      <c r="AI1686" s="3"/>
      <c r="AJ1686" s="3"/>
      <c r="AK1686" s="3" t="str">
        <f>HYPERLINK("https://knigipp.ru/api/getInfo/item/1387840a-1f4b-11ef-a25f-00155d82e908")</f>
        <v>https://knigipp.ru/api/getInfo/item/1387840a-1f4b-11ef-a25f-00155d82e908</v>
      </c>
      <c r="AL1686" s="3" t="s">
        <v>7096</v>
      </c>
    </row>
    <row r="1687" spans="1:38" ht="21" customHeight="1" outlineLevel="5" x14ac:dyDescent="0.2">
      <c r="A1687" s="39">
        <v>1282</v>
      </c>
      <c r="B1687" s="3" t="s">
        <v>7130</v>
      </c>
      <c r="C1687" s="49" t="s">
        <v>7131</v>
      </c>
      <c r="D1687" s="49"/>
      <c r="E1687" s="49"/>
      <c r="F1687" s="49"/>
      <c r="G1687" s="4" t="s">
        <v>7132</v>
      </c>
      <c r="H1687" s="8"/>
      <c r="I1687" s="9" t="s">
        <v>7133</v>
      </c>
      <c r="J1687" s="10"/>
      <c r="K1687" s="11">
        <v>20</v>
      </c>
      <c r="L1687" s="10"/>
      <c r="M1687" s="10" t="s">
        <v>47</v>
      </c>
      <c r="N1687" s="10"/>
      <c r="O1687" s="2">
        <v>4</v>
      </c>
      <c r="P1687" s="17">
        <f>142*(1-S3/100)</f>
        <v>142</v>
      </c>
      <c r="Q1687" s="18"/>
      <c r="R1687" s="10">
        <f t="shared" si="71"/>
        <v>0</v>
      </c>
      <c r="S1687" s="19">
        <f>0.092*Q1687</f>
        <v>0</v>
      </c>
      <c r="T1687" s="20">
        <f>0.00023*Q1687</f>
        <v>0</v>
      </c>
      <c r="U1687" s="21"/>
      <c r="V1687" s="22" t="s">
        <v>7134</v>
      </c>
      <c r="W1687" s="22" t="s">
        <v>49</v>
      </c>
      <c r="X1687" s="3" t="s">
        <v>7135</v>
      </c>
      <c r="Y1687" s="3" t="s">
        <v>7136</v>
      </c>
      <c r="Z1687" s="3" t="s">
        <v>384</v>
      </c>
      <c r="AA1687" s="3" t="s">
        <v>7103</v>
      </c>
      <c r="AB1687" s="3"/>
      <c r="AC1687" s="3" t="str">
        <f>HYPERLINK("https://knigipp.ru/api/getInfo/image/eeb2e7de-66d1-11ef-a265-00155d82e908")</f>
        <v>https://knigipp.ru/api/getInfo/image/eeb2e7de-66d1-11ef-a265-00155d82e908</v>
      </c>
      <c r="AD1687" s="32">
        <v>32</v>
      </c>
      <c r="AE1687" s="3" t="s">
        <v>54</v>
      </c>
      <c r="AF1687" s="3" t="s">
        <v>741</v>
      </c>
      <c r="AG1687" s="3"/>
      <c r="AH1687" s="3" t="s">
        <v>56</v>
      </c>
      <c r="AI1687" s="3"/>
      <c r="AJ1687" s="3"/>
      <c r="AK1687" s="3" t="str">
        <f>HYPERLINK("https://knigipp.ru/api/getInfo/item/eeb2e7de-66d1-11ef-a265-00155d82e908")</f>
        <v>https://knigipp.ru/api/getInfo/item/eeb2e7de-66d1-11ef-a265-00155d82e908</v>
      </c>
      <c r="AL1687" s="3" t="s">
        <v>7096</v>
      </c>
    </row>
    <row r="1688" spans="1:38" ht="21" customHeight="1" outlineLevel="5" x14ac:dyDescent="0.2">
      <c r="A1688" s="39">
        <v>1283</v>
      </c>
      <c r="B1688" s="3" t="s">
        <v>7137</v>
      </c>
      <c r="C1688" s="49" t="s">
        <v>7138</v>
      </c>
      <c r="D1688" s="49"/>
      <c r="E1688" s="49"/>
      <c r="F1688" s="49"/>
      <c r="G1688" s="4" t="s">
        <v>7139</v>
      </c>
      <c r="H1688" s="8"/>
      <c r="I1688" s="9" t="s">
        <v>7100</v>
      </c>
      <c r="J1688" s="10"/>
      <c r="K1688" s="11">
        <v>20</v>
      </c>
      <c r="L1688" s="10"/>
      <c r="M1688" s="10" t="s">
        <v>47</v>
      </c>
      <c r="N1688" s="10"/>
      <c r="O1688" s="2">
        <v>4</v>
      </c>
      <c r="P1688" s="17">
        <f>142*(1-S3/100)</f>
        <v>142</v>
      </c>
      <c r="Q1688" s="18"/>
      <c r="R1688" s="10">
        <f t="shared" si="71"/>
        <v>0</v>
      </c>
      <c r="S1688" s="10">
        <v>0</v>
      </c>
      <c r="T1688" s="10">
        <v>0</v>
      </c>
      <c r="U1688" s="21"/>
      <c r="V1688" s="22" t="s">
        <v>7140</v>
      </c>
      <c r="W1688" s="22" t="s">
        <v>49</v>
      </c>
      <c r="X1688" s="3" t="s">
        <v>7081</v>
      </c>
      <c r="Y1688" s="3" t="s">
        <v>7141</v>
      </c>
      <c r="Z1688" s="3" t="s">
        <v>384</v>
      </c>
      <c r="AA1688" s="3" t="s">
        <v>1611</v>
      </c>
      <c r="AB1688" s="3"/>
      <c r="AC1688" s="3" t="str">
        <f>HYPERLINK("https://knigipp.ru/api/getInfo/image/8d729939-9781-11ef-a267-00155d82e908")</f>
        <v>https://knigipp.ru/api/getInfo/image/8d729939-9781-11ef-a267-00155d82e908</v>
      </c>
      <c r="AD1688" s="32">
        <v>32</v>
      </c>
      <c r="AE1688" s="3" t="s">
        <v>54</v>
      </c>
      <c r="AF1688" s="3" t="s">
        <v>741</v>
      </c>
      <c r="AG1688" s="3"/>
      <c r="AH1688" s="3" t="s">
        <v>56</v>
      </c>
      <c r="AI1688" s="3"/>
      <c r="AJ1688" s="3"/>
      <c r="AK1688" s="3" t="str">
        <f>HYPERLINK("https://knigipp.ru/api/getInfo/item/8d729939-9781-11ef-a267-00155d82e908")</f>
        <v>https://knigipp.ru/api/getInfo/item/8d729939-9781-11ef-a267-00155d82e908</v>
      </c>
      <c r="AL1688" s="3" t="s">
        <v>7096</v>
      </c>
    </row>
    <row r="1689" spans="1:38" ht="21" customHeight="1" outlineLevel="5" x14ac:dyDescent="0.2">
      <c r="A1689" s="39">
        <v>1284</v>
      </c>
      <c r="B1689" s="3" t="s">
        <v>7142</v>
      </c>
      <c r="C1689" s="49" t="s">
        <v>7143</v>
      </c>
      <c r="D1689" s="49"/>
      <c r="E1689" s="49"/>
      <c r="F1689" s="49"/>
      <c r="G1689" s="4" t="s">
        <v>7144</v>
      </c>
      <c r="H1689" s="8"/>
      <c r="I1689" s="9" t="s">
        <v>7133</v>
      </c>
      <c r="J1689" s="10"/>
      <c r="K1689" s="11">
        <v>20</v>
      </c>
      <c r="L1689" s="10"/>
      <c r="M1689" s="10" t="s">
        <v>47</v>
      </c>
      <c r="N1689" s="10"/>
      <c r="O1689" s="2">
        <v>4</v>
      </c>
      <c r="P1689" s="17">
        <f>142*(1-S3/100)</f>
        <v>142</v>
      </c>
      <c r="Q1689" s="18"/>
      <c r="R1689" s="10">
        <f t="shared" si="71"/>
        <v>0</v>
      </c>
      <c r="S1689" s="19">
        <f>0.119*Q1689</f>
        <v>0</v>
      </c>
      <c r="T1689" s="30">
        <f>0.0003*Q1689</f>
        <v>0</v>
      </c>
      <c r="U1689" s="21"/>
      <c r="V1689" s="22" t="s">
        <v>7145</v>
      </c>
      <c r="W1689" s="22" t="s">
        <v>49</v>
      </c>
      <c r="X1689" s="3" t="s">
        <v>7135</v>
      </c>
      <c r="Y1689" s="3" t="s">
        <v>7146</v>
      </c>
      <c r="Z1689" s="3" t="s">
        <v>384</v>
      </c>
      <c r="AA1689" s="3" t="s">
        <v>1611</v>
      </c>
      <c r="AB1689" s="3"/>
      <c r="AC1689" s="3" t="str">
        <f>HYPERLINK("https://knigipp.ru/api/getInfo/image/638000d9-9781-11ef-a267-00155d82e908")</f>
        <v>https://knigipp.ru/api/getInfo/image/638000d9-9781-11ef-a267-00155d82e908</v>
      </c>
      <c r="AD1689" s="32">
        <v>32</v>
      </c>
      <c r="AE1689" s="3" t="s">
        <v>54</v>
      </c>
      <c r="AF1689" s="3" t="s">
        <v>741</v>
      </c>
      <c r="AG1689" s="3"/>
      <c r="AH1689" s="3" t="s">
        <v>56</v>
      </c>
      <c r="AI1689" s="3"/>
      <c r="AJ1689" s="3"/>
      <c r="AK1689" s="3" t="str">
        <f>HYPERLINK("https://knigipp.ru/api/getInfo/item/638000d9-9781-11ef-a267-00155d82e908")</f>
        <v>https://knigipp.ru/api/getInfo/item/638000d9-9781-11ef-a267-00155d82e908</v>
      </c>
      <c r="AL1689" s="3" t="s">
        <v>7096</v>
      </c>
    </row>
    <row r="1690" spans="1:38" ht="23.1" customHeight="1" outlineLevel="4" x14ac:dyDescent="0.2">
      <c r="A1690" s="55" t="s">
        <v>7147</v>
      </c>
      <c r="B1690" s="55"/>
      <c r="C1690" s="55"/>
      <c r="D1690" s="55"/>
      <c r="E1690" s="55"/>
      <c r="F1690" s="55"/>
    </row>
    <row r="1691" spans="1:38" ht="21" customHeight="1" outlineLevel="5" x14ac:dyDescent="0.2">
      <c r="A1691" s="39">
        <v>1285</v>
      </c>
      <c r="B1691" s="3" t="s">
        <v>7148</v>
      </c>
      <c r="C1691" s="49" t="s">
        <v>7149</v>
      </c>
      <c r="D1691" s="49"/>
      <c r="E1691" s="49"/>
      <c r="F1691" s="49"/>
      <c r="G1691" s="4" t="s">
        <v>7150</v>
      </c>
      <c r="H1691" s="8"/>
      <c r="I1691" s="9" t="s">
        <v>7151</v>
      </c>
      <c r="J1691" s="10"/>
      <c r="K1691" s="11">
        <v>24</v>
      </c>
      <c r="L1691" s="10"/>
      <c r="M1691" s="10" t="s">
        <v>47</v>
      </c>
      <c r="N1691" s="10"/>
      <c r="O1691" s="2">
        <v>4</v>
      </c>
      <c r="P1691" s="17">
        <f>169*(1-S3/100)</f>
        <v>169</v>
      </c>
      <c r="Q1691" s="18"/>
      <c r="R1691" s="10">
        <f>P1691*Q1691</f>
        <v>0</v>
      </c>
      <c r="S1691" s="19">
        <f>0.156*Q1691</f>
        <v>0</v>
      </c>
      <c r="T1691" s="30">
        <f>0.0003*Q1691</f>
        <v>0</v>
      </c>
      <c r="U1691" s="21"/>
      <c r="V1691" s="22" t="s">
        <v>7152</v>
      </c>
      <c r="W1691" s="22" t="s">
        <v>49</v>
      </c>
      <c r="X1691" s="3"/>
      <c r="Y1691" s="3" t="s">
        <v>7153</v>
      </c>
      <c r="Z1691" s="3" t="s">
        <v>52</v>
      </c>
      <c r="AA1691" s="3"/>
      <c r="AB1691" s="3"/>
      <c r="AC1691" s="3" t="str">
        <f>HYPERLINK("https://knigipp.ru/api/getInfo/image/871dc3bd-4d54-11ee-a244-00155d82e902")</f>
        <v>https://knigipp.ru/api/getInfo/image/871dc3bd-4d54-11ee-a244-00155d82e902</v>
      </c>
      <c r="AD1691" s="32">
        <v>48</v>
      </c>
      <c r="AE1691" s="3" t="s">
        <v>54</v>
      </c>
      <c r="AF1691" s="3" t="s">
        <v>741</v>
      </c>
      <c r="AG1691" s="3"/>
      <c r="AH1691" s="3" t="s">
        <v>56</v>
      </c>
      <c r="AI1691" s="3"/>
      <c r="AJ1691" s="3"/>
      <c r="AK1691" s="3" t="str">
        <f>HYPERLINK("https://knigipp.ru/api/getInfo/item/871dc3bd-4d54-11ee-a244-00155d82e902")</f>
        <v>https://knigipp.ru/api/getInfo/item/871dc3bd-4d54-11ee-a244-00155d82e902</v>
      </c>
      <c r="AL1691" s="3" t="s">
        <v>7154</v>
      </c>
    </row>
    <row r="1692" spans="1:38" ht="23.1" customHeight="1" outlineLevel="4" x14ac:dyDescent="0.2">
      <c r="A1692" s="55" t="s">
        <v>7155</v>
      </c>
      <c r="B1692" s="55"/>
      <c r="C1692" s="55"/>
      <c r="D1692" s="55"/>
      <c r="E1692" s="55"/>
      <c r="F1692" s="55"/>
    </row>
    <row r="1693" spans="1:38" ht="21" customHeight="1" outlineLevel="5" x14ac:dyDescent="0.2">
      <c r="A1693" s="39">
        <v>1286</v>
      </c>
      <c r="B1693" s="3" t="s">
        <v>7156</v>
      </c>
      <c r="C1693" s="49" t="s">
        <v>7157</v>
      </c>
      <c r="D1693" s="49"/>
      <c r="E1693" s="49"/>
      <c r="F1693" s="49"/>
      <c r="G1693" s="4" t="s">
        <v>7158</v>
      </c>
      <c r="H1693" s="8"/>
      <c r="I1693" s="9" t="s">
        <v>7159</v>
      </c>
      <c r="J1693" s="10"/>
      <c r="K1693" s="11">
        <v>20</v>
      </c>
      <c r="L1693" s="10"/>
      <c r="M1693" s="10" t="s">
        <v>47</v>
      </c>
      <c r="N1693" s="10"/>
      <c r="O1693" s="2">
        <v>3</v>
      </c>
      <c r="P1693" s="17">
        <f>219*(1-S3/100)</f>
        <v>219</v>
      </c>
      <c r="Q1693" s="18"/>
      <c r="R1693" s="10">
        <f>P1693*Q1693</f>
        <v>0</v>
      </c>
      <c r="S1693" s="28">
        <f>0.21*Q1693</f>
        <v>0</v>
      </c>
      <c r="T1693" s="20">
        <f>0.00029*Q1693</f>
        <v>0</v>
      </c>
      <c r="U1693" s="21"/>
      <c r="V1693" s="22" t="s">
        <v>7160</v>
      </c>
      <c r="W1693" s="22" t="s">
        <v>49</v>
      </c>
      <c r="X1693" s="3"/>
      <c r="Y1693" s="3"/>
      <c r="Z1693" s="3" t="s">
        <v>52</v>
      </c>
      <c r="AA1693" s="3"/>
      <c r="AB1693" s="3"/>
      <c r="AC1693" s="3" t="str">
        <f>HYPERLINK("https://knigipp.ru/api/getInfo/image/6e26c0b4-0b15-11ec-a20e-ac1f6b442185")</f>
        <v>https://knigipp.ru/api/getInfo/image/6e26c0b4-0b15-11ec-a20e-ac1f6b442185</v>
      </c>
      <c r="AD1693" s="32">
        <v>24</v>
      </c>
      <c r="AE1693" s="3"/>
      <c r="AF1693" s="3" t="s">
        <v>741</v>
      </c>
      <c r="AG1693" s="3"/>
      <c r="AH1693" s="3" t="s">
        <v>56</v>
      </c>
      <c r="AI1693" s="3"/>
      <c r="AJ1693" s="3"/>
      <c r="AK1693" s="3" t="str">
        <f>HYPERLINK("https://knigipp.ru/api/getInfo/item/6e26c0b4-0b15-11ec-a20e-ac1f6b442185")</f>
        <v>https://knigipp.ru/api/getInfo/item/6e26c0b4-0b15-11ec-a20e-ac1f6b442185</v>
      </c>
      <c r="AL1693" s="3" t="s">
        <v>4623</v>
      </c>
    </row>
    <row r="1694" spans="1:38" ht="21" customHeight="1" outlineLevel="5" x14ac:dyDescent="0.2">
      <c r="A1694" s="39">
        <v>1287</v>
      </c>
      <c r="B1694" s="3" t="s">
        <v>7161</v>
      </c>
      <c r="C1694" s="49" t="s">
        <v>7162</v>
      </c>
      <c r="D1694" s="49"/>
      <c r="E1694" s="49"/>
      <c r="F1694" s="49"/>
      <c r="G1694" s="4" t="s">
        <v>7163</v>
      </c>
      <c r="H1694" s="8"/>
      <c r="I1694" s="9" t="s">
        <v>7159</v>
      </c>
      <c r="J1694" s="10"/>
      <c r="K1694" s="11">
        <v>20</v>
      </c>
      <c r="L1694" s="10"/>
      <c r="M1694" s="10" t="s">
        <v>47</v>
      </c>
      <c r="N1694" s="10"/>
      <c r="O1694" s="2">
        <v>3</v>
      </c>
      <c r="P1694" s="17">
        <f>219*(1-S3/100)</f>
        <v>219</v>
      </c>
      <c r="Q1694" s="18"/>
      <c r="R1694" s="10">
        <f>P1694*Q1694</f>
        <v>0</v>
      </c>
      <c r="S1694" s="28">
        <f>0.21*Q1694</f>
        <v>0</v>
      </c>
      <c r="T1694" s="20">
        <f>0.00029*Q1694</f>
        <v>0</v>
      </c>
      <c r="U1694" s="21"/>
      <c r="V1694" s="22" t="s">
        <v>7164</v>
      </c>
      <c r="W1694" s="22" t="s">
        <v>49</v>
      </c>
      <c r="X1694" s="3"/>
      <c r="Y1694" s="3"/>
      <c r="Z1694" s="3" t="s">
        <v>52</v>
      </c>
      <c r="AA1694" s="3"/>
      <c r="AB1694" s="3"/>
      <c r="AC1694" s="3" t="str">
        <f>HYPERLINK("https://knigipp.ru/api/getInfo/image/45bf3202-0b15-11ec-a20e-ac1f6b442185")</f>
        <v>https://knigipp.ru/api/getInfo/image/45bf3202-0b15-11ec-a20e-ac1f6b442185</v>
      </c>
      <c r="AD1694" s="32">
        <v>24</v>
      </c>
      <c r="AE1694" s="3"/>
      <c r="AF1694" s="3" t="s">
        <v>741</v>
      </c>
      <c r="AG1694" s="3"/>
      <c r="AH1694" s="3" t="s">
        <v>56</v>
      </c>
      <c r="AI1694" s="3"/>
      <c r="AJ1694" s="3"/>
      <c r="AK1694" s="3" t="str">
        <f>HYPERLINK("https://knigipp.ru/api/getInfo/item/45bf3202-0b15-11ec-a20e-ac1f6b442185")</f>
        <v>https://knigipp.ru/api/getInfo/item/45bf3202-0b15-11ec-a20e-ac1f6b442185</v>
      </c>
      <c r="AL1694" s="3" t="s">
        <v>4623</v>
      </c>
    </row>
    <row r="1695" spans="1:38" ht="21" customHeight="1" outlineLevel="5" x14ac:dyDescent="0.2">
      <c r="A1695" s="39">
        <v>1288</v>
      </c>
      <c r="B1695" s="3" t="s">
        <v>7165</v>
      </c>
      <c r="C1695" s="49" t="s">
        <v>7166</v>
      </c>
      <c r="D1695" s="49"/>
      <c r="E1695" s="49"/>
      <c r="F1695" s="49"/>
      <c r="G1695" s="4" t="s">
        <v>7167</v>
      </c>
      <c r="H1695" s="8"/>
      <c r="I1695" s="9" t="s">
        <v>7159</v>
      </c>
      <c r="J1695" s="10"/>
      <c r="K1695" s="11">
        <v>20</v>
      </c>
      <c r="L1695" s="10"/>
      <c r="M1695" s="10" t="s">
        <v>47</v>
      </c>
      <c r="N1695" s="10"/>
      <c r="O1695" s="2">
        <v>3</v>
      </c>
      <c r="P1695" s="17">
        <f>219*(1-S3/100)</f>
        <v>219</v>
      </c>
      <c r="Q1695" s="18"/>
      <c r="R1695" s="10">
        <f>P1695*Q1695</f>
        <v>0</v>
      </c>
      <c r="S1695" s="28">
        <f>0.21*Q1695</f>
        <v>0</v>
      </c>
      <c r="T1695" s="20">
        <f>0.00029*Q1695</f>
        <v>0</v>
      </c>
      <c r="U1695" s="21"/>
      <c r="V1695" s="22" t="s">
        <v>7168</v>
      </c>
      <c r="W1695" s="22" t="s">
        <v>49</v>
      </c>
      <c r="X1695" s="3"/>
      <c r="Y1695" s="3"/>
      <c r="Z1695" s="3" t="s">
        <v>52</v>
      </c>
      <c r="AA1695" s="3"/>
      <c r="AB1695" s="3"/>
      <c r="AC1695" s="3" t="str">
        <f>HYPERLINK("https://knigipp.ru/api/getInfo/image/246e2a12-0b15-11ec-a20e-ac1f6b442185")</f>
        <v>https://knigipp.ru/api/getInfo/image/246e2a12-0b15-11ec-a20e-ac1f6b442185</v>
      </c>
      <c r="AD1695" s="32">
        <v>24</v>
      </c>
      <c r="AE1695" s="3"/>
      <c r="AF1695" s="3" t="s">
        <v>741</v>
      </c>
      <c r="AG1695" s="3"/>
      <c r="AH1695" s="3" t="s">
        <v>56</v>
      </c>
      <c r="AI1695" s="3"/>
      <c r="AJ1695" s="3"/>
      <c r="AK1695" s="3" t="str">
        <f>HYPERLINK("https://knigipp.ru/api/getInfo/item/246e2a12-0b15-11ec-a20e-ac1f6b442185")</f>
        <v>https://knigipp.ru/api/getInfo/item/246e2a12-0b15-11ec-a20e-ac1f6b442185</v>
      </c>
      <c r="AL1695" s="3" t="s">
        <v>4623</v>
      </c>
    </row>
    <row r="1696" spans="1:38" ht="21" customHeight="1" outlineLevel="5" x14ac:dyDescent="0.2">
      <c r="A1696" s="39">
        <v>1289</v>
      </c>
      <c r="B1696" s="3" t="s">
        <v>7169</v>
      </c>
      <c r="C1696" s="49" t="s">
        <v>7170</v>
      </c>
      <c r="D1696" s="49"/>
      <c r="E1696" s="49"/>
      <c r="F1696" s="49"/>
      <c r="G1696" s="4" t="s">
        <v>7171</v>
      </c>
      <c r="H1696" s="8"/>
      <c r="I1696" s="9" t="s">
        <v>7159</v>
      </c>
      <c r="J1696" s="10"/>
      <c r="K1696" s="11">
        <v>20</v>
      </c>
      <c r="L1696" s="10"/>
      <c r="M1696" s="10" t="s">
        <v>47</v>
      </c>
      <c r="N1696" s="10"/>
      <c r="O1696" s="2">
        <v>3</v>
      </c>
      <c r="P1696" s="17">
        <f>219*(1-S3/100)</f>
        <v>219</v>
      </c>
      <c r="Q1696" s="18"/>
      <c r="R1696" s="10">
        <f>P1696*Q1696</f>
        <v>0</v>
      </c>
      <c r="S1696" s="28">
        <f>0.21*Q1696</f>
        <v>0</v>
      </c>
      <c r="T1696" s="20">
        <f>0.00029*Q1696</f>
        <v>0</v>
      </c>
      <c r="U1696" s="21"/>
      <c r="V1696" s="22" t="s">
        <v>7172</v>
      </c>
      <c r="W1696" s="22" t="s">
        <v>49</v>
      </c>
      <c r="X1696" s="3"/>
      <c r="Y1696" s="3"/>
      <c r="Z1696" s="3" t="s">
        <v>52</v>
      </c>
      <c r="AA1696" s="3"/>
      <c r="AB1696" s="3"/>
      <c r="AC1696" s="3" t="str">
        <f>HYPERLINK("https://knigipp.ru/api/getInfo/image/ecb9055b-0b14-11ec-a20e-ac1f6b442185")</f>
        <v>https://knigipp.ru/api/getInfo/image/ecb9055b-0b14-11ec-a20e-ac1f6b442185</v>
      </c>
      <c r="AD1696" s="32">
        <v>24</v>
      </c>
      <c r="AE1696" s="3"/>
      <c r="AF1696" s="3" t="s">
        <v>741</v>
      </c>
      <c r="AG1696" s="3"/>
      <c r="AH1696" s="3" t="s">
        <v>56</v>
      </c>
      <c r="AI1696" s="3"/>
      <c r="AJ1696" s="3"/>
      <c r="AK1696" s="3" t="str">
        <f>HYPERLINK("https://knigipp.ru/api/getInfo/item/ecb9055b-0b14-11ec-a20e-ac1f6b442185")</f>
        <v>https://knigipp.ru/api/getInfo/item/ecb9055b-0b14-11ec-a20e-ac1f6b442185</v>
      </c>
      <c r="AL1696" s="3" t="s">
        <v>4623</v>
      </c>
    </row>
    <row r="1697" spans="1:38" ht="23.1" customHeight="1" outlineLevel="4" x14ac:dyDescent="0.2">
      <c r="A1697" s="55" t="s">
        <v>7173</v>
      </c>
      <c r="B1697" s="55"/>
      <c r="C1697" s="55"/>
      <c r="D1697" s="55"/>
      <c r="E1697" s="55"/>
      <c r="F1697" s="55"/>
    </row>
    <row r="1698" spans="1:38" ht="21" customHeight="1" outlineLevel="5" x14ac:dyDescent="0.2">
      <c r="A1698" s="39">
        <v>1290</v>
      </c>
      <c r="B1698" s="3" t="s">
        <v>7174</v>
      </c>
      <c r="C1698" s="49" t="s">
        <v>7175</v>
      </c>
      <c r="D1698" s="49"/>
      <c r="E1698" s="49"/>
      <c r="F1698" s="49"/>
      <c r="G1698" s="4" t="s">
        <v>7176</v>
      </c>
      <c r="H1698" s="8"/>
      <c r="I1698" s="9" t="s">
        <v>7177</v>
      </c>
      <c r="J1698" s="10"/>
      <c r="K1698" s="11">
        <v>20</v>
      </c>
      <c r="L1698" s="10"/>
      <c r="M1698" s="10" t="s">
        <v>47</v>
      </c>
      <c r="N1698" s="10"/>
      <c r="O1698" s="2">
        <v>4</v>
      </c>
      <c r="P1698" s="17">
        <f>167*(1-S3/100)</f>
        <v>167</v>
      </c>
      <c r="Q1698" s="18"/>
      <c r="R1698" s="10">
        <f>P1698*Q1698</f>
        <v>0</v>
      </c>
      <c r="S1698" s="19">
        <f>0.089*Q1698</f>
        <v>0</v>
      </c>
      <c r="T1698" s="20">
        <f>0.00016*Q1698</f>
        <v>0</v>
      </c>
      <c r="U1698" s="21"/>
      <c r="V1698" s="22" t="s">
        <v>7178</v>
      </c>
      <c r="W1698" s="22" t="s">
        <v>191</v>
      </c>
      <c r="X1698" s="3"/>
      <c r="Y1698" s="3" t="s">
        <v>7179</v>
      </c>
      <c r="Z1698" s="3" t="s">
        <v>52</v>
      </c>
      <c r="AA1698" s="3"/>
      <c r="AB1698" s="3"/>
      <c r="AC1698" s="3" t="str">
        <f>HYPERLINK("https://knigipp.ru/api/getInfo/image/417843ed-c4fa-11ef-a268-00155d82e908")</f>
        <v>https://knigipp.ru/api/getInfo/image/417843ed-c4fa-11ef-a268-00155d82e908</v>
      </c>
      <c r="AD1698" s="32">
        <v>48</v>
      </c>
      <c r="AE1698" s="3" t="s">
        <v>740</v>
      </c>
      <c r="AF1698" s="3" t="s">
        <v>741</v>
      </c>
      <c r="AG1698" s="3"/>
      <c r="AH1698" s="3" t="s">
        <v>56</v>
      </c>
      <c r="AI1698" s="3"/>
      <c r="AJ1698" s="3"/>
      <c r="AK1698" s="3" t="str">
        <f>HYPERLINK("https://knigipp.ru/api/getInfo/item/417843ed-c4fa-11ef-a268-00155d82e908")</f>
        <v>https://knigipp.ru/api/getInfo/item/417843ed-c4fa-11ef-a268-00155d82e908</v>
      </c>
      <c r="AL1698" s="3" t="s">
        <v>7180</v>
      </c>
    </row>
    <row r="1699" spans="1:38" ht="21" customHeight="1" outlineLevel="5" x14ac:dyDescent="0.2">
      <c r="A1699" s="39">
        <v>1291</v>
      </c>
      <c r="B1699" s="3" t="s">
        <v>7181</v>
      </c>
      <c r="C1699" s="49" t="s">
        <v>7182</v>
      </c>
      <c r="D1699" s="49"/>
      <c r="E1699" s="49"/>
      <c r="F1699" s="49"/>
      <c r="G1699" s="4" t="s">
        <v>7183</v>
      </c>
      <c r="H1699" s="8"/>
      <c r="I1699" s="9" t="s">
        <v>7177</v>
      </c>
      <c r="J1699" s="10"/>
      <c r="K1699" s="11">
        <v>20</v>
      </c>
      <c r="L1699" s="10"/>
      <c r="M1699" s="10" t="s">
        <v>47</v>
      </c>
      <c r="N1699" s="10"/>
      <c r="O1699" s="2">
        <v>4</v>
      </c>
      <c r="P1699" s="17">
        <f>167*(1-S3/100)</f>
        <v>167</v>
      </c>
      <c r="Q1699" s="18"/>
      <c r="R1699" s="10">
        <f>P1699*Q1699</f>
        <v>0</v>
      </c>
      <c r="S1699" s="19">
        <f>0.086*Q1699</f>
        <v>0</v>
      </c>
      <c r="T1699" s="20">
        <f>0.00019*Q1699</f>
        <v>0</v>
      </c>
      <c r="U1699" s="21"/>
      <c r="V1699" s="22" t="s">
        <v>7184</v>
      </c>
      <c r="W1699" s="22" t="s">
        <v>191</v>
      </c>
      <c r="X1699" s="3"/>
      <c r="Y1699" s="3" t="s">
        <v>7179</v>
      </c>
      <c r="Z1699" s="3" t="s">
        <v>52</v>
      </c>
      <c r="AA1699" s="3"/>
      <c r="AB1699" s="3"/>
      <c r="AC1699" s="3" t="str">
        <f>HYPERLINK("https://knigipp.ru/api/getInfo/image/0ec7cd61-c4fa-11ef-a268-00155d82e908")</f>
        <v>https://knigipp.ru/api/getInfo/image/0ec7cd61-c4fa-11ef-a268-00155d82e908</v>
      </c>
      <c r="AD1699" s="32">
        <v>48</v>
      </c>
      <c r="AE1699" s="3" t="s">
        <v>740</v>
      </c>
      <c r="AF1699" s="3" t="s">
        <v>741</v>
      </c>
      <c r="AG1699" s="3"/>
      <c r="AH1699" s="3" t="s">
        <v>56</v>
      </c>
      <c r="AI1699" s="3"/>
      <c r="AJ1699" s="3"/>
      <c r="AK1699" s="3" t="str">
        <f>HYPERLINK("https://knigipp.ru/api/getInfo/item/0ec7cd61-c4fa-11ef-a268-00155d82e908")</f>
        <v>https://knigipp.ru/api/getInfo/item/0ec7cd61-c4fa-11ef-a268-00155d82e908</v>
      </c>
      <c r="AL1699" s="3" t="s">
        <v>7180</v>
      </c>
    </row>
    <row r="1700" spans="1:38" ht="23.1" customHeight="1" outlineLevel="4" x14ac:dyDescent="0.2">
      <c r="A1700" s="55" t="s">
        <v>7185</v>
      </c>
      <c r="B1700" s="55"/>
      <c r="C1700" s="55"/>
      <c r="D1700" s="55"/>
      <c r="E1700" s="55"/>
      <c r="F1700" s="55"/>
    </row>
    <row r="1701" spans="1:38" ht="21" customHeight="1" outlineLevel="5" x14ac:dyDescent="0.2">
      <c r="A1701" s="39">
        <v>1292</v>
      </c>
      <c r="B1701" s="3" t="s">
        <v>7186</v>
      </c>
      <c r="C1701" s="49" t="s">
        <v>7187</v>
      </c>
      <c r="D1701" s="49"/>
      <c r="E1701" s="49"/>
      <c r="F1701" s="49"/>
      <c r="G1701" s="4" t="s">
        <v>7188</v>
      </c>
      <c r="H1701" s="8"/>
      <c r="I1701" s="9" t="s">
        <v>7189</v>
      </c>
      <c r="J1701" s="10"/>
      <c r="K1701" s="11">
        <v>30</v>
      </c>
      <c r="L1701" s="10"/>
      <c r="M1701" s="10" t="s">
        <v>78</v>
      </c>
      <c r="N1701" s="10"/>
      <c r="O1701" s="2">
        <v>5</v>
      </c>
      <c r="P1701" s="17">
        <f>137*(1-S3/100)</f>
        <v>137</v>
      </c>
      <c r="Q1701" s="18"/>
      <c r="R1701" s="10">
        <f>P1701*Q1701</f>
        <v>0</v>
      </c>
      <c r="S1701" s="19">
        <f>0.156*Q1701</f>
        <v>0</v>
      </c>
      <c r="T1701" s="20">
        <f>0.00018*Q1701</f>
        <v>0</v>
      </c>
      <c r="U1701" s="21"/>
      <c r="V1701" s="22" t="s">
        <v>7190</v>
      </c>
      <c r="W1701" s="22" t="s">
        <v>49</v>
      </c>
      <c r="X1701" s="3"/>
      <c r="Y1701" s="3"/>
      <c r="Z1701" s="3" t="s">
        <v>52</v>
      </c>
      <c r="AA1701" s="3"/>
      <c r="AB1701" s="3"/>
      <c r="AC1701" s="3" t="str">
        <f>HYPERLINK("https://knigipp.ru/api/getInfo/image/d8444383-49c5-11eb-a25e-ac1f6b442184")</f>
        <v>https://knigipp.ru/api/getInfo/image/d8444383-49c5-11eb-a25e-ac1f6b442184</v>
      </c>
      <c r="AD1701" s="32">
        <v>48</v>
      </c>
      <c r="AE1701" s="3"/>
      <c r="AF1701" s="3" t="s">
        <v>136</v>
      </c>
      <c r="AG1701" s="3"/>
      <c r="AH1701" s="3" t="s">
        <v>56</v>
      </c>
      <c r="AI1701" s="3"/>
      <c r="AJ1701" s="3"/>
      <c r="AK1701" s="3" t="str">
        <f>HYPERLINK("https://knigipp.ru/api/getInfo/item/d8444383-49c5-11eb-a25e-ac1f6b442184")</f>
        <v>https://knigipp.ru/api/getInfo/item/d8444383-49c5-11eb-a25e-ac1f6b442184</v>
      </c>
      <c r="AL1701" s="3" t="s">
        <v>7191</v>
      </c>
    </row>
    <row r="1702" spans="1:38" ht="23.1" customHeight="1" outlineLevel="4" x14ac:dyDescent="0.2">
      <c r="A1702" s="55" t="s">
        <v>7192</v>
      </c>
      <c r="B1702" s="55"/>
      <c r="C1702" s="55"/>
      <c r="D1702" s="55"/>
      <c r="E1702" s="55"/>
      <c r="F1702" s="55"/>
    </row>
    <row r="1703" spans="1:38" ht="21" customHeight="1" outlineLevel="5" x14ac:dyDescent="0.2">
      <c r="A1703" s="39">
        <v>1293</v>
      </c>
      <c r="B1703" s="3" t="s">
        <v>7193</v>
      </c>
      <c r="C1703" s="49" t="s">
        <v>7194</v>
      </c>
      <c r="D1703" s="49"/>
      <c r="E1703" s="49"/>
      <c r="F1703" s="49"/>
      <c r="G1703" s="4" t="s">
        <v>7195</v>
      </c>
      <c r="H1703" s="8"/>
      <c r="I1703" s="9" t="s">
        <v>7196</v>
      </c>
      <c r="J1703" s="10"/>
      <c r="K1703" s="11">
        <v>25</v>
      </c>
      <c r="L1703" s="10"/>
      <c r="M1703" s="10" t="s">
        <v>47</v>
      </c>
      <c r="N1703" s="10"/>
      <c r="O1703" s="2">
        <v>4</v>
      </c>
      <c r="P1703" s="17">
        <f>159*(1-S3/100)</f>
        <v>159</v>
      </c>
      <c r="Q1703" s="18"/>
      <c r="R1703" s="10">
        <f>P1703*Q1703</f>
        <v>0</v>
      </c>
      <c r="S1703" s="10">
        <v>0</v>
      </c>
      <c r="T1703" s="10">
        <v>0</v>
      </c>
      <c r="U1703" s="21"/>
      <c r="V1703" s="22" t="s">
        <v>7197</v>
      </c>
      <c r="W1703" s="22" t="s">
        <v>49</v>
      </c>
      <c r="X1703" s="3"/>
      <c r="Y1703" s="3"/>
      <c r="Z1703" s="3" t="s">
        <v>52</v>
      </c>
      <c r="AA1703" s="3"/>
      <c r="AB1703" s="3"/>
      <c r="AC1703" s="3" t="str">
        <f>HYPERLINK("https://knigipp.ru/api/getInfo/image/6f0a822a-b589-11ec-a211-ac1f6b442185")</f>
        <v>https://knigipp.ru/api/getInfo/image/6f0a822a-b589-11ec-a211-ac1f6b442185</v>
      </c>
      <c r="AD1703" s="32">
        <v>48</v>
      </c>
      <c r="AE1703" s="3"/>
      <c r="AF1703" s="3" t="s">
        <v>55</v>
      </c>
      <c r="AG1703" s="3"/>
      <c r="AH1703" s="3" t="s">
        <v>56</v>
      </c>
      <c r="AI1703" s="3"/>
      <c r="AJ1703" s="3"/>
      <c r="AK1703" s="3" t="str">
        <f>HYPERLINK("https://knigipp.ru/api/getInfo/item/6f0a822a-b589-11ec-a211-ac1f6b442185")</f>
        <v>https://knigipp.ru/api/getInfo/item/6f0a822a-b589-11ec-a211-ac1f6b442185</v>
      </c>
      <c r="AL1703" s="3" t="s">
        <v>7198</v>
      </c>
    </row>
    <row r="1704" spans="1:38" ht="21" customHeight="1" outlineLevel="5" x14ac:dyDescent="0.2">
      <c r="A1704" s="39">
        <v>1294</v>
      </c>
      <c r="B1704" s="3" t="s">
        <v>7199</v>
      </c>
      <c r="C1704" s="49" t="s">
        <v>7200</v>
      </c>
      <c r="D1704" s="49"/>
      <c r="E1704" s="49"/>
      <c r="F1704" s="49"/>
      <c r="G1704" s="4" t="s">
        <v>7201</v>
      </c>
      <c r="H1704" s="8"/>
      <c r="I1704" s="9" t="s">
        <v>7202</v>
      </c>
      <c r="J1704" s="10"/>
      <c r="K1704" s="11">
        <v>25</v>
      </c>
      <c r="L1704" s="10"/>
      <c r="M1704" s="10" t="s">
        <v>47</v>
      </c>
      <c r="N1704" s="10"/>
      <c r="O1704" s="2">
        <v>4</v>
      </c>
      <c r="P1704" s="17">
        <f>159*(1-S3/100)</f>
        <v>159</v>
      </c>
      <c r="Q1704" s="18"/>
      <c r="R1704" s="10">
        <f>P1704*Q1704</f>
        <v>0</v>
      </c>
      <c r="S1704" s="19">
        <f>0.201*Q1704</f>
        <v>0</v>
      </c>
      <c r="T1704" s="20">
        <f>0.00036*Q1704</f>
        <v>0</v>
      </c>
      <c r="U1704" s="21"/>
      <c r="V1704" s="22" t="s">
        <v>7203</v>
      </c>
      <c r="W1704" s="22" t="s">
        <v>49</v>
      </c>
      <c r="X1704" s="3"/>
      <c r="Y1704" s="3"/>
      <c r="Z1704" s="3" t="s">
        <v>52</v>
      </c>
      <c r="AA1704" s="3"/>
      <c r="AB1704" s="3"/>
      <c r="AC1704" s="3" t="str">
        <f>HYPERLINK("https://knigipp.ru/api/getInfo/image/fcdae004-c7c6-11ec-a212-ac1f6b442185")</f>
        <v>https://knigipp.ru/api/getInfo/image/fcdae004-c7c6-11ec-a212-ac1f6b442185</v>
      </c>
      <c r="AD1704" s="32">
        <v>48</v>
      </c>
      <c r="AE1704" s="3"/>
      <c r="AF1704" s="3" t="s">
        <v>55</v>
      </c>
      <c r="AG1704" s="3"/>
      <c r="AH1704" s="3" t="s">
        <v>56</v>
      </c>
      <c r="AI1704" s="3"/>
      <c r="AJ1704" s="3"/>
      <c r="AK1704" s="3" t="str">
        <f>HYPERLINK("https://knigipp.ru/api/getInfo/item/fcdae004-c7c6-11ec-a212-ac1f6b442185")</f>
        <v>https://knigipp.ru/api/getInfo/item/fcdae004-c7c6-11ec-a212-ac1f6b442185</v>
      </c>
      <c r="AL1704" s="3" t="s">
        <v>7198</v>
      </c>
    </row>
    <row r="1705" spans="1:38" ht="23.1" customHeight="1" outlineLevel="4" x14ac:dyDescent="0.2">
      <c r="A1705" s="55" t="s">
        <v>7204</v>
      </c>
      <c r="B1705" s="55"/>
      <c r="C1705" s="55"/>
      <c r="D1705" s="55"/>
      <c r="E1705" s="55"/>
      <c r="F1705" s="55"/>
    </row>
    <row r="1706" spans="1:38" ht="21" customHeight="1" outlineLevel="5" x14ac:dyDescent="0.2">
      <c r="A1706" s="39">
        <v>1295</v>
      </c>
      <c r="B1706" s="3" t="s">
        <v>7205</v>
      </c>
      <c r="C1706" s="49" t="s">
        <v>7206</v>
      </c>
      <c r="D1706" s="49"/>
      <c r="E1706" s="49"/>
      <c r="F1706" s="49"/>
      <c r="G1706" s="4" t="s">
        <v>7207</v>
      </c>
      <c r="H1706" s="8"/>
      <c r="I1706" s="9" t="s">
        <v>7208</v>
      </c>
      <c r="J1706" s="10"/>
      <c r="K1706" s="11">
        <v>30</v>
      </c>
      <c r="L1706" s="10"/>
      <c r="M1706" s="10" t="s">
        <v>304</v>
      </c>
      <c r="N1706" s="10"/>
      <c r="O1706" s="2">
        <v>5</v>
      </c>
      <c r="P1706" s="17">
        <f>127*(1-S3/100)</f>
        <v>127</v>
      </c>
      <c r="Q1706" s="18"/>
      <c r="R1706" s="10">
        <f>P1706*Q1706</f>
        <v>0</v>
      </c>
      <c r="S1706" s="19">
        <f>0.136*Q1706</f>
        <v>0</v>
      </c>
      <c r="T1706" s="20">
        <f>0.00017*Q1706</f>
        <v>0</v>
      </c>
      <c r="U1706" s="21"/>
      <c r="V1706" s="22" t="s">
        <v>7209</v>
      </c>
      <c r="W1706" s="22" t="s">
        <v>49</v>
      </c>
      <c r="X1706" s="3"/>
      <c r="Y1706" s="3"/>
      <c r="Z1706" s="3" t="s">
        <v>52</v>
      </c>
      <c r="AA1706" s="3"/>
      <c r="AB1706" s="3"/>
      <c r="AC1706" s="3" t="str">
        <f>HYPERLINK("https://knigipp.ru/api/getInfo/image/059923b1-d1d5-11ec-a212-ac1f6b442185")</f>
        <v>https://knigipp.ru/api/getInfo/image/059923b1-d1d5-11ec-a212-ac1f6b442185</v>
      </c>
      <c r="AD1706" s="32">
        <v>48</v>
      </c>
      <c r="AE1706" s="3"/>
      <c r="AF1706" s="3" t="s">
        <v>136</v>
      </c>
      <c r="AG1706" s="3"/>
      <c r="AH1706" s="3" t="s">
        <v>56</v>
      </c>
      <c r="AI1706" s="3"/>
      <c r="AJ1706" s="3"/>
      <c r="AK1706" s="3" t="str">
        <f>HYPERLINK("https://knigipp.ru/api/getInfo/item/059923b1-d1d5-11ec-a212-ac1f6b442185")</f>
        <v>https://knigipp.ru/api/getInfo/item/059923b1-d1d5-11ec-a212-ac1f6b442185</v>
      </c>
      <c r="AL1706" s="3" t="s">
        <v>7210</v>
      </c>
    </row>
    <row r="1707" spans="1:38" ht="23.1" customHeight="1" outlineLevel="4" x14ac:dyDescent="0.2">
      <c r="A1707" s="55" t="s">
        <v>7211</v>
      </c>
      <c r="B1707" s="55"/>
      <c r="C1707" s="55"/>
      <c r="D1707" s="55"/>
      <c r="E1707" s="55"/>
      <c r="F1707" s="55"/>
    </row>
    <row r="1708" spans="1:38" ht="21" customHeight="1" outlineLevel="5" x14ac:dyDescent="0.2">
      <c r="A1708" s="39">
        <v>1296</v>
      </c>
      <c r="B1708" s="3" t="s">
        <v>7212</v>
      </c>
      <c r="C1708" s="49" t="s">
        <v>7213</v>
      </c>
      <c r="D1708" s="49"/>
      <c r="E1708" s="49"/>
      <c r="F1708" s="49"/>
      <c r="G1708" s="4" t="s">
        <v>7214</v>
      </c>
      <c r="H1708" s="8"/>
      <c r="I1708" s="9" t="s">
        <v>7215</v>
      </c>
      <c r="J1708" s="10"/>
      <c r="K1708" s="11">
        <v>20</v>
      </c>
      <c r="L1708" s="10"/>
      <c r="M1708" s="10" t="s">
        <v>47</v>
      </c>
      <c r="N1708" s="10"/>
      <c r="O1708" s="2">
        <v>4</v>
      </c>
      <c r="P1708" s="17">
        <f>167*(1-S3/100)</f>
        <v>167</v>
      </c>
      <c r="Q1708" s="18"/>
      <c r="R1708" s="10">
        <f>P1708*Q1708</f>
        <v>0</v>
      </c>
      <c r="S1708" s="19">
        <f>0.086*Q1708</f>
        <v>0</v>
      </c>
      <c r="T1708" s="20">
        <f>0.00015*Q1708</f>
        <v>0</v>
      </c>
      <c r="U1708" s="21"/>
      <c r="V1708" s="22" t="s">
        <v>7216</v>
      </c>
      <c r="W1708" s="22" t="s">
        <v>49</v>
      </c>
      <c r="X1708" s="3"/>
      <c r="Y1708" s="3" t="s">
        <v>7217</v>
      </c>
      <c r="Z1708" s="3" t="s">
        <v>52</v>
      </c>
      <c r="AA1708" s="3"/>
      <c r="AB1708" s="3"/>
      <c r="AC1708" s="3" t="str">
        <f>HYPERLINK("https://knigipp.ru/api/getInfo/image/4f536a8b-25c7-11f0-a279-00155d82e908")</f>
        <v>https://knigipp.ru/api/getInfo/image/4f536a8b-25c7-11f0-a279-00155d82e908</v>
      </c>
      <c r="AD1708" s="32">
        <v>48</v>
      </c>
      <c r="AE1708" s="3" t="s">
        <v>740</v>
      </c>
      <c r="AF1708" s="3" t="s">
        <v>741</v>
      </c>
      <c r="AG1708" s="3"/>
      <c r="AH1708" s="3" t="s">
        <v>56</v>
      </c>
      <c r="AI1708" s="3"/>
      <c r="AJ1708" s="3"/>
      <c r="AK1708" s="3" t="str">
        <f>HYPERLINK("https://knigipp.ru/api/getInfo/item/4f536a8b-25c7-11f0-a279-00155d82e908")</f>
        <v>https://knigipp.ru/api/getInfo/item/4f536a8b-25c7-11f0-a279-00155d82e908</v>
      </c>
      <c r="AL1708" s="3" t="s">
        <v>7180</v>
      </c>
    </row>
    <row r="1709" spans="1:38" ht="21" customHeight="1" outlineLevel="5" x14ac:dyDescent="0.2">
      <c r="A1709" s="39">
        <v>1297</v>
      </c>
      <c r="B1709" s="3" t="s">
        <v>7218</v>
      </c>
      <c r="C1709" s="49" t="s">
        <v>7219</v>
      </c>
      <c r="D1709" s="49"/>
      <c r="E1709" s="49"/>
      <c r="F1709" s="49"/>
      <c r="G1709" s="4" t="s">
        <v>7220</v>
      </c>
      <c r="H1709" s="8"/>
      <c r="I1709" s="9" t="s">
        <v>7215</v>
      </c>
      <c r="J1709" s="10"/>
      <c r="K1709" s="11">
        <v>20</v>
      </c>
      <c r="L1709" s="10"/>
      <c r="M1709" s="10" t="s">
        <v>78</v>
      </c>
      <c r="N1709" s="10"/>
      <c r="O1709" s="2">
        <v>4</v>
      </c>
      <c r="P1709" s="17">
        <f>167*(1-S3/100)</f>
        <v>167</v>
      </c>
      <c r="Q1709" s="18"/>
      <c r="R1709" s="10">
        <f>P1709*Q1709</f>
        <v>0</v>
      </c>
      <c r="S1709" s="19">
        <f>0.092*Q1709</f>
        <v>0</v>
      </c>
      <c r="T1709" s="20">
        <f>0.00016*Q1709</f>
        <v>0</v>
      </c>
      <c r="U1709" s="21"/>
      <c r="V1709" s="22" t="s">
        <v>7221</v>
      </c>
      <c r="W1709" s="22" t="s">
        <v>49</v>
      </c>
      <c r="X1709" s="3"/>
      <c r="Y1709" s="3" t="s">
        <v>7222</v>
      </c>
      <c r="Z1709" s="3" t="s">
        <v>52</v>
      </c>
      <c r="AA1709" s="3"/>
      <c r="AB1709" s="3"/>
      <c r="AC1709" s="3" t="str">
        <f>HYPERLINK("https://knigipp.ru/api/getInfo/image/14816327-b659-11f0-a286-00155d82e908")</f>
        <v>https://knigipp.ru/api/getInfo/image/14816327-b659-11f0-a286-00155d82e908</v>
      </c>
      <c r="AD1709" s="32">
        <v>48</v>
      </c>
      <c r="AE1709" s="3" t="s">
        <v>740</v>
      </c>
      <c r="AF1709" s="3" t="s">
        <v>741</v>
      </c>
      <c r="AG1709" s="3"/>
      <c r="AH1709" s="3" t="s">
        <v>56</v>
      </c>
      <c r="AI1709" s="3"/>
      <c r="AJ1709" s="3"/>
      <c r="AK1709" s="3" t="str">
        <f>HYPERLINK("https://knigipp.ru/api/getInfo/item/14816327-b659-11f0-a286-00155d82e908")</f>
        <v>https://knigipp.ru/api/getInfo/item/14816327-b659-11f0-a286-00155d82e908</v>
      </c>
      <c r="AL1709" s="3" t="s">
        <v>7180</v>
      </c>
    </row>
    <row r="1710" spans="1:38" ht="21" customHeight="1" outlineLevel="5" x14ac:dyDescent="0.2">
      <c r="A1710" s="39">
        <v>1298</v>
      </c>
      <c r="B1710" s="3" t="s">
        <v>7223</v>
      </c>
      <c r="C1710" s="49" t="s">
        <v>7224</v>
      </c>
      <c r="D1710" s="49"/>
      <c r="E1710" s="49"/>
      <c r="F1710" s="49"/>
      <c r="G1710" s="4" t="s">
        <v>7225</v>
      </c>
      <c r="H1710" s="8"/>
      <c r="I1710" s="9" t="s">
        <v>7215</v>
      </c>
      <c r="J1710" s="10"/>
      <c r="K1710" s="11">
        <v>20</v>
      </c>
      <c r="L1710" s="10"/>
      <c r="M1710" s="10" t="s">
        <v>47</v>
      </c>
      <c r="N1710" s="10"/>
      <c r="O1710" s="2">
        <v>4</v>
      </c>
      <c r="P1710" s="17">
        <f>167*(1-S3/100)</f>
        <v>167</v>
      </c>
      <c r="Q1710" s="18"/>
      <c r="R1710" s="10">
        <f>P1710*Q1710</f>
        <v>0</v>
      </c>
      <c r="S1710" s="19">
        <f>0.088*Q1710</f>
        <v>0</v>
      </c>
      <c r="T1710" s="20">
        <f>0.00022*Q1710</f>
        <v>0</v>
      </c>
      <c r="U1710" s="21"/>
      <c r="V1710" s="22" t="s">
        <v>7226</v>
      </c>
      <c r="W1710" s="22" t="s">
        <v>49</v>
      </c>
      <c r="X1710" s="3"/>
      <c r="Y1710" s="3" t="s">
        <v>7222</v>
      </c>
      <c r="Z1710" s="3" t="s">
        <v>52</v>
      </c>
      <c r="AA1710" s="3"/>
      <c r="AB1710" s="3"/>
      <c r="AC1710" s="3" t="str">
        <f>HYPERLINK("https://knigipp.ru/api/getInfo/image/df481e02-b658-11f0-a286-00155d82e908")</f>
        <v>https://knigipp.ru/api/getInfo/image/df481e02-b658-11f0-a286-00155d82e908</v>
      </c>
      <c r="AD1710" s="32">
        <v>48</v>
      </c>
      <c r="AE1710" s="3" t="s">
        <v>740</v>
      </c>
      <c r="AF1710" s="3" t="s">
        <v>741</v>
      </c>
      <c r="AG1710" s="3"/>
      <c r="AH1710" s="3" t="s">
        <v>56</v>
      </c>
      <c r="AI1710" s="3"/>
      <c r="AJ1710" s="3"/>
      <c r="AK1710" s="3" t="str">
        <f>HYPERLINK("https://knigipp.ru/api/getInfo/item/df481e02-b658-11f0-a286-00155d82e908")</f>
        <v>https://knigipp.ru/api/getInfo/item/df481e02-b658-11f0-a286-00155d82e908</v>
      </c>
      <c r="AL1710" s="3" t="s">
        <v>7180</v>
      </c>
    </row>
    <row r="1711" spans="1:38" ht="21" customHeight="1" outlineLevel="5" x14ac:dyDescent="0.2">
      <c r="A1711" s="39">
        <v>1299</v>
      </c>
      <c r="B1711" s="3" t="s">
        <v>7227</v>
      </c>
      <c r="C1711" s="49" t="s">
        <v>7228</v>
      </c>
      <c r="D1711" s="49"/>
      <c r="E1711" s="49"/>
      <c r="F1711" s="49"/>
      <c r="G1711" s="4" t="s">
        <v>7229</v>
      </c>
      <c r="H1711" s="8"/>
      <c r="I1711" s="9" t="s">
        <v>7230</v>
      </c>
      <c r="J1711" s="10"/>
      <c r="K1711" s="11">
        <v>20</v>
      </c>
      <c r="L1711" s="10"/>
      <c r="M1711" s="10" t="s">
        <v>47</v>
      </c>
      <c r="N1711" s="10"/>
      <c r="O1711" s="2">
        <v>4</v>
      </c>
      <c r="P1711" s="17">
        <f>167*(1-S3/100)</f>
        <v>167</v>
      </c>
      <c r="Q1711" s="18"/>
      <c r="R1711" s="10">
        <f>P1711*Q1711</f>
        <v>0</v>
      </c>
      <c r="S1711" s="19">
        <f>0.089*Q1711</f>
        <v>0</v>
      </c>
      <c r="T1711" s="20">
        <f>0.00031*Q1711</f>
        <v>0</v>
      </c>
      <c r="U1711" s="21"/>
      <c r="V1711" s="22" t="s">
        <v>7231</v>
      </c>
      <c r="W1711" s="22" t="s">
        <v>49</v>
      </c>
      <c r="X1711" s="3"/>
      <c r="Y1711" s="3"/>
      <c r="Z1711" s="3" t="s">
        <v>52</v>
      </c>
      <c r="AA1711" s="3"/>
      <c r="AB1711" s="3"/>
      <c r="AC1711" s="3" t="str">
        <f>HYPERLINK("https://knigipp.ru/api/getInfo/image/475fa981-dfcf-11ef-a273-00155d82e908")</f>
        <v>https://knigipp.ru/api/getInfo/image/475fa981-dfcf-11ef-a273-00155d82e908</v>
      </c>
      <c r="AD1711" s="32">
        <v>48</v>
      </c>
      <c r="AE1711" s="3" t="s">
        <v>740</v>
      </c>
      <c r="AF1711" s="3" t="s">
        <v>741</v>
      </c>
      <c r="AG1711" s="3"/>
      <c r="AH1711" s="3" t="s">
        <v>56</v>
      </c>
      <c r="AI1711" s="3"/>
      <c r="AJ1711" s="3"/>
      <c r="AK1711" s="3" t="str">
        <f>HYPERLINK("https://knigipp.ru/api/getInfo/item/475fa981-dfcf-11ef-a273-00155d82e908")</f>
        <v>https://knigipp.ru/api/getInfo/item/475fa981-dfcf-11ef-a273-00155d82e908</v>
      </c>
      <c r="AL1711" s="3" t="s">
        <v>7180</v>
      </c>
    </row>
    <row r="1712" spans="1:38" ht="23.1" customHeight="1" outlineLevel="3" x14ac:dyDescent="0.2">
      <c r="A1712" s="48" t="s">
        <v>7232</v>
      </c>
      <c r="B1712" s="48"/>
      <c r="C1712" s="48"/>
      <c r="D1712" s="48"/>
      <c r="E1712" s="48"/>
      <c r="F1712" s="48"/>
    </row>
    <row r="1713" spans="1:38" ht="23.1" customHeight="1" outlineLevel="4" x14ac:dyDescent="0.2">
      <c r="A1713" s="55" t="s">
        <v>7233</v>
      </c>
      <c r="B1713" s="55"/>
      <c r="C1713" s="55"/>
      <c r="D1713" s="55"/>
      <c r="E1713" s="55"/>
      <c r="F1713" s="55"/>
    </row>
    <row r="1714" spans="1:38" ht="21" customHeight="1" outlineLevel="5" x14ac:dyDescent="0.2">
      <c r="A1714" s="39">
        <v>1300</v>
      </c>
      <c r="B1714" s="3" t="s">
        <v>7234</v>
      </c>
      <c r="C1714" s="49" t="s">
        <v>7235</v>
      </c>
      <c r="D1714" s="49"/>
      <c r="E1714" s="49"/>
      <c r="F1714" s="49"/>
      <c r="G1714" s="4" t="s">
        <v>7236</v>
      </c>
      <c r="H1714" s="8"/>
      <c r="I1714" s="9" t="s">
        <v>7237</v>
      </c>
      <c r="J1714" s="10"/>
      <c r="K1714" s="11">
        <v>60</v>
      </c>
      <c r="L1714" s="10"/>
      <c r="M1714" s="10" t="s">
        <v>47</v>
      </c>
      <c r="N1714" s="10"/>
      <c r="O1714" s="2">
        <v>10</v>
      </c>
      <c r="P1714" s="17">
        <f>67.3*(1-S3/100)</f>
        <v>67.3</v>
      </c>
      <c r="Q1714" s="18"/>
      <c r="R1714" s="10">
        <f>P1714*Q1714</f>
        <v>0</v>
      </c>
      <c r="S1714" s="19">
        <f>0.049*Q1714</f>
        <v>0</v>
      </c>
      <c r="T1714" s="20">
        <f>0.00031*Q1714</f>
        <v>0</v>
      </c>
      <c r="U1714" s="21"/>
      <c r="V1714" s="22" t="s">
        <v>7238</v>
      </c>
      <c r="W1714" s="22" t="s">
        <v>49</v>
      </c>
      <c r="X1714" s="3"/>
      <c r="Y1714" s="3" t="s">
        <v>7239</v>
      </c>
      <c r="Z1714" s="3" t="s">
        <v>52</v>
      </c>
      <c r="AA1714" s="3"/>
      <c r="AB1714" s="3"/>
      <c r="AC1714" s="3" t="str">
        <f>HYPERLINK("https://knigipp.ru/api/getInfo/image/9aa07eb8-7a88-11eb-a274-ac1f6b442184")</f>
        <v>https://knigipp.ru/api/getInfo/image/9aa07eb8-7a88-11eb-a274-ac1f6b442184</v>
      </c>
      <c r="AD1714" s="32">
        <v>16</v>
      </c>
      <c r="AE1714" s="3"/>
      <c r="AF1714" s="3" t="s">
        <v>136</v>
      </c>
      <c r="AG1714" s="3"/>
      <c r="AH1714" s="3" t="s">
        <v>56</v>
      </c>
      <c r="AI1714" s="3"/>
      <c r="AJ1714" s="3"/>
      <c r="AK1714" s="3" t="str">
        <f>HYPERLINK("https://knigipp.ru/api/getInfo/item/9aa07eb8-7a88-11eb-a274-ac1f6b442184")</f>
        <v>https://knigipp.ru/api/getInfo/item/9aa07eb8-7a88-11eb-a274-ac1f6b442184</v>
      </c>
      <c r="AL1714" s="3" t="s">
        <v>7240</v>
      </c>
    </row>
    <row r="1715" spans="1:38" ht="21" customHeight="1" outlineLevel="5" x14ac:dyDescent="0.2">
      <c r="A1715" s="39">
        <v>1301</v>
      </c>
      <c r="B1715" s="3" t="s">
        <v>7241</v>
      </c>
      <c r="C1715" s="49" t="s">
        <v>7242</v>
      </c>
      <c r="D1715" s="49"/>
      <c r="E1715" s="49"/>
      <c r="F1715" s="49"/>
      <c r="G1715" s="4" t="s">
        <v>7243</v>
      </c>
      <c r="H1715" s="8"/>
      <c r="I1715" s="9" t="s">
        <v>7237</v>
      </c>
      <c r="J1715" s="10"/>
      <c r="K1715" s="11">
        <v>60</v>
      </c>
      <c r="L1715" s="10"/>
      <c r="M1715" s="10" t="s">
        <v>47</v>
      </c>
      <c r="N1715" s="10"/>
      <c r="O1715" s="2">
        <v>10</v>
      </c>
      <c r="P1715" s="17">
        <f>67.3*(1-S3/100)</f>
        <v>67.3</v>
      </c>
      <c r="Q1715" s="18"/>
      <c r="R1715" s="10">
        <f>P1715*Q1715</f>
        <v>0</v>
      </c>
      <c r="S1715" s="19">
        <f>0.049*Q1715</f>
        <v>0</v>
      </c>
      <c r="T1715" s="20">
        <f>0.00016*Q1715</f>
        <v>0</v>
      </c>
      <c r="U1715" s="21"/>
      <c r="V1715" s="22" t="s">
        <v>7244</v>
      </c>
      <c r="W1715" s="22" t="s">
        <v>49</v>
      </c>
      <c r="X1715" s="3"/>
      <c r="Y1715" s="3" t="s">
        <v>7245</v>
      </c>
      <c r="Z1715" s="3" t="s">
        <v>52</v>
      </c>
      <c r="AA1715" s="3"/>
      <c r="AB1715" s="3"/>
      <c r="AC1715" s="3" t="str">
        <f>HYPERLINK("https://knigipp.ru/api/getInfo/image/83bdaff5-7a87-11eb-a274-ac1f6b442184")</f>
        <v>https://knigipp.ru/api/getInfo/image/83bdaff5-7a87-11eb-a274-ac1f6b442184</v>
      </c>
      <c r="AD1715" s="32">
        <v>16</v>
      </c>
      <c r="AE1715" s="3"/>
      <c r="AF1715" s="3" t="s">
        <v>136</v>
      </c>
      <c r="AG1715" s="3"/>
      <c r="AH1715" s="3" t="s">
        <v>56</v>
      </c>
      <c r="AI1715" s="3"/>
      <c r="AJ1715" s="3"/>
      <c r="AK1715" s="3" t="str">
        <f>HYPERLINK("https://knigipp.ru/api/getInfo/item/83bdaff5-7a87-11eb-a274-ac1f6b442184")</f>
        <v>https://knigipp.ru/api/getInfo/item/83bdaff5-7a87-11eb-a274-ac1f6b442184</v>
      </c>
      <c r="AL1715" s="3" t="s">
        <v>7240</v>
      </c>
    </row>
    <row r="1716" spans="1:38" ht="21" customHeight="1" outlineLevel="5" x14ac:dyDescent="0.2">
      <c r="A1716" s="39">
        <v>1302</v>
      </c>
      <c r="B1716" s="3" t="s">
        <v>7246</v>
      </c>
      <c r="C1716" s="49" t="s">
        <v>7247</v>
      </c>
      <c r="D1716" s="49"/>
      <c r="E1716" s="49"/>
      <c r="F1716" s="49"/>
      <c r="G1716" s="4" t="s">
        <v>7248</v>
      </c>
      <c r="H1716" s="8"/>
      <c r="I1716" s="9" t="s">
        <v>7237</v>
      </c>
      <c r="J1716" s="10"/>
      <c r="K1716" s="11">
        <v>60</v>
      </c>
      <c r="L1716" s="10"/>
      <c r="M1716" s="10" t="s">
        <v>78</v>
      </c>
      <c r="N1716" s="10"/>
      <c r="O1716" s="2">
        <v>10</v>
      </c>
      <c r="P1716" s="17">
        <f>67.3*(1-S3/100)</f>
        <v>67.3</v>
      </c>
      <c r="Q1716" s="18"/>
      <c r="R1716" s="10">
        <f>P1716*Q1716</f>
        <v>0</v>
      </c>
      <c r="S1716" s="19">
        <f>0.044*Q1716</f>
        <v>0</v>
      </c>
      <c r="T1716" s="20">
        <f>0.00024*Q1716</f>
        <v>0</v>
      </c>
      <c r="U1716" s="21"/>
      <c r="V1716" s="22" t="s">
        <v>7249</v>
      </c>
      <c r="W1716" s="22" t="s">
        <v>49</v>
      </c>
      <c r="X1716" s="3"/>
      <c r="Y1716" s="3" t="s">
        <v>7250</v>
      </c>
      <c r="Z1716" s="3" t="s">
        <v>52</v>
      </c>
      <c r="AA1716" s="3"/>
      <c r="AB1716" s="3"/>
      <c r="AC1716" s="3" t="str">
        <f>HYPERLINK("https://knigipp.ru/api/getInfo/image/3e449347-7a88-11eb-a274-ac1f6b442184")</f>
        <v>https://knigipp.ru/api/getInfo/image/3e449347-7a88-11eb-a274-ac1f6b442184</v>
      </c>
      <c r="AD1716" s="32">
        <v>16</v>
      </c>
      <c r="AE1716" s="3"/>
      <c r="AF1716" s="3" t="s">
        <v>136</v>
      </c>
      <c r="AG1716" s="3"/>
      <c r="AH1716" s="3" t="s">
        <v>56</v>
      </c>
      <c r="AI1716" s="3"/>
      <c r="AJ1716" s="3"/>
      <c r="AK1716" s="3" t="str">
        <f>HYPERLINK("https://knigipp.ru/api/getInfo/item/3e449347-7a88-11eb-a274-ac1f6b442184")</f>
        <v>https://knigipp.ru/api/getInfo/item/3e449347-7a88-11eb-a274-ac1f6b442184</v>
      </c>
      <c r="AL1716" s="3" t="s">
        <v>7240</v>
      </c>
    </row>
    <row r="1717" spans="1:38" ht="23.1" customHeight="1" outlineLevel="3" x14ac:dyDescent="0.2">
      <c r="A1717" s="48" t="s">
        <v>7251</v>
      </c>
      <c r="B1717" s="48"/>
      <c r="C1717" s="48"/>
      <c r="D1717" s="48"/>
      <c r="E1717" s="48"/>
      <c r="F1717" s="48"/>
    </row>
    <row r="1718" spans="1:38" ht="21" customHeight="1" outlineLevel="4" x14ac:dyDescent="0.2">
      <c r="A1718" s="39">
        <v>1303</v>
      </c>
      <c r="B1718" s="3" t="s">
        <v>7252</v>
      </c>
      <c r="C1718" s="49" t="s">
        <v>7253</v>
      </c>
      <c r="D1718" s="49"/>
      <c r="E1718" s="49"/>
      <c r="F1718" s="49"/>
      <c r="G1718" s="4" t="s">
        <v>7254</v>
      </c>
      <c r="H1718" s="8"/>
      <c r="I1718" s="9" t="s">
        <v>7255</v>
      </c>
      <c r="J1718" s="10"/>
      <c r="K1718" s="11">
        <v>25</v>
      </c>
      <c r="L1718" s="10"/>
      <c r="M1718" s="10" t="s">
        <v>47</v>
      </c>
      <c r="N1718" s="10"/>
      <c r="O1718" s="2">
        <v>5</v>
      </c>
      <c r="P1718" s="17">
        <f>148.86*(1-S3/100)</f>
        <v>148.86000000000001</v>
      </c>
      <c r="Q1718" s="18"/>
      <c r="R1718" s="10">
        <f>P1718*Q1718</f>
        <v>0</v>
      </c>
      <c r="S1718" s="19">
        <f>0.209*Q1718</f>
        <v>0</v>
      </c>
      <c r="T1718" s="20">
        <f>0.00069*Q1718</f>
        <v>0</v>
      </c>
      <c r="U1718" s="21"/>
      <c r="V1718" s="22" t="s">
        <v>7256</v>
      </c>
      <c r="W1718" s="22" t="s">
        <v>49</v>
      </c>
      <c r="X1718" s="3"/>
      <c r="Y1718" s="3" t="s">
        <v>7257</v>
      </c>
      <c r="Z1718" s="3" t="s">
        <v>52</v>
      </c>
      <c r="AA1718" s="3"/>
      <c r="AB1718" s="3"/>
      <c r="AC1718" s="3" t="str">
        <f>HYPERLINK("https://knigipp.ru/api/getInfo/image/385be5f1-4d58-11ee-a244-00155d82e902")</f>
        <v>https://knigipp.ru/api/getInfo/image/385be5f1-4d58-11ee-a244-00155d82e902</v>
      </c>
      <c r="AD1718" s="32">
        <v>48</v>
      </c>
      <c r="AE1718" s="3" t="s">
        <v>54</v>
      </c>
      <c r="AF1718" s="3" t="s">
        <v>55</v>
      </c>
      <c r="AG1718" s="3"/>
      <c r="AH1718" s="3" t="s">
        <v>56</v>
      </c>
      <c r="AI1718" s="3"/>
      <c r="AJ1718" s="3"/>
      <c r="AK1718" s="3" t="str">
        <f>HYPERLINK("https://knigipp.ru/api/getInfo/item/385be5f1-4d58-11ee-a244-00155d82e902")</f>
        <v>https://knigipp.ru/api/getInfo/item/385be5f1-4d58-11ee-a244-00155d82e902</v>
      </c>
      <c r="AL1718" s="3" t="s">
        <v>7258</v>
      </c>
    </row>
    <row r="1719" spans="1:38" ht="21" customHeight="1" outlineLevel="4" x14ac:dyDescent="0.2">
      <c r="A1719" s="39">
        <v>1304</v>
      </c>
      <c r="B1719" s="3" t="s">
        <v>7259</v>
      </c>
      <c r="C1719" s="49" t="s">
        <v>7260</v>
      </c>
      <c r="D1719" s="49"/>
      <c r="E1719" s="49"/>
      <c r="F1719" s="49"/>
      <c r="G1719" s="4" t="s">
        <v>7261</v>
      </c>
      <c r="H1719" s="8"/>
      <c r="I1719" s="9" t="s">
        <v>7255</v>
      </c>
      <c r="J1719" s="10"/>
      <c r="K1719" s="11">
        <v>25</v>
      </c>
      <c r="L1719" s="10"/>
      <c r="M1719" s="10" t="s">
        <v>47</v>
      </c>
      <c r="N1719" s="10"/>
      <c r="O1719" s="2">
        <v>5</v>
      </c>
      <c r="P1719" s="17">
        <f>148.86*(1-S3/100)</f>
        <v>148.86000000000001</v>
      </c>
      <c r="Q1719" s="18"/>
      <c r="R1719" s="10">
        <f>P1719*Q1719</f>
        <v>0</v>
      </c>
      <c r="S1719" s="19">
        <f>0.201*Q1719</f>
        <v>0</v>
      </c>
      <c r="T1719" s="20">
        <f>0.00045*Q1719</f>
        <v>0</v>
      </c>
      <c r="U1719" s="21"/>
      <c r="V1719" s="22" t="s">
        <v>7262</v>
      </c>
      <c r="W1719" s="22" t="s">
        <v>49</v>
      </c>
      <c r="X1719" s="3"/>
      <c r="Y1719" s="3" t="s">
        <v>7263</v>
      </c>
      <c r="Z1719" s="3" t="s">
        <v>52</v>
      </c>
      <c r="AA1719" s="3"/>
      <c r="AB1719" s="3"/>
      <c r="AC1719" s="3" t="str">
        <f>HYPERLINK("https://knigipp.ru/api/getInfo/image/14b78fd2-4d58-11ee-a244-00155d82e902")</f>
        <v>https://knigipp.ru/api/getInfo/image/14b78fd2-4d58-11ee-a244-00155d82e902</v>
      </c>
      <c r="AD1719" s="32">
        <v>48</v>
      </c>
      <c r="AE1719" s="3" t="s">
        <v>54</v>
      </c>
      <c r="AF1719" s="3" t="s">
        <v>55</v>
      </c>
      <c r="AG1719" s="3"/>
      <c r="AH1719" s="3" t="s">
        <v>56</v>
      </c>
      <c r="AI1719" s="3"/>
      <c r="AJ1719" s="3"/>
      <c r="AK1719" s="3" t="str">
        <f>HYPERLINK("https://knigipp.ru/api/getInfo/item/14b78fd2-4d58-11ee-a244-00155d82e902")</f>
        <v>https://knigipp.ru/api/getInfo/item/14b78fd2-4d58-11ee-a244-00155d82e902</v>
      </c>
      <c r="AL1719" s="3" t="s">
        <v>7258</v>
      </c>
    </row>
    <row r="1720" spans="1:38" ht="21" customHeight="1" outlineLevel="4" x14ac:dyDescent="0.2">
      <c r="A1720" s="39">
        <v>1305</v>
      </c>
      <c r="B1720" s="3" t="s">
        <v>7264</v>
      </c>
      <c r="C1720" s="49" t="s">
        <v>7265</v>
      </c>
      <c r="D1720" s="49"/>
      <c r="E1720" s="49"/>
      <c r="F1720" s="49"/>
      <c r="G1720" s="4" t="s">
        <v>7266</v>
      </c>
      <c r="H1720" s="8"/>
      <c r="I1720" s="9" t="s">
        <v>7255</v>
      </c>
      <c r="J1720" s="10"/>
      <c r="K1720" s="11">
        <v>25</v>
      </c>
      <c r="L1720" s="10"/>
      <c r="M1720" s="10" t="s">
        <v>47</v>
      </c>
      <c r="N1720" s="10"/>
      <c r="O1720" s="2">
        <v>5</v>
      </c>
      <c r="P1720" s="17">
        <f>148.86*(1-S3/100)</f>
        <v>148.86000000000001</v>
      </c>
      <c r="Q1720" s="18"/>
      <c r="R1720" s="10">
        <f>P1720*Q1720</f>
        <v>0</v>
      </c>
      <c r="S1720" s="19">
        <f>0.204*Q1720</f>
        <v>0</v>
      </c>
      <c r="T1720" s="20">
        <f>0.00037*Q1720</f>
        <v>0</v>
      </c>
      <c r="U1720" s="21"/>
      <c r="V1720" s="22" t="s">
        <v>7267</v>
      </c>
      <c r="W1720" s="22" t="s">
        <v>49</v>
      </c>
      <c r="X1720" s="3"/>
      <c r="Y1720" s="3"/>
      <c r="Z1720" s="3" t="s">
        <v>52</v>
      </c>
      <c r="AA1720" s="3"/>
      <c r="AB1720" s="3"/>
      <c r="AC1720" s="3" t="str">
        <f>HYPERLINK("https://knigipp.ru/api/getInfo/image/4b78156b-3b1a-11ec-a20f-ac1f6b442185")</f>
        <v>https://knigipp.ru/api/getInfo/image/4b78156b-3b1a-11ec-a20f-ac1f6b442185</v>
      </c>
      <c r="AD1720" s="32">
        <v>48</v>
      </c>
      <c r="AE1720" s="3"/>
      <c r="AF1720" s="3" t="s">
        <v>55</v>
      </c>
      <c r="AG1720" s="3"/>
      <c r="AH1720" s="3" t="s">
        <v>56</v>
      </c>
      <c r="AI1720" s="3"/>
      <c r="AJ1720" s="3"/>
      <c r="AK1720" s="3" t="str">
        <f>HYPERLINK("https://knigipp.ru/api/getInfo/item/4b78156b-3b1a-11ec-a20f-ac1f6b442185")</f>
        <v>https://knigipp.ru/api/getInfo/item/4b78156b-3b1a-11ec-a20f-ac1f6b442185</v>
      </c>
      <c r="AL1720" s="3" t="s">
        <v>7258</v>
      </c>
    </row>
    <row r="1721" spans="1:38" ht="21" customHeight="1" outlineLevel="4" x14ac:dyDescent="0.2">
      <c r="A1721" s="39">
        <v>1306</v>
      </c>
      <c r="B1721" s="3" t="s">
        <v>7268</v>
      </c>
      <c r="C1721" s="49" t="s">
        <v>7269</v>
      </c>
      <c r="D1721" s="49"/>
      <c r="E1721" s="49"/>
      <c r="F1721" s="49"/>
      <c r="G1721" s="4" t="s">
        <v>7270</v>
      </c>
      <c r="H1721" s="8"/>
      <c r="I1721" s="9" t="s">
        <v>7255</v>
      </c>
      <c r="J1721" s="10"/>
      <c r="K1721" s="11">
        <v>25</v>
      </c>
      <c r="L1721" s="10"/>
      <c r="M1721" s="10" t="s">
        <v>47</v>
      </c>
      <c r="N1721" s="10"/>
      <c r="O1721" s="2">
        <v>5</v>
      </c>
      <c r="P1721" s="17">
        <f>148.86*(1-S3/100)</f>
        <v>148.86000000000001</v>
      </c>
      <c r="Q1721" s="18"/>
      <c r="R1721" s="10">
        <f>P1721*Q1721</f>
        <v>0</v>
      </c>
      <c r="S1721" s="35">
        <f>0.2*Q1721</f>
        <v>0</v>
      </c>
      <c r="T1721" s="20">
        <f>0.00052*Q1721</f>
        <v>0</v>
      </c>
      <c r="U1721" s="21"/>
      <c r="V1721" s="22" t="s">
        <v>7271</v>
      </c>
      <c r="W1721" s="22" t="s">
        <v>49</v>
      </c>
      <c r="X1721" s="3"/>
      <c r="Y1721" s="3"/>
      <c r="Z1721" s="3" t="s">
        <v>52</v>
      </c>
      <c r="AA1721" s="3"/>
      <c r="AB1721" s="3"/>
      <c r="AC1721" s="3" t="str">
        <f>HYPERLINK("https://knigipp.ru/api/getInfo/image/7578ac92-3b1a-11ec-a20f-ac1f6b442185")</f>
        <v>https://knigipp.ru/api/getInfo/image/7578ac92-3b1a-11ec-a20f-ac1f6b442185</v>
      </c>
      <c r="AD1721" s="32">
        <v>48</v>
      </c>
      <c r="AE1721" s="3"/>
      <c r="AF1721" s="3" t="s">
        <v>55</v>
      </c>
      <c r="AG1721" s="3"/>
      <c r="AH1721" s="3" t="s">
        <v>56</v>
      </c>
      <c r="AI1721" s="3"/>
      <c r="AJ1721" s="3"/>
      <c r="AK1721" s="3" t="str">
        <f>HYPERLINK("https://knigipp.ru/api/getInfo/item/7578ac92-3b1a-11ec-a20f-ac1f6b442185")</f>
        <v>https://knigipp.ru/api/getInfo/item/7578ac92-3b1a-11ec-a20f-ac1f6b442185</v>
      </c>
      <c r="AL1721" s="3" t="s">
        <v>7258</v>
      </c>
    </row>
    <row r="1722" spans="1:38" ht="23.1" customHeight="1" outlineLevel="3" x14ac:dyDescent="0.2">
      <c r="A1722" s="48" t="s">
        <v>7272</v>
      </c>
      <c r="B1722" s="48"/>
      <c r="C1722" s="48"/>
      <c r="D1722" s="48"/>
      <c r="E1722" s="48"/>
      <c r="F1722" s="48"/>
    </row>
    <row r="1723" spans="1:38" ht="21" customHeight="1" outlineLevel="4" x14ac:dyDescent="0.2">
      <c r="A1723" s="39">
        <v>1307</v>
      </c>
      <c r="B1723" s="3" t="s">
        <v>7273</v>
      </c>
      <c r="C1723" s="49" t="s">
        <v>7274</v>
      </c>
      <c r="D1723" s="49"/>
      <c r="E1723" s="49"/>
      <c r="F1723" s="49"/>
      <c r="G1723" s="4" t="s">
        <v>7275</v>
      </c>
      <c r="H1723" s="8"/>
      <c r="I1723" s="9" t="s">
        <v>7276</v>
      </c>
      <c r="J1723" s="10"/>
      <c r="K1723" s="11">
        <v>20</v>
      </c>
      <c r="L1723" s="10"/>
      <c r="M1723" s="10" t="s">
        <v>78</v>
      </c>
      <c r="N1723" s="10"/>
      <c r="O1723" s="2">
        <v>10</v>
      </c>
      <c r="P1723" s="17">
        <f>67.61*(1-S3/100)</f>
        <v>67.61</v>
      </c>
      <c r="Q1723" s="18"/>
      <c r="R1723" s="10">
        <f>P1723*Q1723</f>
        <v>0</v>
      </c>
      <c r="S1723" s="19">
        <f>0.113*Q1723</f>
        <v>0</v>
      </c>
      <c r="T1723" s="20">
        <f>0.00055*Q1723</f>
        <v>0</v>
      </c>
      <c r="U1723" s="21"/>
      <c r="V1723" s="22" t="s">
        <v>7277</v>
      </c>
      <c r="W1723" s="22" t="s">
        <v>49</v>
      </c>
      <c r="X1723" s="3"/>
      <c r="Y1723" s="3"/>
      <c r="Z1723" s="3" t="s">
        <v>52</v>
      </c>
      <c r="AA1723" s="3" t="s">
        <v>6561</v>
      </c>
      <c r="AB1723" s="3"/>
      <c r="AC1723" s="3" t="str">
        <f>HYPERLINK("https://knigipp.ru/api/getInfo/image/2287882a-4ec7-11e8-b825-5cf3fc4a2490")</f>
        <v>https://knigipp.ru/api/getInfo/image/2287882a-4ec7-11e8-b825-5cf3fc4a2490</v>
      </c>
      <c r="AD1723" s="32">
        <v>1</v>
      </c>
      <c r="AE1723" s="3"/>
      <c r="AF1723" s="3" t="s">
        <v>1119</v>
      </c>
      <c r="AG1723" s="3"/>
      <c r="AH1723" s="3" t="s">
        <v>56</v>
      </c>
      <c r="AI1723" s="3"/>
      <c r="AJ1723" s="3" t="s">
        <v>7278</v>
      </c>
      <c r="AK1723" s="3" t="str">
        <f>HYPERLINK("https://knigipp.ru/api/getInfo/item/2287882a-4ec7-11e8-b825-5cf3fc4a2490")</f>
        <v>https://knigipp.ru/api/getInfo/item/2287882a-4ec7-11e8-b825-5cf3fc4a2490</v>
      </c>
      <c r="AL1723" s="3" t="s">
        <v>7279</v>
      </c>
    </row>
    <row r="1724" spans="1:38" ht="21" customHeight="1" outlineLevel="4" x14ac:dyDescent="0.2">
      <c r="A1724" s="39">
        <v>1308</v>
      </c>
      <c r="B1724" s="3" t="s">
        <v>7280</v>
      </c>
      <c r="C1724" s="49" t="s">
        <v>7281</v>
      </c>
      <c r="D1724" s="49"/>
      <c r="E1724" s="49"/>
      <c r="F1724" s="49"/>
      <c r="G1724" s="4" t="s">
        <v>7282</v>
      </c>
      <c r="H1724" s="8"/>
      <c r="I1724" s="9" t="s">
        <v>7276</v>
      </c>
      <c r="J1724" s="10"/>
      <c r="K1724" s="11">
        <v>20</v>
      </c>
      <c r="L1724" s="10"/>
      <c r="M1724" s="10" t="s">
        <v>47</v>
      </c>
      <c r="N1724" s="10"/>
      <c r="O1724" s="2">
        <v>10</v>
      </c>
      <c r="P1724" s="17">
        <f>67.61*(1-S3/100)</f>
        <v>67.61</v>
      </c>
      <c r="Q1724" s="18"/>
      <c r="R1724" s="10">
        <f>P1724*Q1724</f>
        <v>0</v>
      </c>
      <c r="S1724" s="19">
        <f>0.113*Q1724</f>
        <v>0</v>
      </c>
      <c r="T1724" s="20">
        <f>0.00055*Q1724</f>
        <v>0</v>
      </c>
      <c r="U1724" s="21"/>
      <c r="V1724" s="22" t="s">
        <v>7283</v>
      </c>
      <c r="W1724" s="22" t="s">
        <v>49</v>
      </c>
      <c r="X1724" s="3"/>
      <c r="Y1724" s="3"/>
      <c r="Z1724" s="3" t="s">
        <v>52</v>
      </c>
      <c r="AA1724" s="3" t="s">
        <v>6561</v>
      </c>
      <c r="AB1724" s="3"/>
      <c r="AC1724" s="3" t="str">
        <f>HYPERLINK("https://knigipp.ru/api/getInfo/image/2f5ed871-4ec7-11e8-b825-5cf3fc4a2490")</f>
        <v>https://knigipp.ru/api/getInfo/image/2f5ed871-4ec7-11e8-b825-5cf3fc4a2490</v>
      </c>
      <c r="AD1724" s="32">
        <v>1</v>
      </c>
      <c r="AE1724" s="3"/>
      <c r="AF1724" s="3" t="s">
        <v>1119</v>
      </c>
      <c r="AG1724" s="3"/>
      <c r="AH1724" s="3" t="s">
        <v>56</v>
      </c>
      <c r="AI1724" s="3"/>
      <c r="AJ1724" s="3" t="s">
        <v>7278</v>
      </c>
      <c r="AK1724" s="3" t="str">
        <f>HYPERLINK("https://knigipp.ru/api/getInfo/item/2f5ed871-4ec7-11e8-b825-5cf3fc4a2490")</f>
        <v>https://knigipp.ru/api/getInfo/item/2f5ed871-4ec7-11e8-b825-5cf3fc4a2490</v>
      </c>
      <c r="AL1724" s="3" t="s">
        <v>7279</v>
      </c>
    </row>
    <row r="1725" spans="1:38" ht="23.1" customHeight="1" outlineLevel="3" x14ac:dyDescent="0.2">
      <c r="A1725" s="48" t="s">
        <v>7284</v>
      </c>
      <c r="B1725" s="48"/>
      <c r="C1725" s="48"/>
      <c r="D1725" s="48"/>
      <c r="E1725" s="48"/>
      <c r="F1725" s="48"/>
    </row>
    <row r="1726" spans="1:38" ht="21" customHeight="1" outlineLevel="4" x14ac:dyDescent="0.2">
      <c r="A1726" s="39">
        <v>1309</v>
      </c>
      <c r="B1726" s="3" t="s">
        <v>7285</v>
      </c>
      <c r="C1726" s="49" t="s">
        <v>7286</v>
      </c>
      <c r="D1726" s="49"/>
      <c r="E1726" s="49"/>
      <c r="F1726" s="49"/>
      <c r="G1726" s="4" t="s">
        <v>7287</v>
      </c>
      <c r="H1726" s="8"/>
      <c r="I1726" s="9" t="s">
        <v>7288</v>
      </c>
      <c r="J1726" s="10"/>
      <c r="K1726" s="11">
        <v>30</v>
      </c>
      <c r="L1726" s="10"/>
      <c r="M1726" s="10" t="s">
        <v>47</v>
      </c>
      <c r="N1726" s="10"/>
      <c r="O1726" s="2">
        <v>8</v>
      </c>
      <c r="P1726" s="17">
        <f>74*(1-S3/100)</f>
        <v>74</v>
      </c>
      <c r="Q1726" s="18"/>
      <c r="R1726" s="10">
        <f>P1726*Q1726</f>
        <v>0</v>
      </c>
      <c r="S1726" s="19">
        <f>0.086*Q1726</f>
        <v>0</v>
      </c>
      <c r="T1726" s="20">
        <f>0.00016*Q1726</f>
        <v>0</v>
      </c>
      <c r="U1726" s="21"/>
      <c r="V1726" s="22" t="s">
        <v>7289</v>
      </c>
      <c r="W1726" s="22" t="s">
        <v>49</v>
      </c>
      <c r="X1726" s="3"/>
      <c r="Y1726" s="3" t="s">
        <v>7290</v>
      </c>
      <c r="Z1726" s="3"/>
      <c r="AA1726" s="3"/>
      <c r="AB1726" s="3"/>
      <c r="AC1726" s="3" t="str">
        <f>HYPERLINK("https://knigipp.ru/api/getInfo/image/1009ba67-fad2-11ed-a239-00155d82e902")</f>
        <v>https://knigipp.ru/api/getInfo/image/1009ba67-fad2-11ed-a239-00155d82e902</v>
      </c>
      <c r="AD1726" s="32">
        <v>24</v>
      </c>
      <c r="AE1726" s="3" t="s">
        <v>54</v>
      </c>
      <c r="AF1726" s="3" t="s">
        <v>136</v>
      </c>
      <c r="AG1726" s="3"/>
      <c r="AH1726" s="3" t="s">
        <v>56</v>
      </c>
      <c r="AI1726" s="3"/>
      <c r="AJ1726" s="3"/>
      <c r="AK1726" s="3" t="str">
        <f>HYPERLINK("https://knigipp.ru/api/getInfo/item/1009ba67-fad2-11ed-a239-00155d82e902")</f>
        <v>https://knigipp.ru/api/getInfo/item/1009ba67-fad2-11ed-a239-00155d82e902</v>
      </c>
      <c r="AL1726" s="3" t="s">
        <v>1207</v>
      </c>
    </row>
    <row r="1727" spans="1:38" ht="21" customHeight="1" outlineLevel="4" x14ac:dyDescent="0.2">
      <c r="A1727" s="39">
        <v>1310</v>
      </c>
      <c r="B1727" s="3" t="s">
        <v>7291</v>
      </c>
      <c r="C1727" s="49" t="s">
        <v>7292</v>
      </c>
      <c r="D1727" s="49"/>
      <c r="E1727" s="49"/>
      <c r="F1727" s="49"/>
      <c r="G1727" s="4" t="s">
        <v>7293</v>
      </c>
      <c r="H1727" s="8"/>
      <c r="I1727" s="9" t="s">
        <v>7288</v>
      </c>
      <c r="J1727" s="10"/>
      <c r="K1727" s="11">
        <v>30</v>
      </c>
      <c r="L1727" s="10"/>
      <c r="M1727" s="10" t="s">
        <v>47</v>
      </c>
      <c r="N1727" s="10"/>
      <c r="O1727" s="2">
        <v>8</v>
      </c>
      <c r="P1727" s="17">
        <f>74*(1-S3/100)</f>
        <v>74</v>
      </c>
      <c r="Q1727" s="18"/>
      <c r="R1727" s="10">
        <f>P1727*Q1727</f>
        <v>0</v>
      </c>
      <c r="S1727" s="19">
        <f>0.104*Q1727</f>
        <v>0</v>
      </c>
      <c r="T1727" s="20">
        <f>0.00038*Q1727</f>
        <v>0</v>
      </c>
      <c r="U1727" s="21"/>
      <c r="V1727" s="22" t="s">
        <v>7294</v>
      </c>
      <c r="W1727" s="22" t="s">
        <v>49</v>
      </c>
      <c r="X1727" s="3"/>
      <c r="Y1727" s="3" t="s">
        <v>7290</v>
      </c>
      <c r="Z1727" s="3"/>
      <c r="AA1727" s="3"/>
      <c r="AB1727" s="3"/>
      <c r="AC1727" s="3" t="str">
        <f>HYPERLINK("https://knigipp.ru/api/getInfo/image/ed3f6cc6-fad0-11ed-a239-00155d82e902")</f>
        <v>https://knigipp.ru/api/getInfo/image/ed3f6cc6-fad0-11ed-a239-00155d82e902</v>
      </c>
      <c r="AD1727" s="32">
        <v>24</v>
      </c>
      <c r="AE1727" s="3" t="s">
        <v>54</v>
      </c>
      <c r="AF1727" s="3" t="s">
        <v>136</v>
      </c>
      <c r="AG1727" s="3"/>
      <c r="AH1727" s="3" t="s">
        <v>56</v>
      </c>
      <c r="AI1727" s="3"/>
      <c r="AJ1727" s="3"/>
      <c r="AK1727" s="3" t="str">
        <f>HYPERLINK("https://knigipp.ru/api/getInfo/item/ed3f6cc6-fad0-11ed-a239-00155d82e902")</f>
        <v>https://knigipp.ru/api/getInfo/item/ed3f6cc6-fad0-11ed-a239-00155d82e902</v>
      </c>
      <c r="AL1727" s="3" t="s">
        <v>1207</v>
      </c>
    </row>
    <row r="1728" spans="1:38" ht="21" customHeight="1" outlineLevel="4" x14ac:dyDescent="0.2">
      <c r="A1728" s="39">
        <v>1311</v>
      </c>
      <c r="B1728" s="3" t="s">
        <v>7295</v>
      </c>
      <c r="C1728" s="49" t="s">
        <v>7296</v>
      </c>
      <c r="D1728" s="49"/>
      <c r="E1728" s="49"/>
      <c r="F1728" s="49"/>
      <c r="G1728" s="4" t="s">
        <v>7297</v>
      </c>
      <c r="H1728" s="8"/>
      <c r="I1728" s="9" t="s">
        <v>7288</v>
      </c>
      <c r="J1728" s="10"/>
      <c r="K1728" s="11">
        <v>30</v>
      </c>
      <c r="L1728" s="10"/>
      <c r="M1728" s="10" t="s">
        <v>47</v>
      </c>
      <c r="N1728" s="10"/>
      <c r="O1728" s="2">
        <v>8</v>
      </c>
      <c r="P1728" s="17">
        <f>74*(1-S3/100)</f>
        <v>74</v>
      </c>
      <c r="Q1728" s="18"/>
      <c r="R1728" s="10">
        <f>P1728*Q1728</f>
        <v>0</v>
      </c>
      <c r="S1728" s="19">
        <f>0.084*Q1728</f>
        <v>0</v>
      </c>
      <c r="T1728" s="20">
        <f>0.00044*Q1728</f>
        <v>0</v>
      </c>
      <c r="U1728" s="21"/>
      <c r="V1728" s="22" t="s">
        <v>7298</v>
      </c>
      <c r="W1728" s="22" t="s">
        <v>49</v>
      </c>
      <c r="X1728" s="3"/>
      <c r="Y1728" s="3" t="s">
        <v>7290</v>
      </c>
      <c r="Z1728" s="3"/>
      <c r="AA1728" s="3"/>
      <c r="AB1728" s="3"/>
      <c r="AC1728" s="3" t="str">
        <f>HYPERLINK("https://knigipp.ru/api/getInfo/image/69b616b6-fad1-11ed-a239-00155d82e902")</f>
        <v>https://knigipp.ru/api/getInfo/image/69b616b6-fad1-11ed-a239-00155d82e902</v>
      </c>
      <c r="AD1728" s="32">
        <v>24</v>
      </c>
      <c r="AE1728" s="3" t="s">
        <v>54</v>
      </c>
      <c r="AF1728" s="3" t="s">
        <v>136</v>
      </c>
      <c r="AG1728" s="3"/>
      <c r="AH1728" s="3" t="s">
        <v>56</v>
      </c>
      <c r="AI1728" s="3"/>
      <c r="AJ1728" s="3"/>
      <c r="AK1728" s="3" t="str">
        <f>HYPERLINK("https://knigipp.ru/api/getInfo/item/69b616b6-fad1-11ed-a239-00155d82e902")</f>
        <v>https://knigipp.ru/api/getInfo/item/69b616b6-fad1-11ed-a239-00155d82e902</v>
      </c>
      <c r="AL1728" s="3" t="s">
        <v>1207</v>
      </c>
    </row>
    <row r="1729" spans="1:38" ht="21" customHeight="1" outlineLevel="4" x14ac:dyDescent="0.2">
      <c r="A1729" s="39">
        <v>1312</v>
      </c>
      <c r="B1729" s="3" t="s">
        <v>7299</v>
      </c>
      <c r="C1729" s="49" t="s">
        <v>7300</v>
      </c>
      <c r="D1729" s="49"/>
      <c r="E1729" s="49"/>
      <c r="F1729" s="49"/>
      <c r="G1729" s="4" t="s">
        <v>7301</v>
      </c>
      <c r="H1729" s="8"/>
      <c r="I1729" s="9" t="s">
        <v>7288</v>
      </c>
      <c r="J1729" s="10"/>
      <c r="K1729" s="11">
        <v>30</v>
      </c>
      <c r="L1729" s="10"/>
      <c r="M1729" s="10" t="s">
        <v>47</v>
      </c>
      <c r="N1729" s="10"/>
      <c r="O1729" s="2">
        <v>8</v>
      </c>
      <c r="P1729" s="17">
        <f>74*(1-S3/100)</f>
        <v>74</v>
      </c>
      <c r="Q1729" s="18"/>
      <c r="R1729" s="10">
        <f>P1729*Q1729</f>
        <v>0</v>
      </c>
      <c r="S1729" s="19">
        <f>0.086*Q1729</f>
        <v>0</v>
      </c>
      <c r="T1729" s="20">
        <f>0.00016*Q1729</f>
        <v>0</v>
      </c>
      <c r="U1729" s="21"/>
      <c r="V1729" s="22" t="s">
        <v>7302</v>
      </c>
      <c r="W1729" s="22" t="s">
        <v>49</v>
      </c>
      <c r="X1729" s="3"/>
      <c r="Y1729" s="3" t="s">
        <v>7290</v>
      </c>
      <c r="Z1729" s="3"/>
      <c r="AA1729" s="3"/>
      <c r="AB1729" s="3"/>
      <c r="AC1729" s="3" t="str">
        <f>HYPERLINK("https://knigipp.ru/api/getInfo/image/c5c3afd7-fad1-11ed-a239-00155d82e902")</f>
        <v>https://knigipp.ru/api/getInfo/image/c5c3afd7-fad1-11ed-a239-00155d82e902</v>
      </c>
      <c r="AD1729" s="32">
        <v>24</v>
      </c>
      <c r="AE1729" s="3" t="s">
        <v>54</v>
      </c>
      <c r="AF1729" s="3" t="s">
        <v>136</v>
      </c>
      <c r="AG1729" s="3"/>
      <c r="AH1729" s="3" t="s">
        <v>56</v>
      </c>
      <c r="AI1729" s="3"/>
      <c r="AJ1729" s="3"/>
      <c r="AK1729" s="3" t="str">
        <f>HYPERLINK("https://knigipp.ru/api/getInfo/item/c5c3afd7-fad1-11ed-a239-00155d82e902")</f>
        <v>https://knigipp.ru/api/getInfo/item/c5c3afd7-fad1-11ed-a239-00155d82e902</v>
      </c>
      <c r="AL1729" s="3" t="s">
        <v>1207</v>
      </c>
    </row>
    <row r="1730" spans="1:38" ht="23.1" customHeight="1" outlineLevel="3" x14ac:dyDescent="0.2">
      <c r="A1730" s="48" t="s">
        <v>7303</v>
      </c>
      <c r="B1730" s="48"/>
      <c r="C1730" s="48"/>
      <c r="D1730" s="48"/>
      <c r="E1730" s="48"/>
      <c r="F1730" s="48"/>
    </row>
    <row r="1731" spans="1:38" ht="21" customHeight="1" outlineLevel="4" x14ac:dyDescent="0.2">
      <c r="A1731" s="39">
        <v>1313</v>
      </c>
      <c r="B1731" s="3" t="s">
        <v>7304</v>
      </c>
      <c r="C1731" s="49" t="s">
        <v>7305</v>
      </c>
      <c r="D1731" s="49"/>
      <c r="E1731" s="49"/>
      <c r="F1731" s="49"/>
      <c r="G1731" s="4" t="s">
        <v>7306</v>
      </c>
      <c r="H1731" s="8"/>
      <c r="I1731" s="9" t="s">
        <v>7307</v>
      </c>
      <c r="J1731" s="10"/>
      <c r="K1731" s="11">
        <v>20</v>
      </c>
      <c r="L1731" s="10"/>
      <c r="M1731" s="10" t="s">
        <v>47</v>
      </c>
      <c r="N1731" s="10"/>
      <c r="O1731" s="2">
        <v>2</v>
      </c>
      <c r="P1731" s="17">
        <f>287*(1-S3/100)</f>
        <v>287</v>
      </c>
      <c r="Q1731" s="18"/>
      <c r="R1731" s="10">
        <f>P1731*Q1731</f>
        <v>0</v>
      </c>
      <c r="S1731" s="19">
        <f>0.162*Q1731</f>
        <v>0</v>
      </c>
      <c r="T1731" s="20">
        <f>0.00025*Q1731</f>
        <v>0</v>
      </c>
      <c r="U1731" s="21"/>
      <c r="V1731" s="22" t="s">
        <v>7308</v>
      </c>
      <c r="W1731" s="22" t="s">
        <v>49</v>
      </c>
      <c r="X1731" s="3"/>
      <c r="Y1731" s="3" t="s">
        <v>7309</v>
      </c>
      <c r="Z1731" s="3" t="s">
        <v>52</v>
      </c>
      <c r="AA1731" s="3"/>
      <c r="AB1731" s="3"/>
      <c r="AC1731" s="3" t="str">
        <f>HYPERLINK("https://knigipp.ru/api/getInfo/image/c1f0d659-b65a-11f0-a286-00155d82e908")</f>
        <v>https://knigipp.ru/api/getInfo/image/c1f0d659-b65a-11f0-a286-00155d82e908</v>
      </c>
      <c r="AD1731" s="32">
        <v>96</v>
      </c>
      <c r="AE1731" s="3" t="s">
        <v>740</v>
      </c>
      <c r="AF1731" s="3" t="s">
        <v>741</v>
      </c>
      <c r="AG1731" s="3"/>
      <c r="AH1731" s="3" t="s">
        <v>56</v>
      </c>
      <c r="AI1731" s="3"/>
      <c r="AJ1731" s="3"/>
      <c r="AK1731" s="3" t="str">
        <f>HYPERLINK("https://knigipp.ru/api/getInfo/item/c1f0d659-b65a-11f0-a286-00155d82e908")</f>
        <v>https://knigipp.ru/api/getInfo/item/c1f0d659-b65a-11f0-a286-00155d82e908</v>
      </c>
      <c r="AL1731" s="3" t="s">
        <v>7310</v>
      </c>
    </row>
    <row r="1732" spans="1:38" ht="21" customHeight="1" outlineLevel="4" x14ac:dyDescent="0.2">
      <c r="A1732" s="39">
        <v>1314</v>
      </c>
      <c r="B1732" s="3" t="s">
        <v>7311</v>
      </c>
      <c r="C1732" s="49" t="s">
        <v>7312</v>
      </c>
      <c r="D1732" s="49"/>
      <c r="E1732" s="49"/>
      <c r="F1732" s="49"/>
      <c r="G1732" s="4" t="s">
        <v>7313</v>
      </c>
      <c r="H1732" s="8"/>
      <c r="I1732" s="9" t="s">
        <v>7307</v>
      </c>
      <c r="J1732" s="10"/>
      <c r="K1732" s="11">
        <v>20</v>
      </c>
      <c r="L1732" s="10"/>
      <c r="M1732" s="10" t="s">
        <v>78</v>
      </c>
      <c r="N1732" s="10"/>
      <c r="O1732" s="2">
        <v>2</v>
      </c>
      <c r="P1732" s="17">
        <f>287*(1-S3/100)</f>
        <v>287</v>
      </c>
      <c r="Q1732" s="18"/>
      <c r="R1732" s="10">
        <f>P1732*Q1732</f>
        <v>0</v>
      </c>
      <c r="S1732" s="19">
        <f>0.163*Q1732</f>
        <v>0</v>
      </c>
      <c r="T1732" s="20">
        <f>0.00026*Q1732</f>
        <v>0</v>
      </c>
      <c r="U1732" s="21"/>
      <c r="V1732" s="22" t="s">
        <v>7314</v>
      </c>
      <c r="W1732" s="22" t="s">
        <v>49</v>
      </c>
      <c r="X1732" s="3"/>
      <c r="Y1732" s="3" t="s">
        <v>7309</v>
      </c>
      <c r="Z1732" s="3" t="s">
        <v>52</v>
      </c>
      <c r="AA1732" s="3"/>
      <c r="AB1732" s="3"/>
      <c r="AC1732" s="3" t="str">
        <f>HYPERLINK("https://knigipp.ru/api/getInfo/image/722e2967-b65a-11f0-a286-00155d82e908")</f>
        <v>https://knigipp.ru/api/getInfo/image/722e2967-b65a-11f0-a286-00155d82e908</v>
      </c>
      <c r="AD1732" s="32">
        <v>96</v>
      </c>
      <c r="AE1732" s="3" t="s">
        <v>740</v>
      </c>
      <c r="AF1732" s="3" t="s">
        <v>741</v>
      </c>
      <c r="AG1732" s="3"/>
      <c r="AH1732" s="3" t="s">
        <v>56</v>
      </c>
      <c r="AI1732" s="3"/>
      <c r="AJ1732" s="3"/>
      <c r="AK1732" s="3" t="str">
        <f>HYPERLINK("https://knigipp.ru/api/getInfo/item/722e2967-b65a-11f0-a286-00155d82e908")</f>
        <v>https://knigipp.ru/api/getInfo/item/722e2967-b65a-11f0-a286-00155d82e908</v>
      </c>
      <c r="AL1732" s="3" t="s">
        <v>7310</v>
      </c>
    </row>
    <row r="1733" spans="1:38" ht="23.1" customHeight="1" outlineLevel="3" x14ac:dyDescent="0.2">
      <c r="A1733" s="48" t="s">
        <v>7315</v>
      </c>
      <c r="B1733" s="48"/>
      <c r="C1733" s="48"/>
      <c r="D1733" s="48"/>
      <c r="E1733" s="48"/>
      <c r="F1733" s="48"/>
    </row>
    <row r="1734" spans="1:38" ht="21" customHeight="1" outlineLevel="4" x14ac:dyDescent="0.2">
      <c r="A1734" s="39">
        <v>1315</v>
      </c>
      <c r="B1734" s="3" t="s">
        <v>7316</v>
      </c>
      <c r="C1734" s="49" t="s">
        <v>7317</v>
      </c>
      <c r="D1734" s="49"/>
      <c r="E1734" s="49"/>
      <c r="F1734" s="49"/>
      <c r="G1734" s="4" t="s">
        <v>7318</v>
      </c>
      <c r="H1734" s="8"/>
      <c r="I1734" s="9" t="s">
        <v>7319</v>
      </c>
      <c r="J1734" s="10"/>
      <c r="K1734" s="11">
        <v>20</v>
      </c>
      <c r="L1734" s="10"/>
      <c r="M1734" s="10" t="s">
        <v>47</v>
      </c>
      <c r="N1734" s="10"/>
      <c r="O1734" s="2">
        <v>2</v>
      </c>
      <c r="P1734" s="17">
        <f>347*(1-S3/100)</f>
        <v>347</v>
      </c>
      <c r="Q1734" s="18"/>
      <c r="R1734" s="10">
        <f>P1734*Q1734</f>
        <v>0</v>
      </c>
      <c r="S1734" s="19">
        <f>0.155*Q1734</f>
        <v>0</v>
      </c>
      <c r="T1734" s="20">
        <f>0.00023*Q1734</f>
        <v>0</v>
      </c>
      <c r="U1734" s="21"/>
      <c r="V1734" s="22" t="s">
        <v>7320</v>
      </c>
      <c r="W1734" s="22" t="s">
        <v>49</v>
      </c>
      <c r="X1734" s="3"/>
      <c r="Y1734" s="3"/>
      <c r="Z1734" s="3" t="s">
        <v>52</v>
      </c>
      <c r="AA1734" s="3"/>
      <c r="AB1734" s="3"/>
      <c r="AC1734" s="3" t="str">
        <f>HYPERLINK("https://knigipp.ru/api/getInfo/image/002f0268-c041-11ee-a25a-00155d82e908")</f>
        <v>https://knigipp.ru/api/getInfo/image/002f0268-c041-11ee-a25a-00155d82e908</v>
      </c>
      <c r="AD1734" s="32">
        <v>48</v>
      </c>
      <c r="AE1734" s="3" t="s">
        <v>54</v>
      </c>
      <c r="AF1734" s="3" t="s">
        <v>55</v>
      </c>
      <c r="AG1734" s="3"/>
      <c r="AH1734" s="3" t="s">
        <v>56</v>
      </c>
      <c r="AI1734" s="3"/>
      <c r="AJ1734" s="3"/>
      <c r="AK1734" s="3" t="str">
        <f>HYPERLINK("https://knigipp.ru/api/getInfo/item/002f0268-c041-11ee-a25a-00155d82e908")</f>
        <v>https://knigipp.ru/api/getInfo/item/002f0268-c041-11ee-a25a-00155d82e908</v>
      </c>
      <c r="AL1734" s="3" t="s">
        <v>7321</v>
      </c>
    </row>
    <row r="1735" spans="1:38" ht="21" customHeight="1" outlineLevel="4" x14ac:dyDescent="0.2">
      <c r="A1735" s="39">
        <v>1316</v>
      </c>
      <c r="B1735" s="3" t="s">
        <v>7322</v>
      </c>
      <c r="C1735" s="49" t="s">
        <v>7323</v>
      </c>
      <c r="D1735" s="49"/>
      <c r="E1735" s="49"/>
      <c r="F1735" s="49"/>
      <c r="G1735" s="4" t="s">
        <v>7324</v>
      </c>
      <c r="H1735" s="8"/>
      <c r="I1735" s="9" t="s">
        <v>7325</v>
      </c>
      <c r="J1735" s="10"/>
      <c r="K1735" s="11">
        <v>20</v>
      </c>
      <c r="L1735" s="10"/>
      <c r="M1735" s="10" t="s">
        <v>78</v>
      </c>
      <c r="N1735" s="10"/>
      <c r="O1735" s="2">
        <v>2</v>
      </c>
      <c r="P1735" s="17">
        <f>347*(1-S3/100)</f>
        <v>347</v>
      </c>
      <c r="Q1735" s="18"/>
      <c r="R1735" s="10">
        <f>P1735*Q1735</f>
        <v>0</v>
      </c>
      <c r="S1735" s="19">
        <f>0.153*Q1735</f>
        <v>0</v>
      </c>
      <c r="T1735" s="20">
        <f>0.00017*Q1735</f>
        <v>0</v>
      </c>
      <c r="U1735" s="21"/>
      <c r="V1735" s="22" t="s">
        <v>7326</v>
      </c>
      <c r="W1735" s="22" t="s">
        <v>49</v>
      </c>
      <c r="X1735" s="3"/>
      <c r="Y1735" s="3"/>
      <c r="Z1735" s="3" t="s">
        <v>52</v>
      </c>
      <c r="AA1735" s="3"/>
      <c r="AB1735" s="3"/>
      <c r="AC1735" s="3" t="str">
        <f>HYPERLINK("https://knigipp.ru/api/getInfo/image/23c04676-c041-11ee-a25a-00155d82e908")</f>
        <v>https://knigipp.ru/api/getInfo/image/23c04676-c041-11ee-a25a-00155d82e908</v>
      </c>
      <c r="AD1735" s="32">
        <v>48</v>
      </c>
      <c r="AE1735" s="3" t="s">
        <v>54</v>
      </c>
      <c r="AF1735" s="3" t="s">
        <v>55</v>
      </c>
      <c r="AG1735" s="3"/>
      <c r="AH1735" s="3" t="s">
        <v>56</v>
      </c>
      <c r="AI1735" s="3"/>
      <c r="AJ1735" s="3"/>
      <c r="AK1735" s="3" t="str">
        <f>HYPERLINK("https://knigipp.ru/api/getInfo/item/23c04676-c041-11ee-a25a-00155d82e908")</f>
        <v>https://knigipp.ru/api/getInfo/item/23c04676-c041-11ee-a25a-00155d82e908</v>
      </c>
      <c r="AL1735" s="3" t="s">
        <v>7321</v>
      </c>
    </row>
    <row r="1736" spans="1:38" ht="23.1" customHeight="1" outlineLevel="3" x14ac:dyDescent="0.2">
      <c r="A1736" s="48" t="s">
        <v>7327</v>
      </c>
      <c r="B1736" s="48"/>
      <c r="C1736" s="48"/>
      <c r="D1736" s="48"/>
      <c r="E1736" s="48"/>
      <c r="F1736" s="48"/>
    </row>
    <row r="1737" spans="1:38" ht="21" customHeight="1" outlineLevel="4" x14ac:dyDescent="0.2">
      <c r="A1737" s="39">
        <v>1317</v>
      </c>
      <c r="B1737" s="3" t="s">
        <v>7328</v>
      </c>
      <c r="C1737" s="49" t="s">
        <v>7329</v>
      </c>
      <c r="D1737" s="49"/>
      <c r="E1737" s="49"/>
      <c r="F1737" s="49"/>
      <c r="G1737" s="4" t="s">
        <v>7330</v>
      </c>
      <c r="H1737" s="8"/>
      <c r="I1737" s="9" t="s">
        <v>7331</v>
      </c>
      <c r="J1737" s="10"/>
      <c r="K1737" s="11">
        <v>50</v>
      </c>
      <c r="L1737" s="10"/>
      <c r="M1737" s="10" t="s">
        <v>47</v>
      </c>
      <c r="N1737" s="10"/>
      <c r="O1737" s="2">
        <v>10</v>
      </c>
      <c r="P1737" s="17">
        <f>54.9*(1-S3/100)</f>
        <v>54.9</v>
      </c>
      <c r="Q1737" s="18"/>
      <c r="R1737" s="10">
        <f t="shared" ref="R1737:R1746" si="72">P1737*Q1737</f>
        <v>0</v>
      </c>
      <c r="S1737" s="19">
        <f>0.065*Q1737</f>
        <v>0</v>
      </c>
      <c r="T1737" s="20">
        <f>0.00021*Q1737</f>
        <v>0</v>
      </c>
      <c r="U1737" s="21"/>
      <c r="V1737" s="22" t="s">
        <v>7332</v>
      </c>
      <c r="W1737" s="22" t="s">
        <v>49</v>
      </c>
      <c r="X1737" s="3"/>
      <c r="Y1737" s="3" t="s">
        <v>7333</v>
      </c>
      <c r="Z1737" s="3" t="s">
        <v>52</v>
      </c>
      <c r="AA1737" s="3"/>
      <c r="AB1737" s="3"/>
      <c r="AC1737" s="3" t="str">
        <f>HYPERLINK("https://knigipp.ru/api/getInfo/image/49a06c51-c87c-11ed-a230-00155d82e902")</f>
        <v>https://knigipp.ru/api/getInfo/image/49a06c51-c87c-11ed-a230-00155d82e902</v>
      </c>
      <c r="AD1737" s="32">
        <v>16</v>
      </c>
      <c r="AE1737" s="3" t="s">
        <v>54</v>
      </c>
      <c r="AF1737" s="3" t="s">
        <v>136</v>
      </c>
      <c r="AG1737" s="3"/>
      <c r="AH1737" s="3" t="s">
        <v>56</v>
      </c>
      <c r="AI1737" s="3"/>
      <c r="AJ1737" s="3" t="s">
        <v>7334</v>
      </c>
      <c r="AK1737" s="3" t="str">
        <f>HYPERLINK("https://knigipp.ru/api/getInfo/item/49a06c51-c87c-11ed-a230-00155d82e902")</f>
        <v>https://knigipp.ru/api/getInfo/item/49a06c51-c87c-11ed-a230-00155d82e902</v>
      </c>
      <c r="AL1737" s="3" t="s">
        <v>1155</v>
      </c>
    </row>
    <row r="1738" spans="1:38" ht="21" customHeight="1" outlineLevel="4" x14ac:dyDescent="0.2">
      <c r="A1738" s="39">
        <v>1318</v>
      </c>
      <c r="B1738" s="3" t="s">
        <v>7335</v>
      </c>
      <c r="C1738" s="49" t="s">
        <v>7336</v>
      </c>
      <c r="D1738" s="49"/>
      <c r="E1738" s="49"/>
      <c r="F1738" s="49"/>
      <c r="G1738" s="4" t="s">
        <v>7337</v>
      </c>
      <c r="H1738" s="8"/>
      <c r="I1738" s="9" t="s">
        <v>7331</v>
      </c>
      <c r="J1738" s="10"/>
      <c r="K1738" s="11">
        <v>50</v>
      </c>
      <c r="L1738" s="10"/>
      <c r="M1738" s="10" t="s">
        <v>47</v>
      </c>
      <c r="N1738" s="10"/>
      <c r="O1738" s="2">
        <v>10</v>
      </c>
      <c r="P1738" s="17">
        <f>54.9*(1-S3/100)</f>
        <v>54.9</v>
      </c>
      <c r="Q1738" s="18"/>
      <c r="R1738" s="10">
        <f t="shared" si="72"/>
        <v>0</v>
      </c>
      <c r="S1738" s="19">
        <f>0.065*Q1738</f>
        <v>0</v>
      </c>
      <c r="T1738" s="20">
        <f>0.00028*Q1738</f>
        <v>0</v>
      </c>
      <c r="U1738" s="21"/>
      <c r="V1738" s="22" t="s">
        <v>7338</v>
      </c>
      <c r="W1738" s="22" t="s">
        <v>49</v>
      </c>
      <c r="X1738" s="3"/>
      <c r="Y1738" s="3" t="s">
        <v>7339</v>
      </c>
      <c r="Z1738" s="3" t="s">
        <v>52</v>
      </c>
      <c r="AA1738" s="3"/>
      <c r="AB1738" s="3"/>
      <c r="AC1738" s="3" t="str">
        <f>HYPERLINK("https://knigipp.ru/api/getInfo/image/895a78a0-6d0b-11ea-a244-ac1f6b442184")</f>
        <v>https://knigipp.ru/api/getInfo/image/895a78a0-6d0b-11ea-a244-ac1f6b442184</v>
      </c>
      <c r="AD1738" s="32">
        <v>16</v>
      </c>
      <c r="AE1738" s="3"/>
      <c r="AF1738" s="3" t="s">
        <v>136</v>
      </c>
      <c r="AG1738" s="3"/>
      <c r="AH1738" s="3" t="s">
        <v>56</v>
      </c>
      <c r="AI1738" s="3"/>
      <c r="AJ1738" s="3" t="s">
        <v>7334</v>
      </c>
      <c r="AK1738" s="3" t="str">
        <f>HYPERLINK("https://knigipp.ru/api/getInfo/item/895a78a0-6d0b-11ea-a244-ac1f6b442184")</f>
        <v>https://knigipp.ru/api/getInfo/item/895a78a0-6d0b-11ea-a244-ac1f6b442184</v>
      </c>
      <c r="AL1738" s="3" t="s">
        <v>1155</v>
      </c>
    </row>
    <row r="1739" spans="1:38" ht="21" customHeight="1" outlineLevel="4" x14ac:dyDescent="0.2">
      <c r="A1739" s="39">
        <v>1319</v>
      </c>
      <c r="B1739" s="3" t="s">
        <v>7340</v>
      </c>
      <c r="C1739" s="49" t="s">
        <v>7341</v>
      </c>
      <c r="D1739" s="49"/>
      <c r="E1739" s="49"/>
      <c r="F1739" s="49"/>
      <c r="G1739" s="4" t="s">
        <v>7342</v>
      </c>
      <c r="H1739" s="8"/>
      <c r="I1739" s="9" t="s">
        <v>7331</v>
      </c>
      <c r="J1739" s="10"/>
      <c r="K1739" s="11">
        <v>50</v>
      </c>
      <c r="L1739" s="10"/>
      <c r="M1739" s="10" t="s">
        <v>47</v>
      </c>
      <c r="N1739" s="10"/>
      <c r="O1739" s="2">
        <v>10</v>
      </c>
      <c r="P1739" s="17">
        <f>54.9*(1-S3/100)</f>
        <v>54.9</v>
      </c>
      <c r="Q1739" s="18"/>
      <c r="R1739" s="10">
        <f t="shared" si="72"/>
        <v>0</v>
      </c>
      <c r="S1739" s="19">
        <f>0.061*Q1739</f>
        <v>0</v>
      </c>
      <c r="T1739" s="20">
        <f>0.00028*Q1739</f>
        <v>0</v>
      </c>
      <c r="U1739" s="21"/>
      <c r="V1739" s="22" t="s">
        <v>7343</v>
      </c>
      <c r="W1739" s="22" t="s">
        <v>49</v>
      </c>
      <c r="X1739" s="3"/>
      <c r="Y1739" s="3" t="s">
        <v>7344</v>
      </c>
      <c r="Z1739" s="3" t="s">
        <v>52</v>
      </c>
      <c r="AA1739" s="3"/>
      <c r="AB1739" s="3"/>
      <c r="AC1739" s="3" t="str">
        <f>HYPERLINK("https://knigipp.ru/api/getInfo/image/93fbe265-c87c-11ed-a230-00155d82e902")</f>
        <v>https://knigipp.ru/api/getInfo/image/93fbe265-c87c-11ed-a230-00155d82e902</v>
      </c>
      <c r="AD1739" s="32">
        <v>16</v>
      </c>
      <c r="AE1739" s="3" t="s">
        <v>54</v>
      </c>
      <c r="AF1739" s="3" t="s">
        <v>136</v>
      </c>
      <c r="AG1739" s="3"/>
      <c r="AH1739" s="3" t="s">
        <v>56</v>
      </c>
      <c r="AI1739" s="3"/>
      <c r="AJ1739" s="3" t="s">
        <v>7334</v>
      </c>
      <c r="AK1739" s="3" t="str">
        <f>HYPERLINK("https://knigipp.ru/api/getInfo/item/93fbe265-c87c-11ed-a230-00155d82e902")</f>
        <v>https://knigipp.ru/api/getInfo/item/93fbe265-c87c-11ed-a230-00155d82e902</v>
      </c>
      <c r="AL1739" s="3" t="s">
        <v>1155</v>
      </c>
    </row>
    <row r="1740" spans="1:38" ht="21" customHeight="1" outlineLevel="4" x14ac:dyDescent="0.2">
      <c r="A1740" s="39">
        <v>1320</v>
      </c>
      <c r="B1740" s="3" t="s">
        <v>7345</v>
      </c>
      <c r="C1740" s="49" t="s">
        <v>7346</v>
      </c>
      <c r="D1740" s="49"/>
      <c r="E1740" s="49"/>
      <c r="F1740" s="49"/>
      <c r="G1740" s="4" t="s">
        <v>7347</v>
      </c>
      <c r="H1740" s="8"/>
      <c r="I1740" s="9" t="s">
        <v>7331</v>
      </c>
      <c r="J1740" s="10"/>
      <c r="K1740" s="11">
        <v>50</v>
      </c>
      <c r="L1740" s="10"/>
      <c r="M1740" s="10" t="s">
        <v>47</v>
      </c>
      <c r="N1740" s="10"/>
      <c r="O1740" s="2">
        <v>10</v>
      </c>
      <c r="P1740" s="17">
        <f>54.9*(1-S3/100)</f>
        <v>54.9</v>
      </c>
      <c r="Q1740" s="18"/>
      <c r="R1740" s="10">
        <f t="shared" si="72"/>
        <v>0</v>
      </c>
      <c r="S1740" s="19">
        <f>0.066*Q1740</f>
        <v>0</v>
      </c>
      <c r="T1740" s="20">
        <f>0.00029*Q1740</f>
        <v>0</v>
      </c>
      <c r="U1740" s="21"/>
      <c r="V1740" s="22" t="s">
        <v>7348</v>
      </c>
      <c r="W1740" s="22" t="s">
        <v>49</v>
      </c>
      <c r="X1740" s="3"/>
      <c r="Y1740" s="3"/>
      <c r="Z1740" s="3" t="s">
        <v>52</v>
      </c>
      <c r="AA1740" s="3"/>
      <c r="AB1740" s="3"/>
      <c r="AC1740" s="3" t="str">
        <f>HYPERLINK("https://knigipp.ru/api/getInfo/image/dd59e878-e677-11e8-a214-ac1f6b442184")</f>
        <v>https://knigipp.ru/api/getInfo/image/dd59e878-e677-11e8-a214-ac1f6b442184</v>
      </c>
      <c r="AD1740" s="32">
        <v>16</v>
      </c>
      <c r="AE1740" s="3"/>
      <c r="AF1740" s="3" t="s">
        <v>136</v>
      </c>
      <c r="AG1740" s="3"/>
      <c r="AH1740" s="3" t="s">
        <v>56</v>
      </c>
      <c r="AI1740" s="3"/>
      <c r="AJ1740" s="3" t="s">
        <v>7334</v>
      </c>
      <c r="AK1740" s="3" t="str">
        <f>HYPERLINK("https://knigipp.ru/api/getInfo/item/dd59e878-e677-11e8-a214-ac1f6b442184")</f>
        <v>https://knigipp.ru/api/getInfo/item/dd59e878-e677-11e8-a214-ac1f6b442184</v>
      </c>
      <c r="AL1740" s="3" t="s">
        <v>1155</v>
      </c>
    </row>
    <row r="1741" spans="1:38" ht="21" customHeight="1" outlineLevel="4" x14ac:dyDescent="0.2">
      <c r="A1741" s="39">
        <v>1321</v>
      </c>
      <c r="B1741" s="3" t="s">
        <v>7349</v>
      </c>
      <c r="C1741" s="49" t="s">
        <v>7350</v>
      </c>
      <c r="D1741" s="49"/>
      <c r="E1741" s="49"/>
      <c r="F1741" s="49"/>
      <c r="G1741" s="4" t="s">
        <v>7351</v>
      </c>
      <c r="H1741" s="8"/>
      <c r="I1741" s="9" t="s">
        <v>7331</v>
      </c>
      <c r="J1741" s="10"/>
      <c r="K1741" s="11">
        <v>50</v>
      </c>
      <c r="L1741" s="10"/>
      <c r="M1741" s="10" t="s">
        <v>47</v>
      </c>
      <c r="N1741" s="10"/>
      <c r="O1741" s="2">
        <v>10</v>
      </c>
      <c r="P1741" s="17">
        <f>54.9*(1-S3/100)</f>
        <v>54.9</v>
      </c>
      <c r="Q1741" s="18"/>
      <c r="R1741" s="10">
        <f t="shared" si="72"/>
        <v>0</v>
      </c>
      <c r="S1741" s="28">
        <f>0.06*Q1741</f>
        <v>0</v>
      </c>
      <c r="T1741" s="20">
        <f>0.00021*Q1741</f>
        <v>0</v>
      </c>
      <c r="U1741" s="21"/>
      <c r="V1741" s="22" t="s">
        <v>7352</v>
      </c>
      <c r="W1741" s="22" t="s">
        <v>49</v>
      </c>
      <c r="X1741" s="3"/>
      <c r="Y1741" s="3" t="s">
        <v>7353</v>
      </c>
      <c r="Z1741" s="3" t="s">
        <v>52</v>
      </c>
      <c r="AA1741" s="3"/>
      <c r="AB1741" s="3"/>
      <c r="AC1741" s="3" t="str">
        <f>HYPERLINK("https://knigipp.ru/api/getInfo/image/b9e394af-c87c-11ed-a230-00155d82e902")</f>
        <v>https://knigipp.ru/api/getInfo/image/b9e394af-c87c-11ed-a230-00155d82e902</v>
      </c>
      <c r="AD1741" s="32">
        <v>16</v>
      </c>
      <c r="AE1741" s="3" t="s">
        <v>54</v>
      </c>
      <c r="AF1741" s="3" t="s">
        <v>136</v>
      </c>
      <c r="AG1741" s="3"/>
      <c r="AH1741" s="3" t="s">
        <v>56</v>
      </c>
      <c r="AI1741" s="3"/>
      <c r="AJ1741" s="3" t="s">
        <v>7334</v>
      </c>
      <c r="AK1741" s="3" t="str">
        <f>HYPERLINK("https://knigipp.ru/api/getInfo/item/b9e394af-c87c-11ed-a230-00155d82e902")</f>
        <v>https://knigipp.ru/api/getInfo/item/b9e394af-c87c-11ed-a230-00155d82e902</v>
      </c>
      <c r="AL1741" s="3" t="s">
        <v>1155</v>
      </c>
    </row>
    <row r="1742" spans="1:38" ht="21" customHeight="1" outlineLevel="4" x14ac:dyDescent="0.2">
      <c r="A1742" s="39">
        <v>1322</v>
      </c>
      <c r="B1742" s="3" t="s">
        <v>7354</v>
      </c>
      <c r="C1742" s="49" t="s">
        <v>7355</v>
      </c>
      <c r="D1742" s="49"/>
      <c r="E1742" s="49"/>
      <c r="F1742" s="49"/>
      <c r="G1742" s="4" t="s">
        <v>7356</v>
      </c>
      <c r="H1742" s="8"/>
      <c r="I1742" s="9" t="s">
        <v>7331</v>
      </c>
      <c r="J1742" s="10"/>
      <c r="K1742" s="11">
        <v>50</v>
      </c>
      <c r="L1742" s="10"/>
      <c r="M1742" s="10" t="s">
        <v>47</v>
      </c>
      <c r="N1742" s="10"/>
      <c r="O1742" s="2">
        <v>10</v>
      </c>
      <c r="P1742" s="17">
        <f>54.9*(1-S3/100)</f>
        <v>54.9</v>
      </c>
      <c r="Q1742" s="18"/>
      <c r="R1742" s="10">
        <f t="shared" si="72"/>
        <v>0</v>
      </c>
      <c r="S1742" s="19">
        <f>0.065*Q1742</f>
        <v>0</v>
      </c>
      <c r="T1742" s="20">
        <f>0.00028*Q1742</f>
        <v>0</v>
      </c>
      <c r="U1742" s="21"/>
      <c r="V1742" s="22" t="s">
        <v>7357</v>
      </c>
      <c r="W1742" s="22" t="s">
        <v>49</v>
      </c>
      <c r="X1742" s="3"/>
      <c r="Y1742" s="3" t="s">
        <v>7358</v>
      </c>
      <c r="Z1742" s="3" t="s">
        <v>52</v>
      </c>
      <c r="AA1742" s="3"/>
      <c r="AB1742" s="3"/>
      <c r="AC1742" s="3" t="str">
        <f>HYPERLINK("https://knigipp.ru/api/getInfo/image/a59707e0-6d0b-11ea-a244-ac1f6b442184")</f>
        <v>https://knigipp.ru/api/getInfo/image/a59707e0-6d0b-11ea-a244-ac1f6b442184</v>
      </c>
      <c r="AD1742" s="32">
        <v>16</v>
      </c>
      <c r="AE1742" s="3"/>
      <c r="AF1742" s="3" t="s">
        <v>136</v>
      </c>
      <c r="AG1742" s="3"/>
      <c r="AH1742" s="3" t="s">
        <v>56</v>
      </c>
      <c r="AI1742" s="3"/>
      <c r="AJ1742" s="3" t="s">
        <v>7334</v>
      </c>
      <c r="AK1742" s="3" t="str">
        <f>HYPERLINK("https://knigipp.ru/api/getInfo/item/a59707e0-6d0b-11ea-a244-ac1f6b442184")</f>
        <v>https://knigipp.ru/api/getInfo/item/a59707e0-6d0b-11ea-a244-ac1f6b442184</v>
      </c>
      <c r="AL1742" s="3" t="s">
        <v>1155</v>
      </c>
    </row>
    <row r="1743" spans="1:38" ht="21" customHeight="1" outlineLevel="4" x14ac:dyDescent="0.2">
      <c r="A1743" s="39">
        <v>1323</v>
      </c>
      <c r="B1743" s="3" t="s">
        <v>7359</v>
      </c>
      <c r="C1743" s="49" t="s">
        <v>7360</v>
      </c>
      <c r="D1743" s="49"/>
      <c r="E1743" s="49"/>
      <c r="F1743" s="49"/>
      <c r="G1743" s="4" t="s">
        <v>7361</v>
      </c>
      <c r="H1743" s="8"/>
      <c r="I1743" s="9" t="s">
        <v>7331</v>
      </c>
      <c r="J1743" s="10"/>
      <c r="K1743" s="11">
        <v>50</v>
      </c>
      <c r="L1743" s="10"/>
      <c r="M1743" s="10" t="s">
        <v>47</v>
      </c>
      <c r="N1743" s="10"/>
      <c r="O1743" s="2">
        <v>10</v>
      </c>
      <c r="P1743" s="17">
        <f>54.9*(1-S3/100)</f>
        <v>54.9</v>
      </c>
      <c r="Q1743" s="18"/>
      <c r="R1743" s="10">
        <f t="shared" si="72"/>
        <v>0</v>
      </c>
      <c r="S1743" s="28">
        <f>0.06*Q1743</f>
        <v>0</v>
      </c>
      <c r="T1743" s="20">
        <f>0.00021*Q1743</f>
        <v>0</v>
      </c>
      <c r="U1743" s="21"/>
      <c r="V1743" s="22" t="s">
        <v>7362</v>
      </c>
      <c r="W1743" s="22" t="s">
        <v>49</v>
      </c>
      <c r="X1743" s="3"/>
      <c r="Y1743" s="3" t="s">
        <v>7363</v>
      </c>
      <c r="Z1743" s="3" t="s">
        <v>52</v>
      </c>
      <c r="AA1743" s="3"/>
      <c r="AB1743" s="3"/>
      <c r="AC1743" s="3" t="str">
        <f>HYPERLINK("https://knigipp.ru/api/getInfo/image/baf485ab-6d0b-11ea-a244-ac1f6b442184")</f>
        <v>https://knigipp.ru/api/getInfo/image/baf485ab-6d0b-11ea-a244-ac1f6b442184</v>
      </c>
      <c r="AD1743" s="32">
        <v>16</v>
      </c>
      <c r="AE1743" s="3"/>
      <c r="AF1743" s="3" t="s">
        <v>136</v>
      </c>
      <c r="AG1743" s="3"/>
      <c r="AH1743" s="3" t="s">
        <v>56</v>
      </c>
      <c r="AI1743" s="3"/>
      <c r="AJ1743" s="3" t="s">
        <v>7334</v>
      </c>
      <c r="AK1743" s="3" t="str">
        <f>HYPERLINK("https://knigipp.ru/api/getInfo/item/baf485ab-6d0b-11ea-a244-ac1f6b442184")</f>
        <v>https://knigipp.ru/api/getInfo/item/baf485ab-6d0b-11ea-a244-ac1f6b442184</v>
      </c>
      <c r="AL1743" s="3" t="s">
        <v>1155</v>
      </c>
    </row>
    <row r="1744" spans="1:38" ht="21" customHeight="1" outlineLevel="4" x14ac:dyDescent="0.2">
      <c r="A1744" s="39">
        <v>1324</v>
      </c>
      <c r="B1744" s="3" t="s">
        <v>7364</v>
      </c>
      <c r="C1744" s="49" t="s">
        <v>7365</v>
      </c>
      <c r="D1744" s="49"/>
      <c r="E1744" s="49"/>
      <c r="F1744" s="49"/>
      <c r="G1744" s="4" t="s">
        <v>7366</v>
      </c>
      <c r="H1744" s="8"/>
      <c r="I1744" s="9" t="s">
        <v>7331</v>
      </c>
      <c r="J1744" s="10"/>
      <c r="K1744" s="11">
        <v>50</v>
      </c>
      <c r="L1744" s="10"/>
      <c r="M1744" s="10" t="s">
        <v>47</v>
      </c>
      <c r="N1744" s="10"/>
      <c r="O1744" s="2">
        <v>10</v>
      </c>
      <c r="P1744" s="17">
        <f>54.9*(1-S3/100)</f>
        <v>54.9</v>
      </c>
      <c r="Q1744" s="18"/>
      <c r="R1744" s="10">
        <f t="shared" si="72"/>
        <v>0</v>
      </c>
      <c r="S1744" s="19">
        <f>0.056*Q1744</f>
        <v>0</v>
      </c>
      <c r="T1744" s="20">
        <f>0.00011*Q1744</f>
        <v>0</v>
      </c>
      <c r="U1744" s="21"/>
      <c r="V1744" s="22" t="s">
        <v>7367</v>
      </c>
      <c r="W1744" s="22" t="s">
        <v>49</v>
      </c>
      <c r="X1744" s="3"/>
      <c r="Y1744" s="3" t="s">
        <v>7368</v>
      </c>
      <c r="Z1744" s="3" t="s">
        <v>52</v>
      </c>
      <c r="AA1744" s="3"/>
      <c r="AB1744" s="3"/>
      <c r="AC1744" s="3" t="str">
        <f>HYPERLINK("https://knigipp.ru/api/getInfo/image/0e8690ab-e678-11e8-a214-ac1f6b442184")</f>
        <v>https://knigipp.ru/api/getInfo/image/0e8690ab-e678-11e8-a214-ac1f6b442184</v>
      </c>
      <c r="AD1744" s="32">
        <v>16</v>
      </c>
      <c r="AE1744" s="3"/>
      <c r="AF1744" s="3" t="s">
        <v>136</v>
      </c>
      <c r="AG1744" s="3"/>
      <c r="AH1744" s="3" t="s">
        <v>56</v>
      </c>
      <c r="AI1744" s="3"/>
      <c r="AJ1744" s="3" t="s">
        <v>7334</v>
      </c>
      <c r="AK1744" s="3" t="str">
        <f>HYPERLINK("https://knigipp.ru/api/getInfo/item/0e8690ab-e678-11e8-a214-ac1f6b442184")</f>
        <v>https://knigipp.ru/api/getInfo/item/0e8690ab-e678-11e8-a214-ac1f6b442184</v>
      </c>
      <c r="AL1744" s="3" t="s">
        <v>1155</v>
      </c>
    </row>
    <row r="1745" spans="1:38" ht="21" customHeight="1" outlineLevel="4" x14ac:dyDescent="0.2">
      <c r="A1745" s="39">
        <v>1325</v>
      </c>
      <c r="B1745" s="3" t="s">
        <v>7369</v>
      </c>
      <c r="C1745" s="49" t="s">
        <v>7370</v>
      </c>
      <c r="D1745" s="49"/>
      <c r="E1745" s="49"/>
      <c r="F1745" s="49"/>
      <c r="G1745" s="4" t="s">
        <v>7371</v>
      </c>
      <c r="H1745" s="8"/>
      <c r="I1745" s="9" t="s">
        <v>7331</v>
      </c>
      <c r="J1745" s="10"/>
      <c r="K1745" s="11">
        <v>50</v>
      </c>
      <c r="L1745" s="10"/>
      <c r="M1745" s="10" t="s">
        <v>47</v>
      </c>
      <c r="N1745" s="10"/>
      <c r="O1745" s="2">
        <v>10</v>
      </c>
      <c r="P1745" s="17">
        <f>54.9*(1-S3/100)</f>
        <v>54.9</v>
      </c>
      <c r="Q1745" s="18"/>
      <c r="R1745" s="10">
        <f t="shared" si="72"/>
        <v>0</v>
      </c>
      <c r="S1745" s="19">
        <f>0.065*Q1745</f>
        <v>0</v>
      </c>
      <c r="T1745" s="20">
        <f>0.00021*Q1745</f>
        <v>0</v>
      </c>
      <c r="U1745" s="21"/>
      <c r="V1745" s="22" t="s">
        <v>7372</v>
      </c>
      <c r="W1745" s="22" t="s">
        <v>49</v>
      </c>
      <c r="X1745" s="3"/>
      <c r="Y1745" s="3" t="s">
        <v>7373</v>
      </c>
      <c r="Z1745" s="3" t="s">
        <v>52</v>
      </c>
      <c r="AA1745" s="3"/>
      <c r="AB1745" s="3"/>
      <c r="AC1745" s="3" t="str">
        <f>HYPERLINK("https://knigipp.ru/api/getInfo/image/f0476bf3-6d0b-11ea-a244-ac1f6b442184")</f>
        <v>https://knigipp.ru/api/getInfo/image/f0476bf3-6d0b-11ea-a244-ac1f6b442184</v>
      </c>
      <c r="AD1745" s="32">
        <v>16</v>
      </c>
      <c r="AE1745" s="3"/>
      <c r="AF1745" s="3" t="s">
        <v>136</v>
      </c>
      <c r="AG1745" s="3"/>
      <c r="AH1745" s="3" t="s">
        <v>56</v>
      </c>
      <c r="AI1745" s="3"/>
      <c r="AJ1745" s="3" t="s">
        <v>7334</v>
      </c>
      <c r="AK1745" s="3" t="str">
        <f>HYPERLINK("https://knigipp.ru/api/getInfo/item/f0476bf3-6d0b-11ea-a244-ac1f6b442184")</f>
        <v>https://knigipp.ru/api/getInfo/item/f0476bf3-6d0b-11ea-a244-ac1f6b442184</v>
      </c>
      <c r="AL1745" s="3" t="s">
        <v>1155</v>
      </c>
    </row>
    <row r="1746" spans="1:38" ht="21" customHeight="1" outlineLevel="4" x14ac:dyDescent="0.2">
      <c r="A1746" s="39">
        <v>1326</v>
      </c>
      <c r="B1746" s="3" t="s">
        <v>7374</v>
      </c>
      <c r="C1746" s="49" t="s">
        <v>7375</v>
      </c>
      <c r="D1746" s="49"/>
      <c r="E1746" s="49"/>
      <c r="F1746" s="49"/>
      <c r="G1746" s="4" t="s">
        <v>7376</v>
      </c>
      <c r="H1746" s="8"/>
      <c r="I1746" s="9" t="s">
        <v>7331</v>
      </c>
      <c r="J1746" s="10"/>
      <c r="K1746" s="11">
        <v>50</v>
      </c>
      <c r="L1746" s="10"/>
      <c r="M1746" s="10" t="s">
        <v>47</v>
      </c>
      <c r="N1746" s="10"/>
      <c r="O1746" s="2">
        <v>10</v>
      </c>
      <c r="P1746" s="17">
        <f>54.9*(1-S3/100)</f>
        <v>54.9</v>
      </c>
      <c r="Q1746" s="18"/>
      <c r="R1746" s="10">
        <f t="shared" si="72"/>
        <v>0</v>
      </c>
      <c r="S1746" s="19">
        <f>0.065*Q1746</f>
        <v>0</v>
      </c>
      <c r="T1746" s="20">
        <f>0.00028*Q1746</f>
        <v>0</v>
      </c>
      <c r="U1746" s="21"/>
      <c r="V1746" s="22" t="s">
        <v>7377</v>
      </c>
      <c r="W1746" s="22" t="s">
        <v>49</v>
      </c>
      <c r="X1746" s="3"/>
      <c r="Y1746" s="3" t="s">
        <v>7378</v>
      </c>
      <c r="Z1746" s="3" t="s">
        <v>52</v>
      </c>
      <c r="AA1746" s="3"/>
      <c r="AB1746" s="3"/>
      <c r="AC1746" s="3" t="str">
        <f>HYPERLINK("https://knigipp.ru/api/getInfo/image/d2e532c3-3c54-11ea-a240-ac1f6b442184")</f>
        <v>https://knigipp.ru/api/getInfo/image/d2e532c3-3c54-11ea-a240-ac1f6b442184</v>
      </c>
      <c r="AD1746" s="32">
        <v>16</v>
      </c>
      <c r="AE1746" s="3"/>
      <c r="AF1746" s="3" t="s">
        <v>136</v>
      </c>
      <c r="AG1746" s="3"/>
      <c r="AH1746" s="3" t="s">
        <v>56</v>
      </c>
      <c r="AI1746" s="3"/>
      <c r="AJ1746" s="3" t="s">
        <v>7334</v>
      </c>
      <c r="AK1746" s="3" t="str">
        <f>HYPERLINK("https://knigipp.ru/api/getInfo/item/d2e532c3-3c54-11ea-a240-ac1f6b442184")</f>
        <v>https://knigipp.ru/api/getInfo/item/d2e532c3-3c54-11ea-a240-ac1f6b442184</v>
      </c>
      <c r="AL1746" s="3" t="s">
        <v>1155</v>
      </c>
    </row>
    <row r="1747" spans="1:38" ht="23.1" customHeight="1" outlineLevel="3" x14ac:dyDescent="0.2">
      <c r="A1747" s="48" t="s">
        <v>7379</v>
      </c>
      <c r="B1747" s="48"/>
      <c r="C1747" s="48"/>
      <c r="D1747" s="48"/>
      <c r="E1747" s="48"/>
      <c r="F1747" s="48"/>
    </row>
    <row r="1748" spans="1:38" ht="21" customHeight="1" outlineLevel="4" x14ac:dyDescent="0.2">
      <c r="A1748" s="39">
        <v>1327</v>
      </c>
      <c r="B1748" s="3" t="s">
        <v>7380</v>
      </c>
      <c r="C1748" s="49" t="s">
        <v>7381</v>
      </c>
      <c r="D1748" s="49"/>
      <c r="E1748" s="49"/>
      <c r="F1748" s="49"/>
      <c r="G1748" s="4" t="s">
        <v>7382</v>
      </c>
      <c r="H1748" s="8"/>
      <c r="I1748" s="9" t="s">
        <v>7383</v>
      </c>
      <c r="J1748" s="10"/>
      <c r="K1748" s="11">
        <v>15</v>
      </c>
      <c r="L1748" s="10"/>
      <c r="M1748" s="10" t="s">
        <v>78</v>
      </c>
      <c r="N1748" s="10"/>
      <c r="O1748" s="2">
        <v>4</v>
      </c>
      <c r="P1748" s="17">
        <f>149*(1-S3/100)</f>
        <v>149</v>
      </c>
      <c r="Q1748" s="18"/>
      <c r="R1748" s="10">
        <f>P1748*Q1748</f>
        <v>0</v>
      </c>
      <c r="S1748" s="19">
        <f>0.101*Q1748</f>
        <v>0</v>
      </c>
      <c r="T1748" s="20">
        <f>0.00115*Q1748</f>
        <v>0</v>
      </c>
      <c r="U1748" s="21"/>
      <c r="V1748" s="22" t="s">
        <v>7384</v>
      </c>
      <c r="W1748" s="22" t="s">
        <v>49</v>
      </c>
      <c r="X1748" s="3"/>
      <c r="Y1748" s="3"/>
      <c r="Z1748" s="3" t="s">
        <v>52</v>
      </c>
      <c r="AA1748" s="3" t="s">
        <v>7385</v>
      </c>
      <c r="AB1748" s="3"/>
      <c r="AC1748" s="3" t="str">
        <f>HYPERLINK("https://knigipp.ru/api/getInfo/image/dd331965-e61f-11e7-b2c3-5cf3fc4a2490")</f>
        <v>https://knigipp.ru/api/getInfo/image/dd331965-e61f-11e7-b2c3-5cf3fc4a2490</v>
      </c>
      <c r="AD1748" s="3"/>
      <c r="AE1748" s="3"/>
      <c r="AF1748" s="3"/>
      <c r="AG1748" s="3"/>
      <c r="AH1748" s="3" t="s">
        <v>56</v>
      </c>
      <c r="AI1748" s="3"/>
      <c r="AJ1748" s="3" t="s">
        <v>592</v>
      </c>
      <c r="AK1748" s="3" t="str">
        <f>HYPERLINK("https://knigipp.ru/api/getInfo/item/dd331965-e61f-11e7-b2c3-5cf3fc4a2490")</f>
        <v>https://knigipp.ru/api/getInfo/item/dd331965-e61f-11e7-b2c3-5cf3fc4a2490</v>
      </c>
      <c r="AL1748" s="3" t="s">
        <v>7386</v>
      </c>
    </row>
    <row r="1749" spans="1:38" ht="23.1" customHeight="1" outlineLevel="3" x14ac:dyDescent="0.2">
      <c r="A1749" s="48" t="s">
        <v>7387</v>
      </c>
      <c r="B1749" s="48"/>
      <c r="C1749" s="48"/>
      <c r="D1749" s="48"/>
      <c r="E1749" s="48"/>
      <c r="F1749" s="48"/>
    </row>
    <row r="1750" spans="1:38" ht="21" customHeight="1" outlineLevel="4" x14ac:dyDescent="0.2">
      <c r="A1750" s="39">
        <v>1328</v>
      </c>
      <c r="B1750" s="3" t="s">
        <v>7388</v>
      </c>
      <c r="C1750" s="49" t="s">
        <v>7389</v>
      </c>
      <c r="D1750" s="49"/>
      <c r="E1750" s="49"/>
      <c r="F1750" s="49"/>
      <c r="G1750" s="4" t="s">
        <v>7390</v>
      </c>
      <c r="H1750" s="8"/>
      <c r="I1750" s="9"/>
      <c r="J1750" s="10"/>
      <c r="K1750" s="11">
        <v>50</v>
      </c>
      <c r="L1750" s="11">
        <v>5</v>
      </c>
      <c r="M1750" s="10" t="s">
        <v>78</v>
      </c>
      <c r="N1750" s="10"/>
      <c r="O1750" s="2">
        <v>8</v>
      </c>
      <c r="P1750" s="17">
        <f>77*(1-S3/100)</f>
        <v>77</v>
      </c>
      <c r="Q1750" s="18"/>
      <c r="R1750" s="10">
        <f>P1750*Q1750</f>
        <v>0</v>
      </c>
      <c r="S1750" s="10">
        <v>0</v>
      </c>
      <c r="T1750" s="10">
        <v>0</v>
      </c>
      <c r="U1750" s="21"/>
      <c r="V1750" s="22" t="s">
        <v>7391</v>
      </c>
      <c r="W1750" s="22" t="s">
        <v>49</v>
      </c>
      <c r="X1750" s="3"/>
      <c r="Y1750" s="3" t="s">
        <v>7392</v>
      </c>
      <c r="Z1750" s="3" t="s">
        <v>52</v>
      </c>
      <c r="AA1750" s="3"/>
      <c r="AB1750" s="3"/>
      <c r="AC1750" s="3" t="str">
        <f>HYPERLINK("https://knigipp.ru/api/getInfo/image/29dee0c3-7e2e-11ee-a248-00155d82e902")</f>
        <v>https://knigipp.ru/api/getInfo/image/29dee0c3-7e2e-11ee-a248-00155d82e902</v>
      </c>
      <c r="AD1750" s="32">
        <v>16</v>
      </c>
      <c r="AE1750" s="3"/>
      <c r="AF1750" s="3" t="s">
        <v>136</v>
      </c>
      <c r="AG1750" s="3"/>
      <c r="AH1750" s="3" t="s">
        <v>56</v>
      </c>
      <c r="AI1750" s="3"/>
      <c r="AJ1750" s="3"/>
      <c r="AK1750" s="3" t="str">
        <f>HYPERLINK("https://knigipp.ru/api/getInfo/item/29dee0c3-7e2e-11ee-a248-00155d82e902")</f>
        <v>https://knigipp.ru/api/getInfo/item/29dee0c3-7e2e-11ee-a248-00155d82e902</v>
      </c>
      <c r="AL1750" s="3" t="s">
        <v>1155</v>
      </c>
    </row>
    <row r="1751" spans="1:38" ht="21" customHeight="1" outlineLevel="4" x14ac:dyDescent="0.2">
      <c r="A1751" s="39">
        <v>1329</v>
      </c>
      <c r="B1751" s="3" t="s">
        <v>7393</v>
      </c>
      <c r="C1751" s="49" t="s">
        <v>7394</v>
      </c>
      <c r="D1751" s="49"/>
      <c r="E1751" s="49"/>
      <c r="F1751" s="49"/>
      <c r="G1751" s="4" t="s">
        <v>7395</v>
      </c>
      <c r="H1751" s="8"/>
      <c r="I1751" s="9" t="s">
        <v>7396</v>
      </c>
      <c r="J1751" s="10"/>
      <c r="K1751" s="11">
        <v>50</v>
      </c>
      <c r="L1751" s="11">
        <v>5</v>
      </c>
      <c r="M1751" s="10" t="s">
        <v>78</v>
      </c>
      <c r="N1751" s="10"/>
      <c r="O1751" s="2">
        <v>8</v>
      </c>
      <c r="P1751" s="17">
        <f>77*(1-S3/100)</f>
        <v>77</v>
      </c>
      <c r="Q1751" s="18"/>
      <c r="R1751" s="10">
        <f>P1751*Q1751</f>
        <v>0</v>
      </c>
      <c r="S1751" s="19">
        <f>0.059*Q1751</f>
        <v>0</v>
      </c>
      <c r="T1751" s="20">
        <f>0.00011*Q1751</f>
        <v>0</v>
      </c>
      <c r="U1751" s="21"/>
      <c r="V1751" s="22" t="s">
        <v>7397</v>
      </c>
      <c r="W1751" s="22" t="s">
        <v>49</v>
      </c>
      <c r="X1751" s="3"/>
      <c r="Y1751" s="3" t="s">
        <v>7398</v>
      </c>
      <c r="Z1751" s="3" t="s">
        <v>52</v>
      </c>
      <c r="AA1751" s="3"/>
      <c r="AB1751" s="3"/>
      <c r="AC1751" s="3" t="str">
        <f>HYPERLINK("https://knigipp.ru/api/getInfo/image/634f79d8-66a8-11ee-a245-00155d82e902")</f>
        <v>https://knigipp.ru/api/getInfo/image/634f79d8-66a8-11ee-a245-00155d82e902</v>
      </c>
      <c r="AD1751" s="32">
        <v>16</v>
      </c>
      <c r="AE1751" s="3"/>
      <c r="AF1751" s="3" t="s">
        <v>136</v>
      </c>
      <c r="AG1751" s="3"/>
      <c r="AH1751" s="3" t="s">
        <v>56</v>
      </c>
      <c r="AI1751" s="3"/>
      <c r="AJ1751" s="3"/>
      <c r="AK1751" s="3" t="str">
        <f>HYPERLINK("https://knigipp.ru/api/getInfo/item/634f79d8-66a8-11ee-a245-00155d82e902")</f>
        <v>https://knigipp.ru/api/getInfo/item/634f79d8-66a8-11ee-a245-00155d82e902</v>
      </c>
      <c r="AL1751" s="3" t="s">
        <v>1155</v>
      </c>
    </row>
    <row r="1752" spans="1:38" ht="21" customHeight="1" outlineLevel="4" x14ac:dyDescent="0.2">
      <c r="A1752" s="39">
        <v>1330</v>
      </c>
      <c r="B1752" s="3" t="s">
        <v>7399</v>
      </c>
      <c r="C1752" s="49" t="s">
        <v>7400</v>
      </c>
      <c r="D1752" s="49"/>
      <c r="E1752" s="49"/>
      <c r="F1752" s="49"/>
      <c r="G1752" s="4" t="s">
        <v>7401</v>
      </c>
      <c r="H1752" s="8"/>
      <c r="I1752" s="9" t="s">
        <v>7402</v>
      </c>
      <c r="J1752" s="10"/>
      <c r="K1752" s="11">
        <v>50</v>
      </c>
      <c r="L1752" s="11">
        <v>5</v>
      </c>
      <c r="M1752" s="10" t="s">
        <v>47</v>
      </c>
      <c r="N1752" s="10"/>
      <c r="O1752" s="2">
        <v>8</v>
      </c>
      <c r="P1752" s="17">
        <f>77*(1-S3/100)</f>
        <v>77</v>
      </c>
      <c r="Q1752" s="18"/>
      <c r="R1752" s="10">
        <f>P1752*Q1752</f>
        <v>0</v>
      </c>
      <c r="S1752" s="19">
        <f>0.053*Q1752</f>
        <v>0</v>
      </c>
      <c r="T1752" s="20">
        <f>0.00033*Q1752</f>
        <v>0</v>
      </c>
      <c r="U1752" s="21"/>
      <c r="V1752" s="22" t="s">
        <v>7403</v>
      </c>
      <c r="W1752" s="22" t="s">
        <v>49</v>
      </c>
      <c r="X1752" s="3"/>
      <c r="Y1752" s="3" t="s">
        <v>7404</v>
      </c>
      <c r="Z1752" s="3" t="s">
        <v>52</v>
      </c>
      <c r="AA1752" s="3"/>
      <c r="AB1752" s="3"/>
      <c r="AC1752" s="3" t="str">
        <f>HYPERLINK("https://knigipp.ru/api/getInfo/image/83d51abf-66a8-11ee-a245-00155d82e902")</f>
        <v>https://knigipp.ru/api/getInfo/image/83d51abf-66a8-11ee-a245-00155d82e902</v>
      </c>
      <c r="AD1752" s="32">
        <v>16</v>
      </c>
      <c r="AE1752" s="3"/>
      <c r="AF1752" s="3" t="s">
        <v>136</v>
      </c>
      <c r="AG1752" s="3"/>
      <c r="AH1752" s="3" t="s">
        <v>56</v>
      </c>
      <c r="AI1752" s="3"/>
      <c r="AJ1752" s="3"/>
      <c r="AK1752" s="3" t="str">
        <f>HYPERLINK("https://knigipp.ru/api/getInfo/item/83d51abf-66a8-11ee-a245-00155d82e902")</f>
        <v>https://knigipp.ru/api/getInfo/item/83d51abf-66a8-11ee-a245-00155d82e902</v>
      </c>
      <c r="AL1752" s="3" t="s">
        <v>1155</v>
      </c>
    </row>
    <row r="1753" spans="1:38" ht="21" customHeight="1" outlineLevel="4" x14ac:dyDescent="0.2">
      <c r="A1753" s="39">
        <v>1331</v>
      </c>
      <c r="B1753" s="3" t="s">
        <v>7405</v>
      </c>
      <c r="C1753" s="49" t="s">
        <v>7406</v>
      </c>
      <c r="D1753" s="49"/>
      <c r="E1753" s="49"/>
      <c r="F1753" s="49"/>
      <c r="G1753" s="4" t="s">
        <v>7407</v>
      </c>
      <c r="H1753" s="8"/>
      <c r="I1753" s="9" t="s">
        <v>7408</v>
      </c>
      <c r="J1753" s="10"/>
      <c r="K1753" s="11">
        <v>50</v>
      </c>
      <c r="L1753" s="11">
        <v>5</v>
      </c>
      <c r="M1753" s="10" t="s">
        <v>47</v>
      </c>
      <c r="N1753" s="10"/>
      <c r="O1753" s="2">
        <v>8</v>
      </c>
      <c r="P1753" s="17">
        <f>77*(1-S3/100)</f>
        <v>77</v>
      </c>
      <c r="Q1753" s="18"/>
      <c r="R1753" s="10">
        <f>P1753*Q1753</f>
        <v>0</v>
      </c>
      <c r="S1753" s="19">
        <f>0.061*Q1753</f>
        <v>0</v>
      </c>
      <c r="T1753" s="20">
        <f>0.00017*Q1753</f>
        <v>0</v>
      </c>
      <c r="U1753" s="21"/>
      <c r="V1753" s="22" t="s">
        <v>7409</v>
      </c>
      <c r="W1753" s="22" t="s">
        <v>49</v>
      </c>
      <c r="X1753" s="3"/>
      <c r="Y1753" s="3" t="s">
        <v>7410</v>
      </c>
      <c r="Z1753" s="3" t="s">
        <v>52</v>
      </c>
      <c r="AA1753" s="3"/>
      <c r="AB1753" s="3"/>
      <c r="AC1753" s="3" t="str">
        <f>HYPERLINK("https://knigipp.ru/api/getInfo/image/a68b0afa-66a8-11ee-a245-00155d82e902")</f>
        <v>https://knigipp.ru/api/getInfo/image/a68b0afa-66a8-11ee-a245-00155d82e902</v>
      </c>
      <c r="AD1753" s="32">
        <v>16</v>
      </c>
      <c r="AE1753" s="3"/>
      <c r="AF1753" s="3" t="s">
        <v>136</v>
      </c>
      <c r="AG1753" s="3"/>
      <c r="AH1753" s="3" t="s">
        <v>56</v>
      </c>
      <c r="AI1753" s="3"/>
      <c r="AJ1753" s="3"/>
      <c r="AK1753" s="3" t="str">
        <f>HYPERLINK("https://knigipp.ru/api/getInfo/item/a68b0afa-66a8-11ee-a245-00155d82e902")</f>
        <v>https://knigipp.ru/api/getInfo/item/a68b0afa-66a8-11ee-a245-00155d82e902</v>
      </c>
      <c r="AL1753" s="3" t="s">
        <v>1155</v>
      </c>
    </row>
    <row r="1754" spans="1:38" ht="23.1" customHeight="1" outlineLevel="3" x14ac:dyDescent="0.2">
      <c r="A1754" s="48" t="s">
        <v>7411</v>
      </c>
      <c r="B1754" s="48"/>
      <c r="C1754" s="48"/>
      <c r="D1754" s="48"/>
      <c r="E1754" s="48"/>
      <c r="F1754" s="48"/>
    </row>
    <row r="1755" spans="1:38" ht="21" customHeight="1" outlineLevel="4" x14ac:dyDescent="0.2">
      <c r="A1755" s="39">
        <v>1332</v>
      </c>
      <c r="B1755" s="3" t="s">
        <v>7412</v>
      </c>
      <c r="C1755" s="49" t="s">
        <v>7413</v>
      </c>
      <c r="D1755" s="49"/>
      <c r="E1755" s="49"/>
      <c r="F1755" s="49"/>
      <c r="G1755" s="4" t="s">
        <v>7414</v>
      </c>
      <c r="H1755" s="8"/>
      <c r="I1755" s="9" t="s">
        <v>7415</v>
      </c>
      <c r="J1755" s="10"/>
      <c r="K1755" s="11">
        <v>20</v>
      </c>
      <c r="L1755" s="10"/>
      <c r="M1755" s="10" t="s">
        <v>47</v>
      </c>
      <c r="N1755" s="10"/>
      <c r="O1755" s="2">
        <v>3</v>
      </c>
      <c r="P1755" s="17">
        <f>199*(1-S3/100)</f>
        <v>199</v>
      </c>
      <c r="Q1755" s="18"/>
      <c r="R1755" s="10">
        <f t="shared" ref="R1755:R1762" si="73">P1755*Q1755</f>
        <v>0</v>
      </c>
      <c r="S1755" s="28">
        <f>0.23*Q1755</f>
        <v>0</v>
      </c>
      <c r="T1755" s="20">
        <f>0.00292*Q1755</f>
        <v>0</v>
      </c>
      <c r="U1755" s="21"/>
      <c r="V1755" s="22" t="s">
        <v>7416</v>
      </c>
      <c r="W1755" s="22" t="s">
        <v>49</v>
      </c>
      <c r="X1755" s="3"/>
      <c r="Y1755" s="3"/>
      <c r="Z1755" s="3" t="s">
        <v>52</v>
      </c>
      <c r="AA1755" s="3"/>
      <c r="AB1755" s="3"/>
      <c r="AC1755" s="3" t="str">
        <f>HYPERLINK("https://knigipp.ru/api/getInfo/image/334371c7-0a5e-11ec-a20e-ac1f6b442185")</f>
        <v>https://knigipp.ru/api/getInfo/image/334371c7-0a5e-11ec-a20e-ac1f6b442185</v>
      </c>
      <c r="AD1755" s="3"/>
      <c r="AE1755" s="3"/>
      <c r="AF1755" s="3"/>
      <c r="AG1755" s="3"/>
      <c r="AH1755" s="3" t="s">
        <v>56</v>
      </c>
      <c r="AI1755" s="3"/>
      <c r="AJ1755" s="3"/>
      <c r="AK1755" s="3" t="str">
        <f>HYPERLINK("https://knigipp.ru/api/getInfo/item/334371c7-0a5e-11ec-a20e-ac1f6b442185")</f>
        <v>https://knigipp.ru/api/getInfo/item/334371c7-0a5e-11ec-a20e-ac1f6b442185</v>
      </c>
      <c r="AL1755" s="3" t="s">
        <v>7417</v>
      </c>
    </row>
    <row r="1756" spans="1:38" ht="21" customHeight="1" outlineLevel="4" x14ac:dyDescent="0.2">
      <c r="A1756" s="39">
        <v>1333</v>
      </c>
      <c r="B1756" s="3" t="s">
        <v>7418</v>
      </c>
      <c r="C1756" s="49" t="s">
        <v>7419</v>
      </c>
      <c r="D1756" s="49"/>
      <c r="E1756" s="49"/>
      <c r="F1756" s="49"/>
      <c r="G1756" s="4" t="s">
        <v>7420</v>
      </c>
      <c r="H1756" s="8"/>
      <c r="I1756" s="9" t="s">
        <v>7415</v>
      </c>
      <c r="J1756" s="10"/>
      <c r="K1756" s="11">
        <v>20</v>
      </c>
      <c r="L1756" s="10"/>
      <c r="M1756" s="10" t="s">
        <v>304</v>
      </c>
      <c r="N1756" s="10"/>
      <c r="O1756" s="2">
        <v>3</v>
      </c>
      <c r="P1756" s="17">
        <f>199*(1-S3/100)</f>
        <v>199</v>
      </c>
      <c r="Q1756" s="18"/>
      <c r="R1756" s="10">
        <f t="shared" si="73"/>
        <v>0</v>
      </c>
      <c r="S1756" s="28">
        <f>0.23*Q1756</f>
        <v>0</v>
      </c>
      <c r="T1756" s="20">
        <f>0.00292*Q1756</f>
        <v>0</v>
      </c>
      <c r="U1756" s="21"/>
      <c r="V1756" s="22" t="s">
        <v>7421</v>
      </c>
      <c r="W1756" s="22" t="s">
        <v>49</v>
      </c>
      <c r="X1756" s="3"/>
      <c r="Y1756" s="3"/>
      <c r="Z1756" s="3" t="s">
        <v>52</v>
      </c>
      <c r="AA1756" s="3"/>
      <c r="AB1756" s="3"/>
      <c r="AC1756" s="3" t="str">
        <f>HYPERLINK("https://knigipp.ru/api/getInfo/image/b43c86cf-0a5d-11ec-a20e-ac1f6b442185")</f>
        <v>https://knigipp.ru/api/getInfo/image/b43c86cf-0a5d-11ec-a20e-ac1f6b442185</v>
      </c>
      <c r="AD1756" s="3"/>
      <c r="AE1756" s="3"/>
      <c r="AF1756" s="3"/>
      <c r="AG1756" s="3"/>
      <c r="AH1756" s="3" t="s">
        <v>56</v>
      </c>
      <c r="AI1756" s="3"/>
      <c r="AJ1756" s="3"/>
      <c r="AK1756" s="3" t="str">
        <f>HYPERLINK("https://knigipp.ru/api/getInfo/item/b43c86cf-0a5d-11ec-a20e-ac1f6b442185")</f>
        <v>https://knigipp.ru/api/getInfo/item/b43c86cf-0a5d-11ec-a20e-ac1f6b442185</v>
      </c>
      <c r="AL1756" s="3" t="s">
        <v>7417</v>
      </c>
    </row>
    <row r="1757" spans="1:38" ht="21" customHeight="1" outlineLevel="4" x14ac:dyDescent="0.2">
      <c r="A1757" s="39">
        <v>1334</v>
      </c>
      <c r="B1757" s="3" t="s">
        <v>7422</v>
      </c>
      <c r="C1757" s="49" t="s">
        <v>7423</v>
      </c>
      <c r="D1757" s="49"/>
      <c r="E1757" s="49"/>
      <c r="F1757" s="49"/>
      <c r="G1757" s="4" t="s">
        <v>7424</v>
      </c>
      <c r="H1757" s="8"/>
      <c r="I1757" s="9" t="s">
        <v>7415</v>
      </c>
      <c r="J1757" s="10"/>
      <c r="K1757" s="11">
        <v>20</v>
      </c>
      <c r="L1757" s="10"/>
      <c r="M1757" s="10" t="s">
        <v>47</v>
      </c>
      <c r="N1757" s="10"/>
      <c r="O1757" s="2">
        <v>3</v>
      </c>
      <c r="P1757" s="17">
        <f>199*(1-S3/100)</f>
        <v>199</v>
      </c>
      <c r="Q1757" s="18"/>
      <c r="R1757" s="10">
        <f t="shared" si="73"/>
        <v>0</v>
      </c>
      <c r="S1757" s="19">
        <f>0.183*Q1757</f>
        <v>0</v>
      </c>
      <c r="T1757" s="30">
        <f>0.0035*Q1757</f>
        <v>0</v>
      </c>
      <c r="U1757" s="21"/>
      <c r="V1757" s="22" t="s">
        <v>7425</v>
      </c>
      <c r="W1757" s="22" t="s">
        <v>49</v>
      </c>
      <c r="X1757" s="3"/>
      <c r="Y1757" s="3"/>
      <c r="Z1757" s="3" t="s">
        <v>52</v>
      </c>
      <c r="AA1757" s="3"/>
      <c r="AB1757" s="3"/>
      <c r="AC1757" s="3" t="str">
        <f>HYPERLINK("https://knigipp.ru/api/getInfo/image/52003c79-7b61-11eb-a275-ac1f6b442184")</f>
        <v>https://knigipp.ru/api/getInfo/image/52003c79-7b61-11eb-a275-ac1f6b442184</v>
      </c>
      <c r="AD1757" s="3"/>
      <c r="AE1757" s="3"/>
      <c r="AF1757" s="3"/>
      <c r="AG1757" s="3"/>
      <c r="AH1757" s="3" t="s">
        <v>56</v>
      </c>
      <c r="AI1757" s="3"/>
      <c r="AJ1757" s="3"/>
      <c r="AK1757" s="3" t="str">
        <f>HYPERLINK("https://knigipp.ru/api/getInfo/item/52003c79-7b61-11eb-a275-ac1f6b442184")</f>
        <v>https://knigipp.ru/api/getInfo/item/52003c79-7b61-11eb-a275-ac1f6b442184</v>
      </c>
      <c r="AL1757" s="3" t="s">
        <v>7417</v>
      </c>
    </row>
    <row r="1758" spans="1:38" ht="21" customHeight="1" outlineLevel="4" x14ac:dyDescent="0.2">
      <c r="A1758" s="39">
        <v>1335</v>
      </c>
      <c r="B1758" s="3" t="s">
        <v>7426</v>
      </c>
      <c r="C1758" s="49" t="s">
        <v>7427</v>
      </c>
      <c r="D1758" s="49"/>
      <c r="E1758" s="49"/>
      <c r="F1758" s="49"/>
      <c r="G1758" s="4" t="s">
        <v>7428</v>
      </c>
      <c r="H1758" s="8"/>
      <c r="I1758" s="9" t="s">
        <v>7415</v>
      </c>
      <c r="J1758" s="10"/>
      <c r="K1758" s="11">
        <v>20</v>
      </c>
      <c r="L1758" s="10"/>
      <c r="M1758" s="10" t="s">
        <v>47</v>
      </c>
      <c r="N1758" s="10"/>
      <c r="O1758" s="2">
        <v>3</v>
      </c>
      <c r="P1758" s="17">
        <f>199*(1-S3/100)</f>
        <v>199</v>
      </c>
      <c r="Q1758" s="18"/>
      <c r="R1758" s="10">
        <f t="shared" si="73"/>
        <v>0</v>
      </c>
      <c r="S1758" s="28">
        <f>0.23*Q1758</f>
        <v>0</v>
      </c>
      <c r="T1758" s="20">
        <f>0.00292*Q1758</f>
        <v>0</v>
      </c>
      <c r="U1758" s="21"/>
      <c r="V1758" s="22" t="s">
        <v>7429</v>
      </c>
      <c r="W1758" s="22" t="s">
        <v>49</v>
      </c>
      <c r="X1758" s="3"/>
      <c r="Y1758" s="3"/>
      <c r="Z1758" s="3" t="s">
        <v>52</v>
      </c>
      <c r="AA1758" s="3"/>
      <c r="AB1758" s="3"/>
      <c r="AC1758" s="3" t="str">
        <f>HYPERLINK("https://knigipp.ru/api/getInfo/image/2d67e0e0-7b61-11eb-a275-ac1f6b442184")</f>
        <v>https://knigipp.ru/api/getInfo/image/2d67e0e0-7b61-11eb-a275-ac1f6b442184</v>
      </c>
      <c r="AD1758" s="3"/>
      <c r="AE1758" s="3"/>
      <c r="AF1758" s="3"/>
      <c r="AG1758" s="3"/>
      <c r="AH1758" s="3" t="s">
        <v>56</v>
      </c>
      <c r="AI1758" s="3"/>
      <c r="AJ1758" s="3"/>
      <c r="AK1758" s="3" t="str">
        <f>HYPERLINK("https://knigipp.ru/api/getInfo/item/2d67e0e0-7b61-11eb-a275-ac1f6b442184")</f>
        <v>https://knigipp.ru/api/getInfo/item/2d67e0e0-7b61-11eb-a275-ac1f6b442184</v>
      </c>
      <c r="AL1758" s="3" t="s">
        <v>7417</v>
      </c>
    </row>
    <row r="1759" spans="1:38" ht="21" customHeight="1" outlineLevel="4" x14ac:dyDescent="0.2">
      <c r="A1759" s="39">
        <v>1336</v>
      </c>
      <c r="B1759" s="3" t="s">
        <v>7430</v>
      </c>
      <c r="C1759" s="49" t="s">
        <v>7431</v>
      </c>
      <c r="D1759" s="49"/>
      <c r="E1759" s="49"/>
      <c r="F1759" s="49"/>
      <c r="G1759" s="4" t="s">
        <v>7432</v>
      </c>
      <c r="H1759" s="8"/>
      <c r="I1759" s="9" t="s">
        <v>7415</v>
      </c>
      <c r="J1759" s="10"/>
      <c r="K1759" s="11">
        <v>20</v>
      </c>
      <c r="L1759" s="10"/>
      <c r="M1759" s="10" t="s">
        <v>47</v>
      </c>
      <c r="N1759" s="10"/>
      <c r="O1759" s="2">
        <v>3</v>
      </c>
      <c r="P1759" s="17">
        <f>199*(1-S3/100)</f>
        <v>199</v>
      </c>
      <c r="Q1759" s="18"/>
      <c r="R1759" s="10">
        <f t="shared" si="73"/>
        <v>0</v>
      </c>
      <c r="S1759" s="19">
        <f>0.189*Q1759</f>
        <v>0</v>
      </c>
      <c r="T1759" s="20">
        <f>0.00345*Q1759</f>
        <v>0</v>
      </c>
      <c r="U1759" s="21"/>
      <c r="V1759" s="22" t="s">
        <v>7433</v>
      </c>
      <c r="W1759" s="22" t="s">
        <v>49</v>
      </c>
      <c r="X1759" s="3"/>
      <c r="Y1759" s="3"/>
      <c r="Z1759" s="3" t="s">
        <v>52</v>
      </c>
      <c r="AA1759" s="3"/>
      <c r="AB1759" s="3"/>
      <c r="AC1759" s="3" t="str">
        <f>HYPERLINK("https://knigipp.ru/api/getInfo/image/fcc2141d-7b60-11eb-a275-ac1f6b442184")</f>
        <v>https://knigipp.ru/api/getInfo/image/fcc2141d-7b60-11eb-a275-ac1f6b442184</v>
      </c>
      <c r="AD1759" s="3"/>
      <c r="AE1759" s="3"/>
      <c r="AF1759" s="3"/>
      <c r="AG1759" s="3"/>
      <c r="AH1759" s="3" t="s">
        <v>56</v>
      </c>
      <c r="AI1759" s="3"/>
      <c r="AJ1759" s="3"/>
      <c r="AK1759" s="3" t="str">
        <f>HYPERLINK("https://knigipp.ru/api/getInfo/item/fcc2141d-7b60-11eb-a275-ac1f6b442184")</f>
        <v>https://knigipp.ru/api/getInfo/item/fcc2141d-7b60-11eb-a275-ac1f6b442184</v>
      </c>
      <c r="AL1759" s="3" t="s">
        <v>7417</v>
      </c>
    </row>
    <row r="1760" spans="1:38" ht="21" customHeight="1" outlineLevel="4" x14ac:dyDescent="0.2">
      <c r="A1760" s="39">
        <v>1337</v>
      </c>
      <c r="B1760" s="3" t="s">
        <v>7434</v>
      </c>
      <c r="C1760" s="49" t="s">
        <v>7435</v>
      </c>
      <c r="D1760" s="49"/>
      <c r="E1760" s="49"/>
      <c r="F1760" s="49"/>
      <c r="G1760" s="4" t="s">
        <v>7436</v>
      </c>
      <c r="H1760" s="8"/>
      <c r="I1760" s="9" t="s">
        <v>7415</v>
      </c>
      <c r="J1760" s="10"/>
      <c r="K1760" s="11">
        <v>20</v>
      </c>
      <c r="L1760" s="10"/>
      <c r="M1760" s="10" t="s">
        <v>47</v>
      </c>
      <c r="N1760" s="10"/>
      <c r="O1760" s="2">
        <v>3</v>
      </c>
      <c r="P1760" s="17">
        <f>199*(1-S3/100)</f>
        <v>199</v>
      </c>
      <c r="Q1760" s="18"/>
      <c r="R1760" s="10">
        <f t="shared" si="73"/>
        <v>0</v>
      </c>
      <c r="S1760" s="19">
        <f>0.186*Q1760</f>
        <v>0</v>
      </c>
      <c r="T1760" s="20">
        <f>0.00348*Q1760</f>
        <v>0</v>
      </c>
      <c r="U1760" s="21"/>
      <c r="V1760" s="22" t="s">
        <v>7437</v>
      </c>
      <c r="W1760" s="22" t="s">
        <v>49</v>
      </c>
      <c r="X1760" s="3"/>
      <c r="Y1760" s="3"/>
      <c r="Z1760" s="3" t="s">
        <v>52</v>
      </c>
      <c r="AA1760" s="3"/>
      <c r="AB1760" s="3"/>
      <c r="AC1760" s="3" t="str">
        <f>HYPERLINK("https://knigipp.ru/api/getInfo/image/0c6c672a-0a5e-11ec-a20e-ac1f6b442185")</f>
        <v>https://knigipp.ru/api/getInfo/image/0c6c672a-0a5e-11ec-a20e-ac1f6b442185</v>
      </c>
      <c r="AD1760" s="3"/>
      <c r="AE1760" s="3"/>
      <c r="AF1760" s="3"/>
      <c r="AG1760" s="3"/>
      <c r="AH1760" s="3" t="s">
        <v>56</v>
      </c>
      <c r="AI1760" s="3"/>
      <c r="AJ1760" s="3"/>
      <c r="AK1760" s="3" t="str">
        <f>HYPERLINK("https://knigipp.ru/api/getInfo/item/0c6c672a-0a5e-11ec-a20e-ac1f6b442185")</f>
        <v>https://knigipp.ru/api/getInfo/item/0c6c672a-0a5e-11ec-a20e-ac1f6b442185</v>
      </c>
      <c r="AL1760" s="3" t="s">
        <v>7417</v>
      </c>
    </row>
    <row r="1761" spans="1:38" ht="21" customHeight="1" outlineLevel="4" x14ac:dyDescent="0.2">
      <c r="A1761" s="39">
        <v>1338</v>
      </c>
      <c r="B1761" s="3" t="s">
        <v>7438</v>
      </c>
      <c r="C1761" s="49" t="s">
        <v>7439</v>
      </c>
      <c r="D1761" s="49"/>
      <c r="E1761" s="49"/>
      <c r="F1761" s="49"/>
      <c r="G1761" s="4" t="s">
        <v>7440</v>
      </c>
      <c r="H1761" s="8"/>
      <c r="I1761" s="9" t="s">
        <v>7415</v>
      </c>
      <c r="J1761" s="10"/>
      <c r="K1761" s="11">
        <v>20</v>
      </c>
      <c r="L1761" s="10"/>
      <c r="M1761" s="10" t="s">
        <v>304</v>
      </c>
      <c r="N1761" s="10"/>
      <c r="O1761" s="2">
        <v>3</v>
      </c>
      <c r="P1761" s="17">
        <f>199*(1-S3/100)</f>
        <v>199</v>
      </c>
      <c r="Q1761" s="18"/>
      <c r="R1761" s="10">
        <f t="shared" si="73"/>
        <v>0</v>
      </c>
      <c r="S1761" s="28">
        <f>0.23*Q1761</f>
        <v>0</v>
      </c>
      <c r="T1761" s="20">
        <f>0.00292*Q1761</f>
        <v>0</v>
      </c>
      <c r="U1761" s="21"/>
      <c r="V1761" s="22" t="s">
        <v>7441</v>
      </c>
      <c r="W1761" s="22" t="s">
        <v>49</v>
      </c>
      <c r="X1761" s="3"/>
      <c r="Y1761" s="3"/>
      <c r="Z1761" s="3" t="s">
        <v>52</v>
      </c>
      <c r="AA1761" s="3"/>
      <c r="AB1761" s="3"/>
      <c r="AC1761" s="3" t="str">
        <f>HYPERLINK("https://knigipp.ru/api/getInfo/image/c6dddc9e-7b60-11eb-a275-ac1f6b442184")</f>
        <v>https://knigipp.ru/api/getInfo/image/c6dddc9e-7b60-11eb-a275-ac1f6b442184</v>
      </c>
      <c r="AD1761" s="3"/>
      <c r="AE1761" s="3"/>
      <c r="AF1761" s="3"/>
      <c r="AG1761" s="3"/>
      <c r="AH1761" s="3" t="s">
        <v>56</v>
      </c>
      <c r="AI1761" s="3"/>
      <c r="AJ1761" s="3"/>
      <c r="AK1761" s="3" t="str">
        <f>HYPERLINK("https://knigipp.ru/api/getInfo/item/c6dddc9e-7b60-11eb-a275-ac1f6b442184")</f>
        <v>https://knigipp.ru/api/getInfo/item/c6dddc9e-7b60-11eb-a275-ac1f6b442184</v>
      </c>
      <c r="AL1761" s="3" t="s">
        <v>7417</v>
      </c>
    </row>
    <row r="1762" spans="1:38" ht="21" customHeight="1" outlineLevel="4" x14ac:dyDescent="0.2">
      <c r="A1762" s="39">
        <v>1339</v>
      </c>
      <c r="B1762" s="3" t="s">
        <v>7442</v>
      </c>
      <c r="C1762" s="49" t="s">
        <v>7443</v>
      </c>
      <c r="D1762" s="49"/>
      <c r="E1762" s="49"/>
      <c r="F1762" s="49"/>
      <c r="G1762" s="4" t="s">
        <v>7444</v>
      </c>
      <c r="H1762" s="8"/>
      <c r="I1762" s="9" t="s">
        <v>7415</v>
      </c>
      <c r="J1762" s="10"/>
      <c r="K1762" s="11">
        <v>20</v>
      </c>
      <c r="L1762" s="10"/>
      <c r="M1762" s="10" t="s">
        <v>78</v>
      </c>
      <c r="N1762" s="10"/>
      <c r="O1762" s="2">
        <v>3</v>
      </c>
      <c r="P1762" s="17">
        <f>199*(1-S3/100)</f>
        <v>199</v>
      </c>
      <c r="Q1762" s="18"/>
      <c r="R1762" s="10">
        <f t="shared" si="73"/>
        <v>0</v>
      </c>
      <c r="S1762" s="19">
        <f>0.183*Q1762</f>
        <v>0</v>
      </c>
      <c r="T1762" s="30">
        <f>0.0034*Q1762</f>
        <v>0</v>
      </c>
      <c r="U1762" s="21"/>
      <c r="V1762" s="22" t="s">
        <v>7445</v>
      </c>
      <c r="W1762" s="22" t="s">
        <v>49</v>
      </c>
      <c r="X1762" s="3"/>
      <c r="Y1762" s="3"/>
      <c r="Z1762" s="3" t="s">
        <v>52</v>
      </c>
      <c r="AA1762" s="3"/>
      <c r="AB1762" s="3"/>
      <c r="AC1762" s="3" t="str">
        <f>HYPERLINK("https://knigipp.ru/api/getInfo/image/e95d6439-0a5d-11ec-a20e-ac1f6b442185")</f>
        <v>https://knigipp.ru/api/getInfo/image/e95d6439-0a5d-11ec-a20e-ac1f6b442185</v>
      </c>
      <c r="AD1762" s="3"/>
      <c r="AE1762" s="3"/>
      <c r="AF1762" s="3"/>
      <c r="AG1762" s="3"/>
      <c r="AH1762" s="3" t="s">
        <v>56</v>
      </c>
      <c r="AI1762" s="3"/>
      <c r="AJ1762" s="3"/>
      <c r="AK1762" s="3" t="str">
        <f>HYPERLINK("https://knigipp.ru/api/getInfo/item/e95d6439-0a5d-11ec-a20e-ac1f6b442185")</f>
        <v>https://knigipp.ru/api/getInfo/item/e95d6439-0a5d-11ec-a20e-ac1f6b442185</v>
      </c>
      <c r="AL1762" s="3" t="s">
        <v>7417</v>
      </c>
    </row>
    <row r="1763" spans="1:38" ht="23.1" customHeight="1" outlineLevel="3" x14ac:dyDescent="0.2">
      <c r="A1763" s="48" t="s">
        <v>7446</v>
      </c>
      <c r="B1763" s="48"/>
      <c r="C1763" s="48"/>
      <c r="D1763" s="48"/>
      <c r="E1763" s="48"/>
      <c r="F1763" s="48"/>
    </row>
    <row r="1764" spans="1:38" ht="21" customHeight="1" outlineLevel="4" x14ac:dyDescent="0.2">
      <c r="A1764" s="39">
        <v>1340</v>
      </c>
      <c r="B1764" s="3" t="s">
        <v>7447</v>
      </c>
      <c r="C1764" s="49" t="s">
        <v>7448</v>
      </c>
      <c r="D1764" s="49"/>
      <c r="E1764" s="49"/>
      <c r="F1764" s="49"/>
      <c r="G1764" s="4" t="s">
        <v>7449</v>
      </c>
      <c r="H1764" s="8"/>
      <c r="I1764" s="9" t="s">
        <v>7450</v>
      </c>
      <c r="J1764" s="10"/>
      <c r="K1764" s="11">
        <v>30</v>
      </c>
      <c r="L1764" s="10"/>
      <c r="M1764" s="10" t="s">
        <v>47</v>
      </c>
      <c r="N1764" s="10"/>
      <c r="O1764" s="2">
        <v>20</v>
      </c>
      <c r="P1764" s="17">
        <f>34.9*(1-S3/100)</f>
        <v>34.9</v>
      </c>
      <c r="Q1764" s="18"/>
      <c r="R1764" s="10">
        <f>P1764*Q1764</f>
        <v>0</v>
      </c>
      <c r="S1764" s="19">
        <f>0.036*Q1764</f>
        <v>0</v>
      </c>
      <c r="T1764" s="20">
        <f>0.00008*Q1764</f>
        <v>0</v>
      </c>
      <c r="U1764" s="21"/>
      <c r="V1764" s="22" t="s">
        <v>7451</v>
      </c>
      <c r="W1764" s="22" t="s">
        <v>49</v>
      </c>
      <c r="X1764" s="3"/>
      <c r="Y1764" s="3"/>
      <c r="Z1764" s="3" t="s">
        <v>52</v>
      </c>
      <c r="AA1764" s="3"/>
      <c r="AB1764" s="3"/>
      <c r="AC1764" s="3" t="str">
        <f>HYPERLINK("https://knigipp.ru/api/getInfo/image/bf656c17-b83c-11ed-a230-00155d82e902")</f>
        <v>https://knigipp.ru/api/getInfo/image/bf656c17-b83c-11ed-a230-00155d82e902</v>
      </c>
      <c r="AD1764" s="32">
        <v>12</v>
      </c>
      <c r="AE1764" s="3"/>
      <c r="AF1764" s="3" t="s">
        <v>136</v>
      </c>
      <c r="AG1764" s="3"/>
      <c r="AH1764" s="3" t="s">
        <v>56</v>
      </c>
      <c r="AI1764" s="3"/>
      <c r="AJ1764" s="3"/>
      <c r="AK1764" s="3" t="str">
        <f>HYPERLINK("https://knigipp.ru/api/getInfo/item/bf656c17-b83c-11ed-a230-00155d82e902")</f>
        <v>https://knigipp.ru/api/getInfo/item/bf656c17-b83c-11ed-a230-00155d82e902</v>
      </c>
      <c r="AL1764" s="3" t="s">
        <v>7452</v>
      </c>
    </row>
    <row r="1765" spans="1:38" ht="21" customHeight="1" outlineLevel="4" x14ac:dyDescent="0.2">
      <c r="A1765" s="39">
        <v>1341</v>
      </c>
      <c r="B1765" s="3" t="s">
        <v>7453</v>
      </c>
      <c r="C1765" s="49" t="s">
        <v>7454</v>
      </c>
      <c r="D1765" s="49"/>
      <c r="E1765" s="49"/>
      <c r="F1765" s="49"/>
      <c r="G1765" s="4" t="s">
        <v>7455</v>
      </c>
      <c r="H1765" s="8"/>
      <c r="I1765" s="9" t="s">
        <v>7450</v>
      </c>
      <c r="J1765" s="10"/>
      <c r="K1765" s="11">
        <v>30</v>
      </c>
      <c r="L1765" s="10"/>
      <c r="M1765" s="10" t="s">
        <v>47</v>
      </c>
      <c r="N1765" s="10"/>
      <c r="O1765" s="2">
        <v>20</v>
      </c>
      <c r="P1765" s="17">
        <f>34.9*(1-S3/100)</f>
        <v>34.9</v>
      </c>
      <c r="Q1765" s="18"/>
      <c r="R1765" s="10">
        <f>P1765*Q1765</f>
        <v>0</v>
      </c>
      <c r="S1765" s="19">
        <f>0.036*Q1765</f>
        <v>0</v>
      </c>
      <c r="T1765" s="20">
        <f>0.00008*Q1765</f>
        <v>0</v>
      </c>
      <c r="U1765" s="21"/>
      <c r="V1765" s="22" t="s">
        <v>7456</v>
      </c>
      <c r="W1765" s="22" t="s">
        <v>49</v>
      </c>
      <c r="X1765" s="3"/>
      <c r="Y1765" s="3"/>
      <c r="Z1765" s="3" t="s">
        <v>52</v>
      </c>
      <c r="AA1765" s="3"/>
      <c r="AB1765" s="3"/>
      <c r="AC1765" s="3" t="str">
        <f>HYPERLINK("https://knigipp.ru/api/getInfo/image/e5c92695-b83c-11ed-a230-00155d82e902")</f>
        <v>https://knigipp.ru/api/getInfo/image/e5c92695-b83c-11ed-a230-00155d82e902</v>
      </c>
      <c r="AD1765" s="32">
        <v>12</v>
      </c>
      <c r="AE1765" s="3"/>
      <c r="AF1765" s="3" t="s">
        <v>136</v>
      </c>
      <c r="AG1765" s="3"/>
      <c r="AH1765" s="3" t="s">
        <v>56</v>
      </c>
      <c r="AI1765" s="3"/>
      <c r="AJ1765" s="3"/>
      <c r="AK1765" s="3" t="str">
        <f>HYPERLINK("https://knigipp.ru/api/getInfo/item/e5c92695-b83c-11ed-a230-00155d82e902")</f>
        <v>https://knigipp.ru/api/getInfo/item/e5c92695-b83c-11ed-a230-00155d82e902</v>
      </c>
      <c r="AL1765" s="3" t="s">
        <v>7452</v>
      </c>
    </row>
    <row r="1766" spans="1:38" ht="21" customHeight="1" outlineLevel="4" x14ac:dyDescent="0.2">
      <c r="A1766" s="39">
        <v>1342</v>
      </c>
      <c r="B1766" s="3" t="s">
        <v>7457</v>
      </c>
      <c r="C1766" s="49" t="s">
        <v>7458</v>
      </c>
      <c r="D1766" s="49"/>
      <c r="E1766" s="49"/>
      <c r="F1766" s="49"/>
      <c r="G1766" s="4" t="s">
        <v>7459</v>
      </c>
      <c r="H1766" s="8"/>
      <c r="I1766" s="9" t="s">
        <v>7450</v>
      </c>
      <c r="J1766" s="10"/>
      <c r="K1766" s="11">
        <v>30</v>
      </c>
      <c r="L1766" s="10"/>
      <c r="M1766" s="10" t="s">
        <v>47</v>
      </c>
      <c r="N1766" s="10"/>
      <c r="O1766" s="2">
        <v>20</v>
      </c>
      <c r="P1766" s="17">
        <f>34.9*(1-S3/100)</f>
        <v>34.9</v>
      </c>
      <c r="Q1766" s="18"/>
      <c r="R1766" s="10">
        <f>P1766*Q1766</f>
        <v>0</v>
      </c>
      <c r="S1766" s="19">
        <f>0.036*Q1766</f>
        <v>0</v>
      </c>
      <c r="T1766" s="20">
        <f>0.00008*Q1766</f>
        <v>0</v>
      </c>
      <c r="U1766" s="21"/>
      <c r="V1766" s="22" t="s">
        <v>7460</v>
      </c>
      <c r="W1766" s="22" t="s">
        <v>49</v>
      </c>
      <c r="X1766" s="3"/>
      <c r="Y1766" s="3"/>
      <c r="Z1766" s="3" t="s">
        <v>52</v>
      </c>
      <c r="AA1766" s="3"/>
      <c r="AB1766" s="3"/>
      <c r="AC1766" s="3" t="str">
        <f>HYPERLINK("https://knigipp.ru/api/getInfo/image/0aeae18d-b83d-11ed-a230-00155d82e902")</f>
        <v>https://knigipp.ru/api/getInfo/image/0aeae18d-b83d-11ed-a230-00155d82e902</v>
      </c>
      <c r="AD1766" s="32">
        <v>12</v>
      </c>
      <c r="AE1766" s="3"/>
      <c r="AF1766" s="3" t="s">
        <v>136</v>
      </c>
      <c r="AG1766" s="3"/>
      <c r="AH1766" s="3" t="s">
        <v>56</v>
      </c>
      <c r="AI1766" s="3"/>
      <c r="AJ1766" s="3"/>
      <c r="AK1766" s="3" t="str">
        <f>HYPERLINK("https://knigipp.ru/api/getInfo/item/0aeae18d-b83d-11ed-a230-00155d82e902")</f>
        <v>https://knigipp.ru/api/getInfo/item/0aeae18d-b83d-11ed-a230-00155d82e902</v>
      </c>
      <c r="AL1766" s="3" t="s">
        <v>7452</v>
      </c>
    </row>
    <row r="1767" spans="1:38" ht="21" customHeight="1" outlineLevel="4" x14ac:dyDescent="0.2">
      <c r="A1767" s="39">
        <v>1343</v>
      </c>
      <c r="B1767" s="3" t="s">
        <v>7461</v>
      </c>
      <c r="C1767" s="49" t="s">
        <v>7462</v>
      </c>
      <c r="D1767" s="49"/>
      <c r="E1767" s="49"/>
      <c r="F1767" s="49"/>
      <c r="G1767" s="4" t="s">
        <v>7463</v>
      </c>
      <c r="H1767" s="8"/>
      <c r="I1767" s="9" t="s">
        <v>7450</v>
      </c>
      <c r="J1767" s="10"/>
      <c r="K1767" s="11">
        <v>30</v>
      </c>
      <c r="L1767" s="10"/>
      <c r="M1767" s="10" t="s">
        <v>47</v>
      </c>
      <c r="N1767" s="10"/>
      <c r="O1767" s="2">
        <v>20</v>
      </c>
      <c r="P1767" s="17">
        <f>34.9*(1-S3/100)</f>
        <v>34.9</v>
      </c>
      <c r="Q1767" s="18"/>
      <c r="R1767" s="10">
        <f>P1767*Q1767</f>
        <v>0</v>
      </c>
      <c r="S1767" s="10">
        <v>0</v>
      </c>
      <c r="T1767" s="10">
        <v>0</v>
      </c>
      <c r="U1767" s="21"/>
      <c r="V1767" s="22" t="s">
        <v>7464</v>
      </c>
      <c r="W1767" s="22" t="s">
        <v>49</v>
      </c>
      <c r="X1767" s="3"/>
      <c r="Y1767" s="3"/>
      <c r="Z1767" s="3" t="s">
        <v>52</v>
      </c>
      <c r="AA1767" s="3"/>
      <c r="AB1767" s="3"/>
      <c r="AC1767" s="3" t="str">
        <f>HYPERLINK("https://knigipp.ru/api/getInfo/image/7395e62f-b83c-11ed-a230-00155d82e902")</f>
        <v>https://knigipp.ru/api/getInfo/image/7395e62f-b83c-11ed-a230-00155d82e902</v>
      </c>
      <c r="AD1767" s="32">
        <v>12</v>
      </c>
      <c r="AE1767" s="3"/>
      <c r="AF1767" s="3" t="s">
        <v>136</v>
      </c>
      <c r="AG1767" s="3"/>
      <c r="AH1767" s="3" t="s">
        <v>56</v>
      </c>
      <c r="AI1767" s="3"/>
      <c r="AJ1767" s="3"/>
      <c r="AK1767" s="3" t="str">
        <f>HYPERLINK("https://knigipp.ru/api/getInfo/item/7395e62f-b83c-11ed-a230-00155d82e902")</f>
        <v>https://knigipp.ru/api/getInfo/item/7395e62f-b83c-11ed-a230-00155d82e902</v>
      </c>
      <c r="AL1767" s="3" t="s">
        <v>7452</v>
      </c>
    </row>
    <row r="1768" spans="1:38" ht="23.1" customHeight="1" outlineLevel="3" x14ac:dyDescent="0.2">
      <c r="A1768" s="48" t="s">
        <v>7465</v>
      </c>
      <c r="B1768" s="48"/>
      <c r="C1768" s="48"/>
      <c r="D1768" s="48"/>
      <c r="E1768" s="48"/>
      <c r="F1768" s="48"/>
    </row>
    <row r="1769" spans="1:38" ht="21" customHeight="1" outlineLevel="4" x14ac:dyDescent="0.2">
      <c r="A1769" s="39">
        <v>1344</v>
      </c>
      <c r="B1769" s="3" t="s">
        <v>7466</v>
      </c>
      <c r="C1769" s="49" t="s">
        <v>7467</v>
      </c>
      <c r="D1769" s="49"/>
      <c r="E1769" s="49"/>
      <c r="F1769" s="49"/>
      <c r="G1769" s="4" t="s">
        <v>7468</v>
      </c>
      <c r="H1769" s="8"/>
      <c r="I1769" s="9" t="s">
        <v>7469</v>
      </c>
      <c r="J1769" s="10"/>
      <c r="K1769" s="11">
        <v>10</v>
      </c>
      <c r="L1769" s="10"/>
      <c r="M1769" s="10" t="s">
        <v>47</v>
      </c>
      <c r="N1769" s="10"/>
      <c r="O1769" s="2">
        <v>1</v>
      </c>
      <c r="P1769" s="17">
        <f>597*(1-S3/100)</f>
        <v>597</v>
      </c>
      <c r="Q1769" s="18"/>
      <c r="R1769" s="10">
        <f>P1769*Q1769</f>
        <v>0</v>
      </c>
      <c r="S1769" s="19">
        <f>0.312*Q1769</f>
        <v>0</v>
      </c>
      <c r="T1769" s="30">
        <f>0.0006*Q1769</f>
        <v>0</v>
      </c>
      <c r="U1769" s="21"/>
      <c r="V1769" s="22" t="s">
        <v>7470</v>
      </c>
      <c r="W1769" s="22" t="s">
        <v>49</v>
      </c>
      <c r="X1769" s="3"/>
      <c r="Y1769" s="3" t="s">
        <v>7471</v>
      </c>
      <c r="Z1769" s="3" t="s">
        <v>52</v>
      </c>
      <c r="AA1769" s="3"/>
      <c r="AB1769" s="3"/>
      <c r="AC1769" s="3" t="str">
        <f>HYPERLINK("https://knigipp.ru/api/getInfo/image/e3b23deb-0e3b-11f0-a279-00155d82e908")</f>
        <v>https://knigipp.ru/api/getInfo/image/e3b23deb-0e3b-11f0-a279-00155d82e908</v>
      </c>
      <c r="AD1769" s="32">
        <v>100</v>
      </c>
      <c r="AE1769" s="3"/>
      <c r="AF1769" s="3" t="s">
        <v>741</v>
      </c>
      <c r="AG1769" s="3"/>
      <c r="AH1769" s="3" t="s">
        <v>56</v>
      </c>
      <c r="AI1769" s="3"/>
      <c r="AJ1769" s="3"/>
      <c r="AK1769" s="3" t="str">
        <f>HYPERLINK("https://knigipp.ru/api/getInfo/item/e3b23deb-0e3b-11f0-a279-00155d82e908")</f>
        <v>https://knigipp.ru/api/getInfo/item/e3b23deb-0e3b-11f0-a279-00155d82e908</v>
      </c>
      <c r="AL1769" s="3" t="s">
        <v>7472</v>
      </c>
    </row>
    <row r="1770" spans="1:38" ht="21" customHeight="1" outlineLevel="4" x14ac:dyDescent="0.2">
      <c r="A1770" s="39">
        <v>1345</v>
      </c>
      <c r="B1770" s="3" t="s">
        <v>7473</v>
      </c>
      <c r="C1770" s="49" t="s">
        <v>7474</v>
      </c>
      <c r="D1770" s="49"/>
      <c r="E1770" s="49"/>
      <c r="F1770" s="49"/>
      <c r="G1770" s="4" t="s">
        <v>7475</v>
      </c>
      <c r="H1770" s="8"/>
      <c r="I1770" s="9" t="s">
        <v>7469</v>
      </c>
      <c r="J1770" s="10"/>
      <c r="K1770" s="11">
        <v>10</v>
      </c>
      <c r="L1770" s="10"/>
      <c r="M1770" s="10" t="s">
        <v>47</v>
      </c>
      <c r="N1770" s="10"/>
      <c r="O1770" s="2">
        <v>1</v>
      </c>
      <c r="P1770" s="17">
        <f>597*(1-S3/100)</f>
        <v>597</v>
      </c>
      <c r="Q1770" s="18"/>
      <c r="R1770" s="10">
        <f>P1770*Q1770</f>
        <v>0</v>
      </c>
      <c r="S1770" s="19">
        <f>0.312*Q1770</f>
        <v>0</v>
      </c>
      <c r="T1770" s="20">
        <f>0.00061*Q1770</f>
        <v>0</v>
      </c>
      <c r="U1770" s="21"/>
      <c r="V1770" s="22" t="s">
        <v>7476</v>
      </c>
      <c r="W1770" s="22" t="s">
        <v>49</v>
      </c>
      <c r="X1770" s="3"/>
      <c r="Y1770" s="3" t="s">
        <v>7477</v>
      </c>
      <c r="Z1770" s="3" t="s">
        <v>52</v>
      </c>
      <c r="AA1770" s="3"/>
      <c r="AB1770" s="3"/>
      <c r="AC1770" s="3" t="str">
        <f>HYPERLINK("https://knigipp.ru/api/getInfo/image/1fa559dd-0e3c-11f0-a279-00155d82e908")</f>
        <v>https://knigipp.ru/api/getInfo/image/1fa559dd-0e3c-11f0-a279-00155d82e908</v>
      </c>
      <c r="AD1770" s="32">
        <v>100</v>
      </c>
      <c r="AE1770" s="3"/>
      <c r="AF1770" s="3" t="s">
        <v>741</v>
      </c>
      <c r="AG1770" s="3"/>
      <c r="AH1770" s="3" t="s">
        <v>56</v>
      </c>
      <c r="AI1770" s="3"/>
      <c r="AJ1770" s="3"/>
      <c r="AK1770" s="3" t="str">
        <f>HYPERLINK("https://knigipp.ru/api/getInfo/item/1fa559dd-0e3c-11f0-a279-00155d82e908")</f>
        <v>https://knigipp.ru/api/getInfo/item/1fa559dd-0e3c-11f0-a279-00155d82e908</v>
      </c>
      <c r="AL1770" s="3" t="s">
        <v>7478</v>
      </c>
    </row>
    <row r="1771" spans="1:38" ht="23.1" customHeight="1" outlineLevel="3" x14ac:dyDescent="0.2">
      <c r="A1771" s="48" t="s">
        <v>7479</v>
      </c>
      <c r="B1771" s="48"/>
      <c r="C1771" s="48"/>
      <c r="D1771" s="48"/>
      <c r="E1771" s="48"/>
      <c r="F1771" s="48"/>
    </row>
    <row r="1772" spans="1:38" ht="21" customHeight="1" outlineLevel="4" x14ac:dyDescent="0.2">
      <c r="A1772" s="39">
        <v>1346</v>
      </c>
      <c r="B1772" s="3" t="s">
        <v>7480</v>
      </c>
      <c r="C1772" s="49" t="s">
        <v>7481</v>
      </c>
      <c r="D1772" s="49"/>
      <c r="E1772" s="49"/>
      <c r="F1772" s="49"/>
      <c r="G1772" s="4" t="s">
        <v>7482</v>
      </c>
      <c r="H1772" s="8"/>
      <c r="I1772" s="9" t="s">
        <v>7483</v>
      </c>
      <c r="J1772" s="10"/>
      <c r="K1772" s="11">
        <v>10</v>
      </c>
      <c r="L1772" s="10"/>
      <c r="M1772" s="10" t="s">
        <v>47</v>
      </c>
      <c r="N1772" s="10"/>
      <c r="O1772" s="2">
        <v>3</v>
      </c>
      <c r="P1772" s="17">
        <f>349*(1-S3/100)</f>
        <v>349</v>
      </c>
      <c r="Q1772" s="18"/>
      <c r="R1772" s="10">
        <f t="shared" ref="R1772:R1778" si="74">P1772*Q1772</f>
        <v>0</v>
      </c>
      <c r="S1772" s="19">
        <f>0.324*Q1772</f>
        <v>0</v>
      </c>
      <c r="T1772" s="20">
        <f>0.00115*Q1772</f>
        <v>0</v>
      </c>
      <c r="U1772" s="21"/>
      <c r="V1772" s="22" t="s">
        <v>7484</v>
      </c>
      <c r="W1772" s="22" t="s">
        <v>49</v>
      </c>
      <c r="X1772" s="3"/>
      <c r="Y1772" s="3" t="s">
        <v>7485</v>
      </c>
      <c r="Z1772" s="3" t="s">
        <v>52</v>
      </c>
      <c r="AA1772" s="3"/>
      <c r="AB1772" s="3"/>
      <c r="AC1772" s="3" t="str">
        <f>HYPERLINK("https://knigipp.ru/api/getInfo/image/ed07e919-1d9a-11ef-a25e-00155d82e908")</f>
        <v>https://knigipp.ru/api/getInfo/image/ed07e919-1d9a-11ef-a25e-00155d82e908</v>
      </c>
      <c r="AD1772" s="32">
        <v>100</v>
      </c>
      <c r="AE1772" s="3"/>
      <c r="AF1772" s="3" t="s">
        <v>741</v>
      </c>
      <c r="AG1772" s="3"/>
      <c r="AH1772" s="3" t="s">
        <v>56</v>
      </c>
      <c r="AI1772" s="3"/>
      <c r="AJ1772" s="3"/>
      <c r="AK1772" s="3" t="str">
        <f>HYPERLINK("https://knigipp.ru/api/getInfo/item/ed07e919-1d9a-11ef-a25e-00155d82e908")</f>
        <v>https://knigipp.ru/api/getInfo/item/ed07e919-1d9a-11ef-a25e-00155d82e908</v>
      </c>
      <c r="AL1772" s="3" t="s">
        <v>7486</v>
      </c>
    </row>
    <row r="1773" spans="1:38" ht="21" customHeight="1" outlineLevel="4" x14ac:dyDescent="0.2">
      <c r="A1773" s="39">
        <v>1347</v>
      </c>
      <c r="B1773" s="3" t="s">
        <v>7487</v>
      </c>
      <c r="C1773" s="49" t="s">
        <v>7488</v>
      </c>
      <c r="D1773" s="49"/>
      <c r="E1773" s="49"/>
      <c r="F1773" s="49"/>
      <c r="G1773" s="4" t="s">
        <v>7489</v>
      </c>
      <c r="H1773" s="8"/>
      <c r="I1773" s="9" t="s">
        <v>7483</v>
      </c>
      <c r="J1773" s="10"/>
      <c r="K1773" s="11">
        <v>10</v>
      </c>
      <c r="L1773" s="10"/>
      <c r="M1773" s="10" t="s">
        <v>47</v>
      </c>
      <c r="N1773" s="10"/>
      <c r="O1773" s="2">
        <v>3</v>
      </c>
      <c r="P1773" s="17">
        <f>349*(1-S3/100)</f>
        <v>349</v>
      </c>
      <c r="Q1773" s="18"/>
      <c r="R1773" s="10">
        <f t="shared" si="74"/>
        <v>0</v>
      </c>
      <c r="S1773" s="19">
        <f>0.307*Q1773</f>
        <v>0</v>
      </c>
      <c r="T1773" s="20">
        <f>0.00072*Q1773</f>
        <v>0</v>
      </c>
      <c r="U1773" s="21"/>
      <c r="V1773" s="22" t="s">
        <v>7490</v>
      </c>
      <c r="W1773" s="22" t="s">
        <v>49</v>
      </c>
      <c r="X1773" s="3"/>
      <c r="Y1773" s="3" t="s">
        <v>7491</v>
      </c>
      <c r="Z1773" s="3" t="s">
        <v>52</v>
      </c>
      <c r="AA1773" s="3"/>
      <c r="AB1773" s="3"/>
      <c r="AC1773" s="3" t="str">
        <f>HYPERLINK("https://knigipp.ru/api/getInfo/image/97c372a6-1d9b-11ef-a25e-00155d82e908")</f>
        <v>https://knigipp.ru/api/getInfo/image/97c372a6-1d9b-11ef-a25e-00155d82e908</v>
      </c>
      <c r="AD1773" s="32">
        <v>100</v>
      </c>
      <c r="AE1773" s="3"/>
      <c r="AF1773" s="3" t="s">
        <v>741</v>
      </c>
      <c r="AG1773" s="3"/>
      <c r="AH1773" s="3" t="s">
        <v>56</v>
      </c>
      <c r="AI1773" s="3"/>
      <c r="AJ1773" s="3"/>
      <c r="AK1773" s="3" t="str">
        <f>HYPERLINK("https://knigipp.ru/api/getInfo/item/97c372a6-1d9b-11ef-a25e-00155d82e908")</f>
        <v>https://knigipp.ru/api/getInfo/item/97c372a6-1d9b-11ef-a25e-00155d82e908</v>
      </c>
      <c r="AL1773" s="3" t="s">
        <v>7486</v>
      </c>
    </row>
    <row r="1774" spans="1:38" ht="21" customHeight="1" outlineLevel="4" x14ac:dyDescent="0.2">
      <c r="A1774" s="39">
        <v>1348</v>
      </c>
      <c r="B1774" s="3" t="s">
        <v>7492</v>
      </c>
      <c r="C1774" s="49" t="s">
        <v>7493</v>
      </c>
      <c r="D1774" s="49"/>
      <c r="E1774" s="49"/>
      <c r="F1774" s="49"/>
      <c r="G1774" s="4" t="s">
        <v>7494</v>
      </c>
      <c r="H1774" s="8"/>
      <c r="I1774" s="9" t="s">
        <v>7483</v>
      </c>
      <c r="J1774" s="10"/>
      <c r="K1774" s="11">
        <v>10</v>
      </c>
      <c r="L1774" s="10"/>
      <c r="M1774" s="10" t="s">
        <v>78</v>
      </c>
      <c r="N1774" s="10"/>
      <c r="O1774" s="2">
        <v>3</v>
      </c>
      <c r="P1774" s="17">
        <f>349*(1-S3/100)</f>
        <v>349</v>
      </c>
      <c r="Q1774" s="18"/>
      <c r="R1774" s="10">
        <f t="shared" si="74"/>
        <v>0</v>
      </c>
      <c r="S1774" s="19">
        <f>0.347*Q1774</f>
        <v>0</v>
      </c>
      <c r="T1774" s="20">
        <f>0.00472*Q1774</f>
        <v>0</v>
      </c>
      <c r="U1774" s="21"/>
      <c r="V1774" s="22" t="s">
        <v>7495</v>
      </c>
      <c r="W1774" s="22" t="s">
        <v>49</v>
      </c>
      <c r="X1774" s="3"/>
      <c r="Y1774" s="3" t="s">
        <v>7496</v>
      </c>
      <c r="Z1774" s="3" t="s">
        <v>52</v>
      </c>
      <c r="AA1774" s="3"/>
      <c r="AB1774" s="3"/>
      <c r="AC1774" s="3" t="str">
        <f>HYPERLINK("https://knigipp.ru/api/getInfo/image/b37fe129-1d9b-11ef-a25e-00155d82e908")</f>
        <v>https://knigipp.ru/api/getInfo/image/b37fe129-1d9b-11ef-a25e-00155d82e908</v>
      </c>
      <c r="AD1774" s="32">
        <v>100</v>
      </c>
      <c r="AE1774" s="3"/>
      <c r="AF1774" s="3" t="s">
        <v>741</v>
      </c>
      <c r="AG1774" s="3"/>
      <c r="AH1774" s="3" t="s">
        <v>56</v>
      </c>
      <c r="AI1774" s="3"/>
      <c r="AJ1774" s="3"/>
      <c r="AK1774" s="3" t="str">
        <f>HYPERLINK("https://knigipp.ru/api/getInfo/item/b37fe129-1d9b-11ef-a25e-00155d82e908")</f>
        <v>https://knigipp.ru/api/getInfo/item/b37fe129-1d9b-11ef-a25e-00155d82e908</v>
      </c>
      <c r="AL1774" s="3" t="s">
        <v>7486</v>
      </c>
    </row>
    <row r="1775" spans="1:38" ht="21" customHeight="1" outlineLevel="4" x14ac:dyDescent="0.2">
      <c r="A1775" s="39">
        <v>1349</v>
      </c>
      <c r="B1775" s="3" t="s">
        <v>7497</v>
      </c>
      <c r="C1775" s="49" t="s">
        <v>7498</v>
      </c>
      <c r="D1775" s="49"/>
      <c r="E1775" s="49"/>
      <c r="F1775" s="49"/>
      <c r="G1775" s="4" t="s">
        <v>7499</v>
      </c>
      <c r="H1775" s="8"/>
      <c r="I1775" s="9" t="s">
        <v>7483</v>
      </c>
      <c r="J1775" s="10"/>
      <c r="K1775" s="11">
        <v>10</v>
      </c>
      <c r="L1775" s="10"/>
      <c r="M1775" s="10" t="s">
        <v>78</v>
      </c>
      <c r="N1775" s="10"/>
      <c r="O1775" s="2">
        <v>3</v>
      </c>
      <c r="P1775" s="17">
        <f>349*(1-S3/100)</f>
        <v>349</v>
      </c>
      <c r="Q1775" s="18"/>
      <c r="R1775" s="10">
        <f t="shared" si="74"/>
        <v>0</v>
      </c>
      <c r="S1775" s="19">
        <f>0.317*Q1775</f>
        <v>0</v>
      </c>
      <c r="T1775" s="20">
        <f>0.00056*Q1775</f>
        <v>0</v>
      </c>
      <c r="U1775" s="21"/>
      <c r="V1775" s="22" t="s">
        <v>7500</v>
      </c>
      <c r="W1775" s="22" t="s">
        <v>49</v>
      </c>
      <c r="X1775" s="3"/>
      <c r="Y1775" s="3" t="s">
        <v>7501</v>
      </c>
      <c r="Z1775" s="3" t="s">
        <v>52</v>
      </c>
      <c r="AA1775" s="3"/>
      <c r="AB1775" s="3"/>
      <c r="AC1775" s="3" t="str">
        <f>HYPERLINK("https://knigipp.ru/api/getInfo/image/a9a0db61-e576-11f0-a28c-00155d82e908")</f>
        <v>https://knigipp.ru/api/getInfo/image/a9a0db61-e576-11f0-a28c-00155d82e908</v>
      </c>
      <c r="AD1775" s="32">
        <v>100</v>
      </c>
      <c r="AE1775" s="3"/>
      <c r="AF1775" s="3" t="s">
        <v>741</v>
      </c>
      <c r="AG1775" s="3"/>
      <c r="AH1775" s="3" t="s">
        <v>56</v>
      </c>
      <c r="AI1775" s="3"/>
      <c r="AJ1775" s="3"/>
      <c r="AK1775" s="3" t="str">
        <f>HYPERLINK("https://knigipp.ru/api/getInfo/item/a9a0db61-e576-11f0-a28c-00155d82e908")</f>
        <v>https://knigipp.ru/api/getInfo/item/a9a0db61-e576-11f0-a28c-00155d82e908</v>
      </c>
      <c r="AL1775" s="3" t="s">
        <v>7486</v>
      </c>
    </row>
    <row r="1776" spans="1:38" ht="21" customHeight="1" outlineLevel="4" x14ac:dyDescent="0.2">
      <c r="A1776" s="39">
        <v>1350</v>
      </c>
      <c r="B1776" s="3" t="s">
        <v>7502</v>
      </c>
      <c r="C1776" s="49" t="s">
        <v>7503</v>
      </c>
      <c r="D1776" s="49"/>
      <c r="E1776" s="49"/>
      <c r="F1776" s="49"/>
      <c r="G1776" s="4" t="s">
        <v>7504</v>
      </c>
      <c r="H1776" s="8"/>
      <c r="I1776" s="9" t="s">
        <v>7483</v>
      </c>
      <c r="J1776" s="10"/>
      <c r="K1776" s="11">
        <v>10</v>
      </c>
      <c r="L1776" s="10"/>
      <c r="M1776" s="10" t="s">
        <v>47</v>
      </c>
      <c r="N1776" s="10"/>
      <c r="O1776" s="2">
        <v>3</v>
      </c>
      <c r="P1776" s="17">
        <f>349*(1-S3/100)</f>
        <v>349</v>
      </c>
      <c r="Q1776" s="18"/>
      <c r="R1776" s="10">
        <f t="shared" si="74"/>
        <v>0</v>
      </c>
      <c r="S1776" s="19">
        <f>0.315*Q1776</f>
        <v>0</v>
      </c>
      <c r="T1776" s="20">
        <f>0.00048*Q1776</f>
        <v>0</v>
      </c>
      <c r="U1776" s="21"/>
      <c r="V1776" s="22" t="s">
        <v>7505</v>
      </c>
      <c r="W1776" s="22" t="s">
        <v>49</v>
      </c>
      <c r="X1776" s="3"/>
      <c r="Y1776" s="3" t="s">
        <v>7506</v>
      </c>
      <c r="Z1776" s="3" t="s">
        <v>52</v>
      </c>
      <c r="AA1776" s="3"/>
      <c r="AB1776" s="3"/>
      <c r="AC1776" s="3" t="str">
        <f>HYPERLINK("https://knigipp.ru/api/getInfo/image/e5a0c917-3d56-11f0-a27c-00155d82e908")</f>
        <v>https://knigipp.ru/api/getInfo/image/e5a0c917-3d56-11f0-a27c-00155d82e908</v>
      </c>
      <c r="AD1776" s="32">
        <v>100</v>
      </c>
      <c r="AE1776" s="3"/>
      <c r="AF1776" s="3" t="s">
        <v>741</v>
      </c>
      <c r="AG1776" s="3"/>
      <c r="AH1776" s="3" t="s">
        <v>56</v>
      </c>
      <c r="AI1776" s="3"/>
      <c r="AJ1776" s="3"/>
      <c r="AK1776" s="3" t="str">
        <f>HYPERLINK("https://knigipp.ru/api/getInfo/item/e5a0c917-3d56-11f0-a27c-00155d82e908")</f>
        <v>https://knigipp.ru/api/getInfo/item/e5a0c917-3d56-11f0-a27c-00155d82e908</v>
      </c>
      <c r="AL1776" s="3" t="s">
        <v>7486</v>
      </c>
    </row>
    <row r="1777" spans="1:38" ht="21" customHeight="1" outlineLevel="4" x14ac:dyDescent="0.2">
      <c r="A1777" s="39">
        <v>1351</v>
      </c>
      <c r="B1777" s="3" t="s">
        <v>7507</v>
      </c>
      <c r="C1777" s="49" t="s">
        <v>7508</v>
      </c>
      <c r="D1777" s="49"/>
      <c r="E1777" s="49"/>
      <c r="F1777" s="49"/>
      <c r="G1777" s="4" t="s">
        <v>7509</v>
      </c>
      <c r="H1777" s="8"/>
      <c r="I1777" s="9" t="s">
        <v>7483</v>
      </c>
      <c r="J1777" s="10"/>
      <c r="K1777" s="11">
        <v>10</v>
      </c>
      <c r="L1777" s="10"/>
      <c r="M1777" s="10" t="s">
        <v>47</v>
      </c>
      <c r="N1777" s="10"/>
      <c r="O1777" s="2">
        <v>3</v>
      </c>
      <c r="P1777" s="17">
        <f>349*(1-S3/100)</f>
        <v>349</v>
      </c>
      <c r="Q1777" s="18"/>
      <c r="R1777" s="10">
        <f t="shared" si="74"/>
        <v>0</v>
      </c>
      <c r="S1777" s="19">
        <f>0.319*Q1777</f>
        <v>0</v>
      </c>
      <c r="T1777" s="20">
        <f>0.00036*Q1777</f>
        <v>0</v>
      </c>
      <c r="U1777" s="21"/>
      <c r="V1777" s="22" t="s">
        <v>7510</v>
      </c>
      <c r="W1777" s="22" t="s">
        <v>49</v>
      </c>
      <c r="X1777" s="3"/>
      <c r="Y1777" s="3" t="s">
        <v>7501</v>
      </c>
      <c r="Z1777" s="3" t="s">
        <v>52</v>
      </c>
      <c r="AA1777" s="3"/>
      <c r="AB1777" s="3"/>
      <c r="AC1777" s="3" t="str">
        <f>HYPERLINK("https://knigipp.ru/api/getInfo/image/ee534c05-e576-11f0-a28c-00155d82e908")</f>
        <v>https://knigipp.ru/api/getInfo/image/ee534c05-e576-11f0-a28c-00155d82e908</v>
      </c>
      <c r="AD1777" s="32">
        <v>100</v>
      </c>
      <c r="AE1777" s="3"/>
      <c r="AF1777" s="3" t="s">
        <v>741</v>
      </c>
      <c r="AG1777" s="3"/>
      <c r="AH1777" s="3" t="s">
        <v>56</v>
      </c>
      <c r="AI1777" s="3"/>
      <c r="AJ1777" s="3"/>
      <c r="AK1777" s="3" t="str">
        <f>HYPERLINK("https://knigipp.ru/api/getInfo/item/ee534c05-e576-11f0-a28c-00155d82e908")</f>
        <v>https://knigipp.ru/api/getInfo/item/ee534c05-e576-11f0-a28c-00155d82e908</v>
      </c>
      <c r="AL1777" s="3" t="s">
        <v>7486</v>
      </c>
    </row>
    <row r="1778" spans="1:38" ht="21" customHeight="1" outlineLevel="4" x14ac:dyDescent="0.2">
      <c r="A1778" s="39">
        <v>1352</v>
      </c>
      <c r="B1778" s="3" t="s">
        <v>7511</v>
      </c>
      <c r="C1778" s="49" t="s">
        <v>7512</v>
      </c>
      <c r="D1778" s="49"/>
      <c r="E1778" s="49"/>
      <c r="F1778" s="49"/>
      <c r="G1778" s="4" t="s">
        <v>7513</v>
      </c>
      <c r="H1778" s="8"/>
      <c r="I1778" s="9" t="s">
        <v>7483</v>
      </c>
      <c r="J1778" s="10"/>
      <c r="K1778" s="11">
        <v>10</v>
      </c>
      <c r="L1778" s="10"/>
      <c r="M1778" s="10" t="s">
        <v>47</v>
      </c>
      <c r="N1778" s="10"/>
      <c r="O1778" s="2">
        <v>3</v>
      </c>
      <c r="P1778" s="17">
        <f>349*(1-S3/100)</f>
        <v>349</v>
      </c>
      <c r="Q1778" s="18"/>
      <c r="R1778" s="10">
        <f t="shared" si="74"/>
        <v>0</v>
      </c>
      <c r="S1778" s="19">
        <f>0.317*Q1778</f>
        <v>0</v>
      </c>
      <c r="T1778" s="30">
        <f>0.0003*Q1778</f>
        <v>0</v>
      </c>
      <c r="U1778" s="21"/>
      <c r="V1778" s="22" t="s">
        <v>7514</v>
      </c>
      <c r="W1778" s="22" t="s">
        <v>49</v>
      </c>
      <c r="X1778" s="3"/>
      <c r="Y1778" s="3" t="s">
        <v>7515</v>
      </c>
      <c r="Z1778" s="3" t="s">
        <v>52</v>
      </c>
      <c r="AA1778" s="3"/>
      <c r="AB1778" s="3"/>
      <c r="AC1778" s="3" t="str">
        <f>HYPERLINK("https://knigipp.ru/api/getInfo/image/1093baa6-3d57-11f0-a27c-00155d82e908")</f>
        <v>https://knigipp.ru/api/getInfo/image/1093baa6-3d57-11f0-a27c-00155d82e908</v>
      </c>
      <c r="AD1778" s="32">
        <v>100</v>
      </c>
      <c r="AE1778" s="3"/>
      <c r="AF1778" s="3" t="s">
        <v>741</v>
      </c>
      <c r="AG1778" s="3"/>
      <c r="AH1778" s="3" t="s">
        <v>56</v>
      </c>
      <c r="AI1778" s="3"/>
      <c r="AJ1778" s="3"/>
      <c r="AK1778" s="3" t="str">
        <f>HYPERLINK("https://knigipp.ru/api/getInfo/item/1093baa6-3d57-11f0-a27c-00155d82e908")</f>
        <v>https://knigipp.ru/api/getInfo/item/1093baa6-3d57-11f0-a27c-00155d82e908</v>
      </c>
      <c r="AL1778" s="3" t="s">
        <v>7486</v>
      </c>
    </row>
    <row r="1779" spans="1:38" ht="23.1" customHeight="1" outlineLevel="3" x14ac:dyDescent="0.2">
      <c r="A1779" s="48" t="s">
        <v>7516</v>
      </c>
      <c r="B1779" s="48"/>
      <c r="C1779" s="48"/>
      <c r="D1779" s="48"/>
      <c r="E1779" s="48"/>
      <c r="F1779" s="48"/>
    </row>
    <row r="1780" spans="1:38" ht="21" customHeight="1" outlineLevel="4" x14ac:dyDescent="0.2">
      <c r="A1780" s="39">
        <v>1353</v>
      </c>
      <c r="B1780" s="3" t="s">
        <v>7517</v>
      </c>
      <c r="C1780" s="49" t="s">
        <v>7518</v>
      </c>
      <c r="D1780" s="49"/>
      <c r="E1780" s="49"/>
      <c r="F1780" s="49"/>
      <c r="G1780" s="4" t="s">
        <v>7519</v>
      </c>
      <c r="H1780" s="8"/>
      <c r="I1780" s="9" t="s">
        <v>7520</v>
      </c>
      <c r="J1780" s="10"/>
      <c r="K1780" s="11">
        <v>30</v>
      </c>
      <c r="L1780" s="10"/>
      <c r="M1780" s="10" t="s">
        <v>47</v>
      </c>
      <c r="N1780" s="10"/>
      <c r="O1780" s="2">
        <v>5</v>
      </c>
      <c r="P1780" s="17">
        <f>137*(1-S3/100)</f>
        <v>137</v>
      </c>
      <c r="Q1780" s="18"/>
      <c r="R1780" s="10">
        <f>P1780*Q1780</f>
        <v>0</v>
      </c>
      <c r="S1780" s="19">
        <f>0.097*Q1780</f>
        <v>0</v>
      </c>
      <c r="T1780" s="20">
        <f>0.00027*Q1780</f>
        <v>0</v>
      </c>
      <c r="U1780" s="21"/>
      <c r="V1780" s="22" t="s">
        <v>7521</v>
      </c>
      <c r="W1780" s="22" t="s">
        <v>49</v>
      </c>
      <c r="X1780" s="3"/>
      <c r="Y1780" s="3" t="s">
        <v>7522</v>
      </c>
      <c r="Z1780" s="3" t="s">
        <v>52</v>
      </c>
      <c r="AA1780" s="3"/>
      <c r="AB1780" s="3"/>
      <c r="AC1780" s="3" t="str">
        <f>HYPERLINK("https://knigipp.ru/api/getInfo/image/33ea9665-edd7-11ee-a25b-00155d82e908")</f>
        <v>https://knigipp.ru/api/getInfo/image/33ea9665-edd7-11ee-a25b-00155d82e908</v>
      </c>
      <c r="AD1780" s="32">
        <v>48</v>
      </c>
      <c r="AE1780" s="3" t="s">
        <v>54</v>
      </c>
      <c r="AF1780" s="3" t="s">
        <v>136</v>
      </c>
      <c r="AG1780" s="3"/>
      <c r="AH1780" s="3" t="s">
        <v>56</v>
      </c>
      <c r="AI1780" s="3"/>
      <c r="AJ1780" s="3"/>
      <c r="AK1780" s="3" t="str">
        <f>HYPERLINK("https://knigipp.ru/api/getInfo/item/33ea9665-edd7-11ee-a25b-00155d82e908")</f>
        <v>https://knigipp.ru/api/getInfo/item/33ea9665-edd7-11ee-a25b-00155d82e908</v>
      </c>
      <c r="AL1780" s="3" t="s">
        <v>7523</v>
      </c>
    </row>
    <row r="1781" spans="1:38" ht="21" customHeight="1" outlineLevel="4" x14ac:dyDescent="0.2">
      <c r="A1781" s="39">
        <v>1354</v>
      </c>
      <c r="B1781" s="3" t="s">
        <v>7524</v>
      </c>
      <c r="C1781" s="49" t="s">
        <v>7525</v>
      </c>
      <c r="D1781" s="49"/>
      <c r="E1781" s="49"/>
      <c r="F1781" s="49"/>
      <c r="G1781" s="4" t="s">
        <v>7526</v>
      </c>
      <c r="H1781" s="8"/>
      <c r="I1781" s="9" t="s">
        <v>7520</v>
      </c>
      <c r="J1781" s="10"/>
      <c r="K1781" s="11">
        <v>30</v>
      </c>
      <c r="L1781" s="10"/>
      <c r="M1781" s="10" t="s">
        <v>47</v>
      </c>
      <c r="N1781" s="10"/>
      <c r="O1781" s="2">
        <v>5</v>
      </c>
      <c r="P1781" s="17">
        <f>137*(1-S3/100)</f>
        <v>137</v>
      </c>
      <c r="Q1781" s="18"/>
      <c r="R1781" s="10">
        <f>P1781*Q1781</f>
        <v>0</v>
      </c>
      <c r="S1781" s="19">
        <f>0.097*Q1781</f>
        <v>0</v>
      </c>
      <c r="T1781" s="20">
        <f>0.00019*Q1781</f>
        <v>0</v>
      </c>
      <c r="U1781" s="21"/>
      <c r="V1781" s="22" t="s">
        <v>7527</v>
      </c>
      <c r="W1781" s="22" t="s">
        <v>49</v>
      </c>
      <c r="X1781" s="3"/>
      <c r="Y1781" s="3" t="s">
        <v>7528</v>
      </c>
      <c r="Z1781" s="3" t="s">
        <v>52</v>
      </c>
      <c r="AA1781" s="3"/>
      <c r="AB1781" s="3"/>
      <c r="AC1781" s="3" t="str">
        <f>HYPERLINK("https://knigipp.ru/api/getInfo/image/588df95b-edd7-11ee-a25b-00155d82e908")</f>
        <v>https://knigipp.ru/api/getInfo/image/588df95b-edd7-11ee-a25b-00155d82e908</v>
      </c>
      <c r="AD1781" s="32">
        <v>48</v>
      </c>
      <c r="AE1781" s="3" t="s">
        <v>54</v>
      </c>
      <c r="AF1781" s="3" t="s">
        <v>136</v>
      </c>
      <c r="AG1781" s="3"/>
      <c r="AH1781" s="3" t="s">
        <v>56</v>
      </c>
      <c r="AI1781" s="3"/>
      <c r="AJ1781" s="3"/>
      <c r="AK1781" s="3" t="str">
        <f>HYPERLINK("https://knigipp.ru/api/getInfo/item/588df95b-edd7-11ee-a25b-00155d82e908")</f>
        <v>https://knigipp.ru/api/getInfo/item/588df95b-edd7-11ee-a25b-00155d82e908</v>
      </c>
      <c r="AL1781" s="3" t="s">
        <v>7523</v>
      </c>
    </row>
    <row r="1782" spans="1:38" ht="21" customHeight="1" outlineLevel="4" x14ac:dyDescent="0.2">
      <c r="A1782" s="39">
        <v>1355</v>
      </c>
      <c r="B1782" s="3" t="s">
        <v>7529</v>
      </c>
      <c r="C1782" s="49" t="s">
        <v>7530</v>
      </c>
      <c r="D1782" s="49"/>
      <c r="E1782" s="49"/>
      <c r="F1782" s="49"/>
      <c r="G1782" s="4" t="s">
        <v>7531</v>
      </c>
      <c r="H1782" s="8"/>
      <c r="I1782" s="9" t="s">
        <v>7520</v>
      </c>
      <c r="J1782" s="10"/>
      <c r="K1782" s="11">
        <v>30</v>
      </c>
      <c r="L1782" s="10"/>
      <c r="M1782" s="10" t="s">
        <v>47</v>
      </c>
      <c r="N1782" s="10"/>
      <c r="O1782" s="2">
        <v>5</v>
      </c>
      <c r="P1782" s="17">
        <f>137*(1-S3/100)</f>
        <v>137</v>
      </c>
      <c r="Q1782" s="18"/>
      <c r="R1782" s="10">
        <f>P1782*Q1782</f>
        <v>0</v>
      </c>
      <c r="S1782" s="19">
        <f>0.106*Q1782</f>
        <v>0</v>
      </c>
      <c r="T1782" s="20">
        <f>0.00034*Q1782</f>
        <v>0</v>
      </c>
      <c r="U1782" s="21"/>
      <c r="V1782" s="22" t="s">
        <v>7532</v>
      </c>
      <c r="W1782" s="22" t="s">
        <v>49</v>
      </c>
      <c r="X1782" s="3"/>
      <c r="Y1782" s="3" t="s">
        <v>7533</v>
      </c>
      <c r="Z1782" s="3" t="s">
        <v>52</v>
      </c>
      <c r="AA1782" s="3"/>
      <c r="AB1782" s="3"/>
      <c r="AC1782" s="3" t="str">
        <f>HYPERLINK("https://knigipp.ru/api/getInfo/image/ee5857b1-1c8d-11f1-a28f-00155d82e908")</f>
        <v>https://knigipp.ru/api/getInfo/image/ee5857b1-1c8d-11f1-a28f-00155d82e908</v>
      </c>
      <c r="AD1782" s="32">
        <v>48</v>
      </c>
      <c r="AE1782" s="3" t="s">
        <v>54</v>
      </c>
      <c r="AF1782" s="3" t="s">
        <v>136</v>
      </c>
      <c r="AG1782" s="3"/>
      <c r="AH1782" s="3" t="s">
        <v>56</v>
      </c>
      <c r="AI1782" s="3"/>
      <c r="AJ1782" s="3"/>
      <c r="AK1782" s="3" t="str">
        <f>HYPERLINK("https://knigipp.ru/api/getInfo/item/ee5857b1-1c8d-11f1-a28f-00155d82e908")</f>
        <v>https://knigipp.ru/api/getInfo/item/ee5857b1-1c8d-11f1-a28f-00155d82e908</v>
      </c>
      <c r="AL1782" s="3" t="s">
        <v>7523</v>
      </c>
    </row>
    <row r="1783" spans="1:38" ht="21" customHeight="1" outlineLevel="4" x14ac:dyDescent="0.2">
      <c r="A1783" s="39">
        <v>1356</v>
      </c>
      <c r="B1783" s="3" t="s">
        <v>7534</v>
      </c>
      <c r="C1783" s="49" t="s">
        <v>7535</v>
      </c>
      <c r="D1783" s="49"/>
      <c r="E1783" s="49"/>
      <c r="F1783" s="49"/>
      <c r="G1783" s="4" t="s">
        <v>7536</v>
      </c>
      <c r="H1783" s="8"/>
      <c r="I1783" s="9" t="s">
        <v>7520</v>
      </c>
      <c r="J1783" s="10"/>
      <c r="K1783" s="11">
        <v>30</v>
      </c>
      <c r="L1783" s="10"/>
      <c r="M1783" s="10" t="s">
        <v>47</v>
      </c>
      <c r="N1783" s="10"/>
      <c r="O1783" s="2">
        <v>5</v>
      </c>
      <c r="P1783" s="17">
        <f>137*(1-S3/100)</f>
        <v>137</v>
      </c>
      <c r="Q1783" s="18"/>
      <c r="R1783" s="10">
        <f>P1783*Q1783</f>
        <v>0</v>
      </c>
      <c r="S1783" s="19">
        <f>0.084*Q1783</f>
        <v>0</v>
      </c>
      <c r="T1783" s="20">
        <f>0.00066*Q1783</f>
        <v>0</v>
      </c>
      <c r="U1783" s="21"/>
      <c r="V1783" s="22" t="s">
        <v>7537</v>
      </c>
      <c r="W1783" s="22" t="s">
        <v>49</v>
      </c>
      <c r="X1783" s="3"/>
      <c r="Y1783" s="3" t="s">
        <v>7538</v>
      </c>
      <c r="Z1783" s="3" t="s">
        <v>52</v>
      </c>
      <c r="AA1783" s="3"/>
      <c r="AB1783" s="3"/>
      <c r="AC1783" s="3" t="str">
        <f>HYPERLINK("https://knigipp.ru/api/getInfo/image/7b6296ef-edd7-11ee-a25b-00155d82e908")</f>
        <v>https://knigipp.ru/api/getInfo/image/7b6296ef-edd7-11ee-a25b-00155d82e908</v>
      </c>
      <c r="AD1783" s="32">
        <v>48</v>
      </c>
      <c r="AE1783" s="3" t="s">
        <v>54</v>
      </c>
      <c r="AF1783" s="3" t="s">
        <v>136</v>
      </c>
      <c r="AG1783" s="3"/>
      <c r="AH1783" s="3" t="s">
        <v>56</v>
      </c>
      <c r="AI1783" s="3"/>
      <c r="AJ1783" s="3"/>
      <c r="AK1783" s="3" t="str">
        <f>HYPERLINK("https://knigipp.ru/api/getInfo/item/7b6296ef-edd7-11ee-a25b-00155d82e908")</f>
        <v>https://knigipp.ru/api/getInfo/item/7b6296ef-edd7-11ee-a25b-00155d82e908</v>
      </c>
      <c r="AL1783" s="3" t="s">
        <v>7523</v>
      </c>
    </row>
    <row r="1784" spans="1:38" ht="23.1" customHeight="1" outlineLevel="3" x14ac:dyDescent="0.2">
      <c r="A1784" s="48" t="s">
        <v>7539</v>
      </c>
      <c r="B1784" s="48"/>
      <c r="C1784" s="48"/>
      <c r="D1784" s="48"/>
      <c r="E1784" s="48"/>
      <c r="F1784" s="48"/>
    </row>
    <row r="1785" spans="1:38" ht="21" customHeight="1" outlineLevel="4" x14ac:dyDescent="0.2">
      <c r="A1785" s="39">
        <v>1357</v>
      </c>
      <c r="B1785" s="3" t="s">
        <v>7540</v>
      </c>
      <c r="C1785" s="49" t="s">
        <v>7541</v>
      </c>
      <c r="D1785" s="49"/>
      <c r="E1785" s="49"/>
      <c r="F1785" s="49"/>
      <c r="G1785" s="4" t="s">
        <v>7542</v>
      </c>
      <c r="H1785" s="8"/>
      <c r="I1785" s="9" t="s">
        <v>7543</v>
      </c>
      <c r="J1785" s="10"/>
      <c r="K1785" s="11">
        <v>50</v>
      </c>
      <c r="L1785" s="10"/>
      <c r="M1785" s="10" t="s">
        <v>47</v>
      </c>
      <c r="N1785" s="10"/>
      <c r="O1785" s="2">
        <v>10</v>
      </c>
      <c r="P1785" s="17">
        <f>59*(1-S3/100)</f>
        <v>59</v>
      </c>
      <c r="Q1785" s="18"/>
      <c r="R1785" s="10">
        <f>P1785*Q1785</f>
        <v>0</v>
      </c>
      <c r="S1785" s="19">
        <f>0.066*Q1785</f>
        <v>0</v>
      </c>
      <c r="T1785" s="20">
        <f>0.00011*Q1785</f>
        <v>0</v>
      </c>
      <c r="U1785" s="21"/>
      <c r="V1785" s="22" t="s">
        <v>7544</v>
      </c>
      <c r="W1785" s="22" t="s">
        <v>49</v>
      </c>
      <c r="X1785" s="3"/>
      <c r="Y1785" s="3" t="s">
        <v>7545</v>
      </c>
      <c r="Z1785" s="3" t="s">
        <v>52</v>
      </c>
      <c r="AA1785" s="3"/>
      <c r="AB1785" s="3"/>
      <c r="AC1785" s="3" t="str">
        <f>HYPERLINK("https://knigipp.ru/api/getInfo/image/c0ecc1b4-ffba-11ed-a23a-00155d82e902")</f>
        <v>https://knigipp.ru/api/getInfo/image/c0ecc1b4-ffba-11ed-a23a-00155d82e902</v>
      </c>
      <c r="AD1785" s="32">
        <v>16</v>
      </c>
      <c r="AE1785" s="3" t="s">
        <v>54</v>
      </c>
      <c r="AF1785" s="3" t="s">
        <v>136</v>
      </c>
      <c r="AG1785" s="3"/>
      <c r="AH1785" s="3" t="s">
        <v>56</v>
      </c>
      <c r="AI1785" s="3"/>
      <c r="AJ1785" s="3"/>
      <c r="AK1785" s="3" t="str">
        <f>HYPERLINK("https://knigipp.ru/api/getInfo/item/c0ecc1b4-ffba-11ed-a23a-00155d82e902")</f>
        <v>https://knigipp.ru/api/getInfo/item/c0ecc1b4-ffba-11ed-a23a-00155d82e902</v>
      </c>
      <c r="AL1785" s="3" t="s">
        <v>614</v>
      </c>
    </row>
    <row r="1786" spans="1:38" ht="21" customHeight="1" outlineLevel="4" x14ac:dyDescent="0.2">
      <c r="A1786" s="39">
        <v>1358</v>
      </c>
      <c r="B1786" s="3" t="s">
        <v>7546</v>
      </c>
      <c r="C1786" s="49" t="s">
        <v>7547</v>
      </c>
      <c r="D1786" s="49"/>
      <c r="E1786" s="49"/>
      <c r="F1786" s="49"/>
      <c r="G1786" s="4" t="s">
        <v>7548</v>
      </c>
      <c r="H1786" s="8"/>
      <c r="I1786" s="9" t="s">
        <v>7543</v>
      </c>
      <c r="J1786" s="10"/>
      <c r="K1786" s="11">
        <v>50</v>
      </c>
      <c r="L1786" s="10"/>
      <c r="M1786" s="10" t="s">
        <v>47</v>
      </c>
      <c r="N1786" s="10"/>
      <c r="O1786" s="2">
        <v>10</v>
      </c>
      <c r="P1786" s="17">
        <f>59*(1-S3/100)</f>
        <v>59</v>
      </c>
      <c r="Q1786" s="18"/>
      <c r="R1786" s="10">
        <f>P1786*Q1786</f>
        <v>0</v>
      </c>
      <c r="S1786" s="19">
        <f>0.066*Q1786</f>
        <v>0</v>
      </c>
      <c r="T1786" s="20">
        <f>0.00011*Q1786</f>
        <v>0</v>
      </c>
      <c r="U1786" s="21"/>
      <c r="V1786" s="22" t="s">
        <v>7549</v>
      </c>
      <c r="W1786" s="22" t="s">
        <v>49</v>
      </c>
      <c r="X1786" s="3"/>
      <c r="Y1786" s="3" t="s">
        <v>7545</v>
      </c>
      <c r="Z1786" s="3" t="s">
        <v>52</v>
      </c>
      <c r="AA1786" s="3"/>
      <c r="AB1786" s="3"/>
      <c r="AC1786" s="3" t="str">
        <f>HYPERLINK("https://knigipp.ru/api/getInfo/image/e76845e0-ffba-11ed-a23a-00155d82e902")</f>
        <v>https://knigipp.ru/api/getInfo/image/e76845e0-ffba-11ed-a23a-00155d82e902</v>
      </c>
      <c r="AD1786" s="32">
        <v>16</v>
      </c>
      <c r="AE1786" s="3" t="s">
        <v>54</v>
      </c>
      <c r="AF1786" s="3" t="s">
        <v>136</v>
      </c>
      <c r="AG1786" s="3"/>
      <c r="AH1786" s="3" t="s">
        <v>56</v>
      </c>
      <c r="AI1786" s="3"/>
      <c r="AJ1786" s="3"/>
      <c r="AK1786" s="3" t="str">
        <f>HYPERLINK("https://knigipp.ru/api/getInfo/item/e76845e0-ffba-11ed-a23a-00155d82e902")</f>
        <v>https://knigipp.ru/api/getInfo/item/e76845e0-ffba-11ed-a23a-00155d82e902</v>
      </c>
      <c r="AL1786" s="3" t="s">
        <v>614</v>
      </c>
    </row>
    <row r="1787" spans="1:38" ht="21" customHeight="1" outlineLevel="4" x14ac:dyDescent="0.2">
      <c r="A1787" s="39">
        <v>1359</v>
      </c>
      <c r="B1787" s="3" t="s">
        <v>7550</v>
      </c>
      <c r="C1787" s="49" t="s">
        <v>7551</v>
      </c>
      <c r="D1787" s="49"/>
      <c r="E1787" s="49"/>
      <c r="F1787" s="49"/>
      <c r="G1787" s="4" t="s">
        <v>7552</v>
      </c>
      <c r="H1787" s="8"/>
      <c r="I1787" s="9" t="s">
        <v>7543</v>
      </c>
      <c r="J1787" s="10"/>
      <c r="K1787" s="11">
        <v>50</v>
      </c>
      <c r="L1787" s="10"/>
      <c r="M1787" s="10" t="s">
        <v>47</v>
      </c>
      <c r="N1787" s="10"/>
      <c r="O1787" s="2">
        <v>10</v>
      </c>
      <c r="P1787" s="17">
        <f>59*(1-S3/100)</f>
        <v>59</v>
      </c>
      <c r="Q1787" s="18"/>
      <c r="R1787" s="10">
        <f>P1787*Q1787</f>
        <v>0</v>
      </c>
      <c r="S1787" s="19">
        <f>0.066*Q1787</f>
        <v>0</v>
      </c>
      <c r="T1787" s="20">
        <f>0.00011*Q1787</f>
        <v>0</v>
      </c>
      <c r="U1787" s="21"/>
      <c r="V1787" s="22" t="s">
        <v>7553</v>
      </c>
      <c r="W1787" s="22" t="s">
        <v>49</v>
      </c>
      <c r="X1787" s="3"/>
      <c r="Y1787" s="3" t="s">
        <v>7545</v>
      </c>
      <c r="Z1787" s="3" t="s">
        <v>52</v>
      </c>
      <c r="AA1787" s="3"/>
      <c r="AB1787" s="3"/>
      <c r="AC1787" s="3" t="str">
        <f>HYPERLINK("https://knigipp.ru/api/getInfo/image/0e96a7c3-ffbb-11ed-a23a-00155d82e902")</f>
        <v>https://knigipp.ru/api/getInfo/image/0e96a7c3-ffbb-11ed-a23a-00155d82e902</v>
      </c>
      <c r="AD1787" s="32">
        <v>16</v>
      </c>
      <c r="AE1787" s="3" t="s">
        <v>54</v>
      </c>
      <c r="AF1787" s="3" t="s">
        <v>136</v>
      </c>
      <c r="AG1787" s="3"/>
      <c r="AH1787" s="3" t="s">
        <v>56</v>
      </c>
      <c r="AI1787" s="3"/>
      <c r="AJ1787" s="3"/>
      <c r="AK1787" s="3" t="str">
        <f>HYPERLINK("https://knigipp.ru/api/getInfo/item/0e96a7c3-ffbb-11ed-a23a-00155d82e902")</f>
        <v>https://knigipp.ru/api/getInfo/item/0e96a7c3-ffbb-11ed-a23a-00155d82e902</v>
      </c>
      <c r="AL1787" s="3" t="s">
        <v>614</v>
      </c>
    </row>
    <row r="1788" spans="1:38" ht="21" customHeight="1" outlineLevel="4" x14ac:dyDescent="0.2">
      <c r="A1788" s="39">
        <v>1360</v>
      </c>
      <c r="B1788" s="3" t="s">
        <v>7554</v>
      </c>
      <c r="C1788" s="49" t="s">
        <v>7555</v>
      </c>
      <c r="D1788" s="49"/>
      <c r="E1788" s="49"/>
      <c r="F1788" s="49"/>
      <c r="G1788" s="4" t="s">
        <v>7556</v>
      </c>
      <c r="H1788" s="8"/>
      <c r="I1788" s="9" t="s">
        <v>7543</v>
      </c>
      <c r="J1788" s="10"/>
      <c r="K1788" s="11">
        <v>50</v>
      </c>
      <c r="L1788" s="10"/>
      <c r="M1788" s="10" t="s">
        <v>47</v>
      </c>
      <c r="N1788" s="10"/>
      <c r="O1788" s="2">
        <v>10</v>
      </c>
      <c r="P1788" s="17">
        <f>59*(1-S3/100)</f>
        <v>59</v>
      </c>
      <c r="Q1788" s="18"/>
      <c r="R1788" s="10">
        <f>P1788*Q1788</f>
        <v>0</v>
      </c>
      <c r="S1788" s="19">
        <f>0.153*Q1788</f>
        <v>0</v>
      </c>
      <c r="T1788" s="20">
        <f>0.00023*Q1788</f>
        <v>0</v>
      </c>
      <c r="U1788" s="21"/>
      <c r="V1788" s="22" t="s">
        <v>7557</v>
      </c>
      <c r="W1788" s="22" t="s">
        <v>49</v>
      </c>
      <c r="X1788" s="3"/>
      <c r="Y1788" s="3" t="s">
        <v>7545</v>
      </c>
      <c r="Z1788" s="3" t="s">
        <v>52</v>
      </c>
      <c r="AA1788" s="3"/>
      <c r="AB1788" s="3"/>
      <c r="AC1788" s="3" t="str">
        <f>HYPERLINK("https://knigipp.ru/api/getInfo/image/30ace2f3-ffbb-11ed-a23a-00155d82e902")</f>
        <v>https://knigipp.ru/api/getInfo/image/30ace2f3-ffbb-11ed-a23a-00155d82e902</v>
      </c>
      <c r="AD1788" s="32">
        <v>16</v>
      </c>
      <c r="AE1788" s="3" t="s">
        <v>54</v>
      </c>
      <c r="AF1788" s="3" t="s">
        <v>136</v>
      </c>
      <c r="AG1788" s="3"/>
      <c r="AH1788" s="3" t="s">
        <v>56</v>
      </c>
      <c r="AI1788" s="3"/>
      <c r="AJ1788" s="3"/>
      <c r="AK1788" s="3" t="str">
        <f>HYPERLINK("https://knigipp.ru/api/getInfo/item/30ace2f3-ffbb-11ed-a23a-00155d82e902")</f>
        <v>https://knigipp.ru/api/getInfo/item/30ace2f3-ffbb-11ed-a23a-00155d82e902</v>
      </c>
      <c r="AL1788" s="3" t="s">
        <v>614</v>
      </c>
    </row>
    <row r="1789" spans="1:38" ht="23.1" customHeight="1" outlineLevel="3" x14ac:dyDescent="0.2">
      <c r="A1789" s="48" t="s">
        <v>7558</v>
      </c>
      <c r="B1789" s="48"/>
      <c r="C1789" s="48"/>
      <c r="D1789" s="48"/>
      <c r="E1789" s="48"/>
      <c r="F1789" s="48"/>
    </row>
    <row r="1790" spans="1:38" ht="21" customHeight="1" outlineLevel="4" x14ac:dyDescent="0.2">
      <c r="A1790" s="39">
        <v>1361</v>
      </c>
      <c r="B1790" s="3" t="s">
        <v>7559</v>
      </c>
      <c r="C1790" s="49" t="s">
        <v>7560</v>
      </c>
      <c r="D1790" s="49"/>
      <c r="E1790" s="49"/>
      <c r="F1790" s="49"/>
      <c r="G1790" s="4" t="s">
        <v>7561</v>
      </c>
      <c r="H1790" s="8"/>
      <c r="I1790" s="9" t="s">
        <v>7562</v>
      </c>
      <c r="J1790" s="10"/>
      <c r="K1790" s="11">
        <v>30</v>
      </c>
      <c r="L1790" s="10"/>
      <c r="M1790" s="10" t="s">
        <v>47</v>
      </c>
      <c r="N1790" s="10"/>
      <c r="O1790" s="2">
        <v>5</v>
      </c>
      <c r="P1790" s="17">
        <f>117*(1-S3/100)</f>
        <v>117</v>
      </c>
      <c r="Q1790" s="18"/>
      <c r="R1790" s="10">
        <f>P1790*Q1790</f>
        <v>0</v>
      </c>
      <c r="S1790" s="19">
        <f>0.102*Q1790</f>
        <v>0</v>
      </c>
      <c r="T1790" s="30">
        <f>0.0001*Q1790</f>
        <v>0</v>
      </c>
      <c r="U1790" s="21"/>
      <c r="V1790" s="22" t="s">
        <v>7563</v>
      </c>
      <c r="W1790" s="22" t="s">
        <v>49</v>
      </c>
      <c r="X1790" s="3"/>
      <c r="Y1790" s="3" t="s">
        <v>7564</v>
      </c>
      <c r="Z1790" s="3" t="s">
        <v>757</v>
      </c>
      <c r="AA1790" s="3" t="s">
        <v>7565</v>
      </c>
      <c r="AB1790" s="3"/>
      <c r="AC1790" s="3" t="str">
        <f>HYPERLINK("https://knigipp.ru/api/getInfo/image/8a14038c-c1a0-11ee-a25a-00155d82e908")</f>
        <v>https://knigipp.ru/api/getInfo/image/8a14038c-c1a0-11ee-a25a-00155d82e908</v>
      </c>
      <c r="AD1790" s="32">
        <v>32</v>
      </c>
      <c r="AE1790" s="3" t="s">
        <v>54</v>
      </c>
      <c r="AF1790" s="3" t="s">
        <v>136</v>
      </c>
      <c r="AG1790" s="3"/>
      <c r="AH1790" s="3" t="s">
        <v>56</v>
      </c>
      <c r="AI1790" s="3"/>
      <c r="AJ1790" s="3"/>
      <c r="AK1790" s="3" t="str">
        <f>HYPERLINK("https://knigipp.ru/api/getInfo/item/8a14038c-c1a0-11ee-a25a-00155d82e908")</f>
        <v>https://knigipp.ru/api/getInfo/item/8a14038c-c1a0-11ee-a25a-00155d82e908</v>
      </c>
      <c r="AL1790" s="3" t="s">
        <v>7566</v>
      </c>
    </row>
    <row r="1791" spans="1:38" ht="21" customHeight="1" outlineLevel="4" x14ac:dyDescent="0.2">
      <c r="A1791" s="39">
        <v>1362</v>
      </c>
      <c r="B1791" s="3" t="s">
        <v>7567</v>
      </c>
      <c r="C1791" s="49" t="s">
        <v>7568</v>
      </c>
      <c r="D1791" s="49"/>
      <c r="E1791" s="49"/>
      <c r="F1791" s="49"/>
      <c r="G1791" s="4" t="s">
        <v>7569</v>
      </c>
      <c r="H1791" s="8"/>
      <c r="I1791" s="9" t="s">
        <v>7562</v>
      </c>
      <c r="J1791" s="10"/>
      <c r="K1791" s="11">
        <v>30</v>
      </c>
      <c r="L1791" s="10"/>
      <c r="M1791" s="10" t="s">
        <v>47</v>
      </c>
      <c r="N1791" s="10"/>
      <c r="O1791" s="2">
        <v>5</v>
      </c>
      <c r="P1791" s="17">
        <f>117*(1-S3/100)</f>
        <v>117</v>
      </c>
      <c r="Q1791" s="18"/>
      <c r="R1791" s="10">
        <f>P1791*Q1791</f>
        <v>0</v>
      </c>
      <c r="S1791" s="19">
        <f>0.102*Q1791</f>
        <v>0</v>
      </c>
      <c r="T1791" s="30">
        <f>0.0001*Q1791</f>
        <v>0</v>
      </c>
      <c r="U1791" s="21"/>
      <c r="V1791" s="22" t="s">
        <v>7570</v>
      </c>
      <c r="W1791" s="22" t="s">
        <v>49</v>
      </c>
      <c r="X1791" s="3"/>
      <c r="Y1791" s="3" t="s">
        <v>7571</v>
      </c>
      <c r="Z1791" s="3" t="s">
        <v>757</v>
      </c>
      <c r="AA1791" s="3" t="s">
        <v>7565</v>
      </c>
      <c r="AB1791" s="3"/>
      <c r="AC1791" s="3" t="str">
        <f>HYPERLINK("https://knigipp.ru/api/getInfo/image/26b23445-c1a0-11ee-a25a-00155d82e908")</f>
        <v>https://knigipp.ru/api/getInfo/image/26b23445-c1a0-11ee-a25a-00155d82e908</v>
      </c>
      <c r="AD1791" s="32">
        <v>32</v>
      </c>
      <c r="AE1791" s="3" t="s">
        <v>54</v>
      </c>
      <c r="AF1791" s="3" t="s">
        <v>136</v>
      </c>
      <c r="AG1791" s="3"/>
      <c r="AH1791" s="3" t="s">
        <v>56</v>
      </c>
      <c r="AI1791" s="3"/>
      <c r="AJ1791" s="3"/>
      <c r="AK1791" s="3" t="str">
        <f>HYPERLINK("https://knigipp.ru/api/getInfo/item/26b23445-c1a0-11ee-a25a-00155d82e908")</f>
        <v>https://knigipp.ru/api/getInfo/item/26b23445-c1a0-11ee-a25a-00155d82e908</v>
      </c>
      <c r="AL1791" s="3" t="s">
        <v>7566</v>
      </c>
    </row>
    <row r="1792" spans="1:38" ht="21" customHeight="1" outlineLevel="4" x14ac:dyDescent="0.2">
      <c r="A1792" s="39">
        <v>1363</v>
      </c>
      <c r="B1792" s="3" t="s">
        <v>7572</v>
      </c>
      <c r="C1792" s="49" t="s">
        <v>7573</v>
      </c>
      <c r="D1792" s="49"/>
      <c r="E1792" s="49"/>
      <c r="F1792" s="49"/>
      <c r="G1792" s="4" t="s">
        <v>7574</v>
      </c>
      <c r="H1792" s="8"/>
      <c r="I1792" s="9" t="s">
        <v>7562</v>
      </c>
      <c r="J1792" s="10"/>
      <c r="K1792" s="11">
        <v>30</v>
      </c>
      <c r="L1792" s="10"/>
      <c r="M1792" s="10" t="s">
        <v>47</v>
      </c>
      <c r="N1792" s="10"/>
      <c r="O1792" s="2">
        <v>5</v>
      </c>
      <c r="P1792" s="17">
        <f>117*(1-S3/100)</f>
        <v>117</v>
      </c>
      <c r="Q1792" s="18"/>
      <c r="R1792" s="10">
        <f>P1792*Q1792</f>
        <v>0</v>
      </c>
      <c r="S1792" s="19">
        <f>0.101*Q1792</f>
        <v>0</v>
      </c>
      <c r="T1792" s="20">
        <f>0.00015*Q1792</f>
        <v>0</v>
      </c>
      <c r="U1792" s="21"/>
      <c r="V1792" s="22" t="s">
        <v>7575</v>
      </c>
      <c r="W1792" s="22" t="s">
        <v>49</v>
      </c>
      <c r="X1792" s="3"/>
      <c r="Y1792" s="3" t="s">
        <v>7576</v>
      </c>
      <c r="Z1792" s="3" t="s">
        <v>757</v>
      </c>
      <c r="AA1792" s="3" t="s">
        <v>7565</v>
      </c>
      <c r="AB1792" s="3"/>
      <c r="AC1792" s="3" t="str">
        <f>HYPERLINK("https://knigipp.ru/api/getInfo/image/ab965ea7-c1a0-11ee-a25a-00155d82e908")</f>
        <v>https://knigipp.ru/api/getInfo/image/ab965ea7-c1a0-11ee-a25a-00155d82e908</v>
      </c>
      <c r="AD1792" s="32">
        <v>32</v>
      </c>
      <c r="AE1792" s="3" t="s">
        <v>54</v>
      </c>
      <c r="AF1792" s="3" t="s">
        <v>136</v>
      </c>
      <c r="AG1792" s="3"/>
      <c r="AH1792" s="3" t="s">
        <v>56</v>
      </c>
      <c r="AI1792" s="3"/>
      <c r="AJ1792" s="3"/>
      <c r="AK1792" s="3" t="str">
        <f>HYPERLINK("https://knigipp.ru/api/getInfo/item/ab965ea7-c1a0-11ee-a25a-00155d82e908")</f>
        <v>https://knigipp.ru/api/getInfo/item/ab965ea7-c1a0-11ee-a25a-00155d82e908</v>
      </c>
      <c r="AL1792" s="3" t="s">
        <v>7566</v>
      </c>
    </row>
    <row r="1793" spans="1:38" ht="21" customHeight="1" outlineLevel="4" x14ac:dyDescent="0.2">
      <c r="A1793" s="39">
        <v>1364</v>
      </c>
      <c r="B1793" s="3" t="s">
        <v>7577</v>
      </c>
      <c r="C1793" s="49" t="s">
        <v>7578</v>
      </c>
      <c r="D1793" s="49"/>
      <c r="E1793" s="49"/>
      <c r="F1793" s="49"/>
      <c r="G1793" s="4" t="s">
        <v>7579</v>
      </c>
      <c r="H1793" s="8"/>
      <c r="I1793" s="9" t="s">
        <v>7562</v>
      </c>
      <c r="J1793" s="10"/>
      <c r="K1793" s="11">
        <v>30</v>
      </c>
      <c r="L1793" s="10"/>
      <c r="M1793" s="10" t="s">
        <v>47</v>
      </c>
      <c r="N1793" s="10"/>
      <c r="O1793" s="2">
        <v>5</v>
      </c>
      <c r="P1793" s="17">
        <f>117*(1-S3/100)</f>
        <v>117</v>
      </c>
      <c r="Q1793" s="18"/>
      <c r="R1793" s="10">
        <f>P1793*Q1793</f>
        <v>0</v>
      </c>
      <c r="S1793" s="19">
        <f>0.102*Q1793</f>
        <v>0</v>
      </c>
      <c r="T1793" s="30">
        <f>0.0001*Q1793</f>
        <v>0</v>
      </c>
      <c r="U1793" s="21"/>
      <c r="V1793" s="22" t="s">
        <v>7580</v>
      </c>
      <c r="W1793" s="22" t="s">
        <v>49</v>
      </c>
      <c r="X1793" s="3"/>
      <c r="Y1793" s="3" t="s">
        <v>7581</v>
      </c>
      <c r="Z1793" s="3" t="s">
        <v>757</v>
      </c>
      <c r="AA1793" s="3" t="s">
        <v>7565</v>
      </c>
      <c r="AB1793" s="3"/>
      <c r="AC1793" s="3" t="str">
        <f>HYPERLINK("https://knigipp.ru/api/getInfo/image/d88d4ab1-c1a0-11ee-a25a-00155d82e908")</f>
        <v>https://knigipp.ru/api/getInfo/image/d88d4ab1-c1a0-11ee-a25a-00155d82e908</v>
      </c>
      <c r="AD1793" s="32">
        <v>32</v>
      </c>
      <c r="AE1793" s="3" t="s">
        <v>54</v>
      </c>
      <c r="AF1793" s="3" t="s">
        <v>136</v>
      </c>
      <c r="AG1793" s="3"/>
      <c r="AH1793" s="3" t="s">
        <v>56</v>
      </c>
      <c r="AI1793" s="3"/>
      <c r="AJ1793" s="3"/>
      <c r="AK1793" s="3" t="str">
        <f>HYPERLINK("https://knigipp.ru/api/getInfo/item/d88d4ab1-c1a0-11ee-a25a-00155d82e908")</f>
        <v>https://knigipp.ru/api/getInfo/item/d88d4ab1-c1a0-11ee-a25a-00155d82e908</v>
      </c>
      <c r="AL1793" s="3" t="s">
        <v>7566</v>
      </c>
    </row>
    <row r="1794" spans="1:38" ht="23.1" customHeight="1" outlineLevel="3" x14ac:dyDescent="0.2">
      <c r="A1794" s="48" t="s">
        <v>7582</v>
      </c>
      <c r="B1794" s="48"/>
      <c r="C1794" s="48"/>
      <c r="D1794" s="48"/>
      <c r="E1794" s="48"/>
      <c r="F1794" s="48"/>
    </row>
    <row r="1795" spans="1:38" ht="21" customHeight="1" outlineLevel="4" x14ac:dyDescent="0.2">
      <c r="A1795" s="39">
        <v>1365</v>
      </c>
      <c r="B1795" s="3" t="s">
        <v>7583</v>
      </c>
      <c r="C1795" s="49" t="s">
        <v>7584</v>
      </c>
      <c r="D1795" s="49"/>
      <c r="E1795" s="49"/>
      <c r="F1795" s="49"/>
      <c r="G1795" s="4" t="s">
        <v>7585</v>
      </c>
      <c r="H1795" s="8"/>
      <c r="I1795" s="9" t="s">
        <v>7586</v>
      </c>
      <c r="J1795" s="10"/>
      <c r="K1795" s="11">
        <v>25</v>
      </c>
      <c r="L1795" s="10"/>
      <c r="M1795" s="10" t="s">
        <v>47</v>
      </c>
      <c r="N1795" s="10"/>
      <c r="O1795" s="2">
        <v>5</v>
      </c>
      <c r="P1795" s="17">
        <f>129*(1-S3/100)</f>
        <v>129</v>
      </c>
      <c r="Q1795" s="18"/>
      <c r="R1795" s="10">
        <f t="shared" ref="R1795:R1800" si="75">P1795*Q1795</f>
        <v>0</v>
      </c>
      <c r="S1795" s="19">
        <f>0.109*Q1795</f>
        <v>0</v>
      </c>
      <c r="T1795" s="20">
        <f>0.00127*Q1795</f>
        <v>0</v>
      </c>
      <c r="U1795" s="21"/>
      <c r="V1795" s="22" t="s">
        <v>7587</v>
      </c>
      <c r="W1795" s="22" t="s">
        <v>49</v>
      </c>
      <c r="X1795" s="3"/>
      <c r="Y1795" s="3" t="s">
        <v>7588</v>
      </c>
      <c r="Z1795" s="3" t="s">
        <v>52</v>
      </c>
      <c r="AA1795" s="3"/>
      <c r="AB1795" s="3"/>
      <c r="AC1795" s="3" t="str">
        <f>HYPERLINK("https://knigipp.ru/api/getInfo/image/572ad1e3-d870-11ed-a232-00155d82e902")</f>
        <v>https://knigipp.ru/api/getInfo/image/572ad1e3-d870-11ed-a232-00155d82e902</v>
      </c>
      <c r="AD1795" s="32">
        <v>32</v>
      </c>
      <c r="AE1795" s="3"/>
      <c r="AF1795" s="3" t="s">
        <v>55</v>
      </c>
      <c r="AG1795" s="3"/>
      <c r="AH1795" s="3" t="s">
        <v>56</v>
      </c>
      <c r="AI1795" s="3"/>
      <c r="AJ1795" s="3"/>
      <c r="AK1795" s="3" t="str">
        <f>HYPERLINK("https://knigipp.ru/api/getInfo/item/572ad1e3-d870-11ed-a232-00155d82e902")</f>
        <v>https://knigipp.ru/api/getInfo/item/572ad1e3-d870-11ed-a232-00155d82e902</v>
      </c>
      <c r="AL1795" s="3" t="s">
        <v>7258</v>
      </c>
    </row>
    <row r="1796" spans="1:38" ht="21" customHeight="1" outlineLevel="4" x14ac:dyDescent="0.2">
      <c r="A1796" s="39">
        <v>1366</v>
      </c>
      <c r="B1796" s="3" t="s">
        <v>7589</v>
      </c>
      <c r="C1796" s="49" t="s">
        <v>7590</v>
      </c>
      <c r="D1796" s="49"/>
      <c r="E1796" s="49"/>
      <c r="F1796" s="49"/>
      <c r="G1796" s="4" t="s">
        <v>7591</v>
      </c>
      <c r="H1796" s="8"/>
      <c r="I1796" s="9" t="s">
        <v>7592</v>
      </c>
      <c r="J1796" s="10"/>
      <c r="K1796" s="11">
        <v>25</v>
      </c>
      <c r="L1796" s="10"/>
      <c r="M1796" s="10" t="s">
        <v>47</v>
      </c>
      <c r="N1796" s="10"/>
      <c r="O1796" s="2">
        <v>5</v>
      </c>
      <c r="P1796" s="17">
        <f>129*(1-S3/100)</f>
        <v>129</v>
      </c>
      <c r="Q1796" s="18"/>
      <c r="R1796" s="10">
        <f t="shared" si="75"/>
        <v>0</v>
      </c>
      <c r="S1796" s="19">
        <f>0.144*Q1796</f>
        <v>0</v>
      </c>
      <c r="T1796" s="20">
        <f>0.00044*Q1796</f>
        <v>0</v>
      </c>
      <c r="U1796" s="21"/>
      <c r="V1796" s="22" t="s">
        <v>7593</v>
      </c>
      <c r="W1796" s="22" t="s">
        <v>49</v>
      </c>
      <c r="X1796" s="3"/>
      <c r="Y1796" s="3" t="s">
        <v>7588</v>
      </c>
      <c r="Z1796" s="3" t="s">
        <v>52</v>
      </c>
      <c r="AA1796" s="3"/>
      <c r="AB1796" s="3"/>
      <c r="AC1796" s="3" t="str">
        <f>HYPERLINK("https://knigipp.ru/api/getInfo/image/34172e31-2aaf-11ed-a216-ac1f6b442185")</f>
        <v>https://knigipp.ru/api/getInfo/image/34172e31-2aaf-11ed-a216-ac1f6b442185</v>
      </c>
      <c r="AD1796" s="32">
        <v>32</v>
      </c>
      <c r="AE1796" s="3"/>
      <c r="AF1796" s="3" t="s">
        <v>55</v>
      </c>
      <c r="AG1796" s="3"/>
      <c r="AH1796" s="3" t="s">
        <v>56</v>
      </c>
      <c r="AI1796" s="3"/>
      <c r="AJ1796" s="3"/>
      <c r="AK1796" s="3" t="str">
        <f>HYPERLINK("https://knigipp.ru/api/getInfo/item/34172e31-2aaf-11ed-a216-ac1f6b442185")</f>
        <v>https://knigipp.ru/api/getInfo/item/34172e31-2aaf-11ed-a216-ac1f6b442185</v>
      </c>
      <c r="AL1796" s="3" t="s">
        <v>7258</v>
      </c>
    </row>
    <row r="1797" spans="1:38" ht="21" customHeight="1" outlineLevel="4" x14ac:dyDescent="0.2">
      <c r="A1797" s="39">
        <v>1367</v>
      </c>
      <c r="B1797" s="3" t="s">
        <v>7594</v>
      </c>
      <c r="C1797" s="49" t="s">
        <v>7595</v>
      </c>
      <c r="D1797" s="49"/>
      <c r="E1797" s="49"/>
      <c r="F1797" s="49"/>
      <c r="G1797" s="4" t="s">
        <v>7596</v>
      </c>
      <c r="H1797" s="8"/>
      <c r="I1797" s="9" t="s">
        <v>7597</v>
      </c>
      <c r="J1797" s="10"/>
      <c r="K1797" s="11">
        <v>25</v>
      </c>
      <c r="L1797" s="10"/>
      <c r="M1797" s="10" t="s">
        <v>47</v>
      </c>
      <c r="N1797" s="10"/>
      <c r="O1797" s="2">
        <v>5</v>
      </c>
      <c r="P1797" s="17">
        <f>129*(1-S3/100)</f>
        <v>129</v>
      </c>
      <c r="Q1797" s="18"/>
      <c r="R1797" s="10">
        <f t="shared" si="75"/>
        <v>0</v>
      </c>
      <c r="S1797" s="19">
        <f>0.144*Q1797</f>
        <v>0</v>
      </c>
      <c r="T1797" s="20">
        <f>0.00037*Q1797</f>
        <v>0</v>
      </c>
      <c r="U1797" s="21"/>
      <c r="V1797" s="22" t="s">
        <v>7598</v>
      </c>
      <c r="W1797" s="22" t="s">
        <v>49</v>
      </c>
      <c r="X1797" s="3"/>
      <c r="Y1797" s="3" t="s">
        <v>7588</v>
      </c>
      <c r="Z1797" s="3" t="s">
        <v>52</v>
      </c>
      <c r="AA1797" s="3"/>
      <c r="AB1797" s="3"/>
      <c r="AC1797" s="3" t="str">
        <f>HYPERLINK("https://knigipp.ru/api/getInfo/image/880b1c09-d870-11ed-a232-00155d82e902")</f>
        <v>https://knigipp.ru/api/getInfo/image/880b1c09-d870-11ed-a232-00155d82e902</v>
      </c>
      <c r="AD1797" s="32">
        <v>32</v>
      </c>
      <c r="AE1797" s="3" t="s">
        <v>54</v>
      </c>
      <c r="AF1797" s="3" t="s">
        <v>55</v>
      </c>
      <c r="AG1797" s="3"/>
      <c r="AH1797" s="3" t="s">
        <v>56</v>
      </c>
      <c r="AI1797" s="3"/>
      <c r="AJ1797" s="3"/>
      <c r="AK1797" s="3" t="str">
        <f>HYPERLINK("https://knigipp.ru/api/getInfo/item/880b1c09-d870-11ed-a232-00155d82e902")</f>
        <v>https://knigipp.ru/api/getInfo/item/880b1c09-d870-11ed-a232-00155d82e902</v>
      </c>
      <c r="AL1797" s="3" t="s">
        <v>7258</v>
      </c>
    </row>
    <row r="1798" spans="1:38" ht="21" customHeight="1" outlineLevel="4" x14ac:dyDescent="0.2">
      <c r="A1798" s="39">
        <v>1368</v>
      </c>
      <c r="B1798" s="3" t="s">
        <v>7599</v>
      </c>
      <c r="C1798" s="49" t="s">
        <v>7600</v>
      </c>
      <c r="D1798" s="49"/>
      <c r="E1798" s="49"/>
      <c r="F1798" s="49"/>
      <c r="G1798" s="4" t="s">
        <v>7601</v>
      </c>
      <c r="H1798" s="8"/>
      <c r="I1798" s="9" t="s">
        <v>7602</v>
      </c>
      <c r="J1798" s="10"/>
      <c r="K1798" s="11">
        <v>25</v>
      </c>
      <c r="L1798" s="10"/>
      <c r="M1798" s="10" t="s">
        <v>47</v>
      </c>
      <c r="N1798" s="10"/>
      <c r="O1798" s="2">
        <v>5</v>
      </c>
      <c r="P1798" s="17">
        <f>129*(1-S3/100)</f>
        <v>129</v>
      </c>
      <c r="Q1798" s="18"/>
      <c r="R1798" s="10">
        <f t="shared" si="75"/>
        <v>0</v>
      </c>
      <c r="S1798" s="19">
        <f>0.147*Q1798</f>
        <v>0</v>
      </c>
      <c r="T1798" s="30">
        <f>0.0003*Q1798</f>
        <v>0</v>
      </c>
      <c r="U1798" s="21"/>
      <c r="V1798" s="22" t="s">
        <v>7603</v>
      </c>
      <c r="W1798" s="22" t="s">
        <v>49</v>
      </c>
      <c r="X1798" s="3"/>
      <c r="Y1798" s="3" t="s">
        <v>7588</v>
      </c>
      <c r="Z1798" s="3" t="s">
        <v>52</v>
      </c>
      <c r="AA1798" s="3"/>
      <c r="AB1798" s="3"/>
      <c r="AC1798" s="3" t="str">
        <f>HYPERLINK("https://knigipp.ru/api/getInfo/image/38bcbf86-9b40-11ee-a256-00155d82e908")</f>
        <v>https://knigipp.ru/api/getInfo/image/38bcbf86-9b40-11ee-a256-00155d82e908</v>
      </c>
      <c r="AD1798" s="32">
        <v>32</v>
      </c>
      <c r="AE1798" s="3" t="s">
        <v>54</v>
      </c>
      <c r="AF1798" s="3" t="s">
        <v>55</v>
      </c>
      <c r="AG1798" s="3"/>
      <c r="AH1798" s="3" t="s">
        <v>56</v>
      </c>
      <c r="AI1798" s="3"/>
      <c r="AJ1798" s="3"/>
      <c r="AK1798" s="3" t="str">
        <f>HYPERLINK("https://knigipp.ru/api/getInfo/item/38bcbf86-9b40-11ee-a256-00155d82e908")</f>
        <v>https://knigipp.ru/api/getInfo/item/38bcbf86-9b40-11ee-a256-00155d82e908</v>
      </c>
      <c r="AL1798" s="3" t="s">
        <v>7258</v>
      </c>
    </row>
    <row r="1799" spans="1:38" ht="21" customHeight="1" outlineLevel="4" x14ac:dyDescent="0.2">
      <c r="A1799" s="39">
        <v>1369</v>
      </c>
      <c r="B1799" s="3" t="s">
        <v>7604</v>
      </c>
      <c r="C1799" s="49" t="s">
        <v>7605</v>
      </c>
      <c r="D1799" s="49"/>
      <c r="E1799" s="49"/>
      <c r="F1799" s="49"/>
      <c r="G1799" s="4" t="s">
        <v>7606</v>
      </c>
      <c r="H1799" s="8"/>
      <c r="I1799" s="9" t="s">
        <v>7607</v>
      </c>
      <c r="J1799" s="10"/>
      <c r="K1799" s="11">
        <v>25</v>
      </c>
      <c r="L1799" s="10"/>
      <c r="M1799" s="10" t="s">
        <v>47</v>
      </c>
      <c r="N1799" s="10"/>
      <c r="O1799" s="2">
        <v>5</v>
      </c>
      <c r="P1799" s="17">
        <f>129*(1-S3/100)</f>
        <v>129</v>
      </c>
      <c r="Q1799" s="18"/>
      <c r="R1799" s="10">
        <f t="shared" si="75"/>
        <v>0</v>
      </c>
      <c r="S1799" s="19">
        <f>0.147*Q1799</f>
        <v>0</v>
      </c>
      <c r="T1799" s="30">
        <f>0.0003*Q1799</f>
        <v>0</v>
      </c>
      <c r="U1799" s="21"/>
      <c r="V1799" s="22" t="s">
        <v>7608</v>
      </c>
      <c r="W1799" s="22" t="s">
        <v>49</v>
      </c>
      <c r="X1799" s="3"/>
      <c r="Y1799" s="3" t="s">
        <v>7588</v>
      </c>
      <c r="Z1799" s="3" t="s">
        <v>52</v>
      </c>
      <c r="AA1799" s="3"/>
      <c r="AB1799" s="3"/>
      <c r="AC1799" s="3" t="str">
        <f>HYPERLINK("https://knigipp.ru/api/getInfo/image/8a6a5307-9b40-11ee-a256-00155d82e908")</f>
        <v>https://knigipp.ru/api/getInfo/image/8a6a5307-9b40-11ee-a256-00155d82e908</v>
      </c>
      <c r="AD1799" s="32">
        <v>32</v>
      </c>
      <c r="AE1799" s="3" t="s">
        <v>54</v>
      </c>
      <c r="AF1799" s="3" t="s">
        <v>55</v>
      </c>
      <c r="AG1799" s="3"/>
      <c r="AH1799" s="3" t="s">
        <v>56</v>
      </c>
      <c r="AI1799" s="3"/>
      <c r="AJ1799" s="3"/>
      <c r="AK1799" s="3" t="str">
        <f>HYPERLINK("https://knigipp.ru/api/getInfo/item/8a6a5307-9b40-11ee-a256-00155d82e908")</f>
        <v>https://knigipp.ru/api/getInfo/item/8a6a5307-9b40-11ee-a256-00155d82e908</v>
      </c>
      <c r="AL1799" s="3" t="s">
        <v>7258</v>
      </c>
    </row>
    <row r="1800" spans="1:38" ht="21" customHeight="1" outlineLevel="4" x14ac:dyDescent="0.2">
      <c r="A1800" s="39">
        <v>1370</v>
      </c>
      <c r="B1800" s="3" t="s">
        <v>7609</v>
      </c>
      <c r="C1800" s="49" t="s">
        <v>7610</v>
      </c>
      <c r="D1800" s="49"/>
      <c r="E1800" s="49"/>
      <c r="F1800" s="49"/>
      <c r="G1800" s="4" t="s">
        <v>7611</v>
      </c>
      <c r="H1800" s="8"/>
      <c r="I1800" s="9" t="s">
        <v>7612</v>
      </c>
      <c r="J1800" s="10"/>
      <c r="K1800" s="11">
        <v>25</v>
      </c>
      <c r="L1800" s="10"/>
      <c r="M1800" s="10" t="s">
        <v>47</v>
      </c>
      <c r="N1800" s="10"/>
      <c r="O1800" s="2">
        <v>5</v>
      </c>
      <c r="P1800" s="17">
        <f>129*(1-S3/100)</f>
        <v>129</v>
      </c>
      <c r="Q1800" s="18"/>
      <c r="R1800" s="10">
        <f t="shared" si="75"/>
        <v>0</v>
      </c>
      <c r="S1800" s="19">
        <f>0.144*Q1800</f>
        <v>0</v>
      </c>
      <c r="T1800" s="20">
        <f>0.00044*Q1800</f>
        <v>0</v>
      </c>
      <c r="U1800" s="21"/>
      <c r="V1800" s="22" t="s">
        <v>7613</v>
      </c>
      <c r="W1800" s="22" t="s">
        <v>49</v>
      </c>
      <c r="X1800" s="3"/>
      <c r="Y1800" s="3" t="s">
        <v>7588</v>
      </c>
      <c r="Z1800" s="3" t="s">
        <v>52</v>
      </c>
      <c r="AA1800" s="3"/>
      <c r="AB1800" s="3"/>
      <c r="AC1800" s="3" t="str">
        <f>HYPERLINK("https://knigipp.ru/api/getInfo/image/70ebc6be-2aaf-11ed-a216-ac1f6b442185")</f>
        <v>https://knigipp.ru/api/getInfo/image/70ebc6be-2aaf-11ed-a216-ac1f6b442185</v>
      </c>
      <c r="AD1800" s="32">
        <v>32</v>
      </c>
      <c r="AE1800" s="3"/>
      <c r="AF1800" s="3" t="s">
        <v>55</v>
      </c>
      <c r="AG1800" s="3"/>
      <c r="AH1800" s="3" t="s">
        <v>56</v>
      </c>
      <c r="AI1800" s="3"/>
      <c r="AJ1800" s="3"/>
      <c r="AK1800" s="3" t="str">
        <f>HYPERLINK("https://knigipp.ru/api/getInfo/item/70ebc6be-2aaf-11ed-a216-ac1f6b442185")</f>
        <v>https://knigipp.ru/api/getInfo/item/70ebc6be-2aaf-11ed-a216-ac1f6b442185</v>
      </c>
      <c r="AL1800" s="3" t="s">
        <v>7258</v>
      </c>
    </row>
    <row r="1801" spans="1:38" ht="23.1" customHeight="1" outlineLevel="3" x14ac:dyDescent="0.2">
      <c r="A1801" s="48" t="s">
        <v>7614</v>
      </c>
      <c r="B1801" s="48"/>
      <c r="C1801" s="48"/>
      <c r="D1801" s="48"/>
      <c r="E1801" s="48"/>
      <c r="F1801" s="48"/>
    </row>
    <row r="1802" spans="1:38" ht="21" customHeight="1" outlineLevel="4" x14ac:dyDescent="0.2">
      <c r="A1802" s="39">
        <v>1371</v>
      </c>
      <c r="B1802" s="3" t="s">
        <v>7615</v>
      </c>
      <c r="C1802" s="49" t="s">
        <v>7616</v>
      </c>
      <c r="D1802" s="49"/>
      <c r="E1802" s="49"/>
      <c r="F1802" s="49"/>
      <c r="G1802" s="4" t="s">
        <v>7617</v>
      </c>
      <c r="H1802" s="8"/>
      <c r="I1802" s="9" t="s">
        <v>7618</v>
      </c>
      <c r="J1802" s="10"/>
      <c r="K1802" s="11">
        <v>50</v>
      </c>
      <c r="L1802" s="10"/>
      <c r="M1802" s="10" t="s">
        <v>47</v>
      </c>
      <c r="N1802" s="10"/>
      <c r="O1802" s="2">
        <v>20</v>
      </c>
      <c r="P1802" s="17">
        <f>35*(1-S3/100)</f>
        <v>35</v>
      </c>
      <c r="Q1802" s="18"/>
      <c r="R1802" s="10">
        <f>P1802*Q1802</f>
        <v>0</v>
      </c>
      <c r="S1802" s="19">
        <f>0.031*Q1802</f>
        <v>0</v>
      </c>
      <c r="T1802" s="20">
        <f>0.00006*Q1802</f>
        <v>0</v>
      </c>
      <c r="U1802" s="21"/>
      <c r="V1802" s="22" t="s">
        <v>7619</v>
      </c>
      <c r="W1802" s="22" t="s">
        <v>49</v>
      </c>
      <c r="X1802" s="3"/>
      <c r="Y1802" s="3"/>
      <c r="Z1802" s="3" t="s">
        <v>52</v>
      </c>
      <c r="AA1802" s="3"/>
      <c r="AB1802" s="3"/>
      <c r="AC1802" s="3" t="str">
        <f>HYPERLINK("https://knigipp.ru/api/getInfo/image/0f6b9730-886e-11ee-a249-00155d82e902")</f>
        <v>https://knigipp.ru/api/getInfo/image/0f6b9730-886e-11ee-a249-00155d82e902</v>
      </c>
      <c r="AD1802" s="32">
        <v>16</v>
      </c>
      <c r="AE1802" s="3" t="s">
        <v>54</v>
      </c>
      <c r="AF1802" s="3" t="s">
        <v>136</v>
      </c>
      <c r="AG1802" s="3"/>
      <c r="AH1802" s="3" t="s">
        <v>56</v>
      </c>
      <c r="AI1802" s="3"/>
      <c r="AJ1802" s="3"/>
      <c r="AK1802" s="3" t="str">
        <f>HYPERLINK("https://knigipp.ru/api/getInfo/item/0f6b9730-886e-11ee-a249-00155d82e902")</f>
        <v>https://knigipp.ru/api/getInfo/item/0f6b9730-886e-11ee-a249-00155d82e902</v>
      </c>
      <c r="AL1802" s="3" t="s">
        <v>628</v>
      </c>
    </row>
    <row r="1803" spans="1:38" ht="23.1" customHeight="1" outlineLevel="3" x14ac:dyDescent="0.2">
      <c r="A1803" s="48" t="s">
        <v>7620</v>
      </c>
      <c r="B1803" s="48"/>
      <c r="C1803" s="48"/>
      <c r="D1803" s="48"/>
      <c r="E1803" s="48"/>
      <c r="F1803" s="48"/>
    </row>
    <row r="1804" spans="1:38" ht="21" customHeight="1" outlineLevel="4" x14ac:dyDescent="0.2">
      <c r="A1804" s="39">
        <v>1372</v>
      </c>
      <c r="B1804" s="3" t="s">
        <v>7621</v>
      </c>
      <c r="C1804" s="49" t="s">
        <v>7622</v>
      </c>
      <c r="D1804" s="49"/>
      <c r="E1804" s="49"/>
      <c r="F1804" s="49"/>
      <c r="G1804" s="4" t="s">
        <v>7623</v>
      </c>
      <c r="H1804" s="8"/>
      <c r="I1804" s="9" t="s">
        <v>7624</v>
      </c>
      <c r="J1804" s="10"/>
      <c r="K1804" s="11">
        <v>25</v>
      </c>
      <c r="L1804" s="10"/>
      <c r="M1804" s="10" t="s">
        <v>47</v>
      </c>
      <c r="N1804" s="10"/>
      <c r="O1804" s="2">
        <v>5</v>
      </c>
      <c r="P1804" s="17">
        <f>149*(1-S3/100)</f>
        <v>149</v>
      </c>
      <c r="Q1804" s="18"/>
      <c r="R1804" s="10">
        <f>P1804*Q1804</f>
        <v>0</v>
      </c>
      <c r="S1804" s="19">
        <f>0.146*Q1804</f>
        <v>0</v>
      </c>
      <c r="T1804" s="20">
        <f>0.00022*Q1804</f>
        <v>0</v>
      </c>
      <c r="U1804" s="21"/>
      <c r="V1804" s="22" t="s">
        <v>7625</v>
      </c>
      <c r="W1804" s="22" t="s">
        <v>49</v>
      </c>
      <c r="X1804" s="3"/>
      <c r="Y1804" s="3" t="s">
        <v>7626</v>
      </c>
      <c r="Z1804" s="3" t="s">
        <v>52</v>
      </c>
      <c r="AA1804" s="3"/>
      <c r="AB1804" s="3"/>
      <c r="AC1804" s="3" t="str">
        <f>HYPERLINK("https://knigipp.ru/api/getInfo/image/94708b3d-9281-11ee-a250-00155d82e908")</f>
        <v>https://knigipp.ru/api/getInfo/image/94708b3d-9281-11ee-a250-00155d82e908</v>
      </c>
      <c r="AD1804" s="32">
        <v>32</v>
      </c>
      <c r="AE1804" s="3" t="s">
        <v>54</v>
      </c>
      <c r="AF1804" s="3" t="s">
        <v>55</v>
      </c>
      <c r="AG1804" s="3"/>
      <c r="AH1804" s="3" t="s">
        <v>56</v>
      </c>
      <c r="AI1804" s="3"/>
      <c r="AJ1804" s="3"/>
      <c r="AK1804" s="3" t="str">
        <f>HYPERLINK("https://knigipp.ru/api/getInfo/item/94708b3d-9281-11ee-a250-00155d82e908")</f>
        <v>https://knigipp.ru/api/getInfo/item/94708b3d-9281-11ee-a250-00155d82e908</v>
      </c>
      <c r="AL1804" s="3" t="s">
        <v>7627</v>
      </c>
    </row>
    <row r="1805" spans="1:38" ht="21" customHeight="1" outlineLevel="4" x14ac:dyDescent="0.2">
      <c r="A1805" s="39">
        <v>1373</v>
      </c>
      <c r="B1805" s="3" t="s">
        <v>7628</v>
      </c>
      <c r="C1805" s="49" t="s">
        <v>7629</v>
      </c>
      <c r="D1805" s="49"/>
      <c r="E1805" s="49"/>
      <c r="F1805" s="49"/>
      <c r="G1805" s="4" t="s">
        <v>7630</v>
      </c>
      <c r="H1805" s="8"/>
      <c r="I1805" s="9" t="s">
        <v>7624</v>
      </c>
      <c r="J1805" s="10"/>
      <c r="K1805" s="11">
        <v>25</v>
      </c>
      <c r="L1805" s="10"/>
      <c r="M1805" s="10" t="s">
        <v>47</v>
      </c>
      <c r="N1805" s="10"/>
      <c r="O1805" s="2">
        <v>5</v>
      </c>
      <c r="P1805" s="17">
        <f>149*(1-S3/100)</f>
        <v>149</v>
      </c>
      <c r="Q1805" s="18"/>
      <c r="R1805" s="10">
        <f>P1805*Q1805</f>
        <v>0</v>
      </c>
      <c r="S1805" s="19">
        <f>0.146*Q1805</f>
        <v>0</v>
      </c>
      <c r="T1805" s="20">
        <f>0.00022*Q1805</f>
        <v>0</v>
      </c>
      <c r="U1805" s="21"/>
      <c r="V1805" s="22" t="s">
        <v>7631</v>
      </c>
      <c r="W1805" s="22" t="s">
        <v>49</v>
      </c>
      <c r="X1805" s="3"/>
      <c r="Y1805" s="3" t="s">
        <v>7632</v>
      </c>
      <c r="Z1805" s="3" t="s">
        <v>52</v>
      </c>
      <c r="AA1805" s="3"/>
      <c r="AB1805" s="3"/>
      <c r="AC1805" s="3" t="str">
        <f>HYPERLINK("https://knigipp.ru/api/getInfo/image/e1a5a4d7-9281-11ee-a250-00155d82e908")</f>
        <v>https://knigipp.ru/api/getInfo/image/e1a5a4d7-9281-11ee-a250-00155d82e908</v>
      </c>
      <c r="AD1805" s="32">
        <v>32</v>
      </c>
      <c r="AE1805" s="3" t="s">
        <v>54</v>
      </c>
      <c r="AF1805" s="3" t="s">
        <v>55</v>
      </c>
      <c r="AG1805" s="3"/>
      <c r="AH1805" s="3" t="s">
        <v>56</v>
      </c>
      <c r="AI1805" s="3"/>
      <c r="AJ1805" s="3"/>
      <c r="AK1805" s="3" t="str">
        <f>HYPERLINK("https://knigipp.ru/api/getInfo/item/e1a5a4d7-9281-11ee-a250-00155d82e908")</f>
        <v>https://knigipp.ru/api/getInfo/item/e1a5a4d7-9281-11ee-a250-00155d82e908</v>
      </c>
      <c r="AL1805" s="3" t="s">
        <v>7627</v>
      </c>
    </row>
    <row r="1806" spans="1:38" ht="23.1" customHeight="1" outlineLevel="3" x14ac:dyDescent="0.2">
      <c r="A1806" s="48" t="s">
        <v>7633</v>
      </c>
      <c r="B1806" s="48"/>
      <c r="C1806" s="48"/>
      <c r="D1806" s="48"/>
      <c r="E1806" s="48"/>
      <c r="F1806" s="48"/>
    </row>
    <row r="1807" spans="1:38" ht="21" customHeight="1" outlineLevel="4" x14ac:dyDescent="0.2">
      <c r="A1807" s="39">
        <v>1374</v>
      </c>
      <c r="B1807" s="3" t="s">
        <v>7634</v>
      </c>
      <c r="C1807" s="49" t="s">
        <v>7635</v>
      </c>
      <c r="D1807" s="49"/>
      <c r="E1807" s="49"/>
      <c r="F1807" s="49"/>
      <c r="G1807" s="4" t="s">
        <v>7636</v>
      </c>
      <c r="H1807" s="8"/>
      <c r="I1807" s="9" t="s">
        <v>7637</v>
      </c>
      <c r="J1807" s="10"/>
      <c r="K1807" s="11">
        <v>30</v>
      </c>
      <c r="L1807" s="10"/>
      <c r="M1807" s="10" t="s">
        <v>47</v>
      </c>
      <c r="N1807" s="10"/>
      <c r="O1807" s="2">
        <v>10</v>
      </c>
      <c r="P1807" s="17">
        <f>69*(1-S3/100)</f>
        <v>69</v>
      </c>
      <c r="Q1807" s="18"/>
      <c r="R1807" s="10">
        <f>P1807*Q1807</f>
        <v>0</v>
      </c>
      <c r="S1807" s="19">
        <f>0.093*Q1807</f>
        <v>0</v>
      </c>
      <c r="T1807" s="20">
        <f>0.00017*Q1807</f>
        <v>0</v>
      </c>
      <c r="U1807" s="21"/>
      <c r="V1807" s="22" t="s">
        <v>7638</v>
      </c>
      <c r="W1807" s="22" t="s">
        <v>49</v>
      </c>
      <c r="X1807" s="3"/>
      <c r="Y1807" s="3"/>
      <c r="Z1807" s="3" t="s">
        <v>52</v>
      </c>
      <c r="AA1807" s="3"/>
      <c r="AB1807" s="3"/>
      <c r="AC1807" s="3" t="str">
        <f>HYPERLINK("https://knigipp.ru/api/getInfo/image/97bd8721-2a3f-11eb-a25d-ac1f6b442184")</f>
        <v>https://knigipp.ru/api/getInfo/image/97bd8721-2a3f-11eb-a25d-ac1f6b442184</v>
      </c>
      <c r="AD1807" s="32">
        <v>24</v>
      </c>
      <c r="AE1807" s="3"/>
      <c r="AF1807" s="3" t="s">
        <v>136</v>
      </c>
      <c r="AG1807" s="3"/>
      <c r="AH1807" s="3" t="s">
        <v>56</v>
      </c>
      <c r="AI1807" s="3"/>
      <c r="AJ1807" s="3"/>
      <c r="AK1807" s="3" t="str">
        <f>HYPERLINK("https://knigipp.ru/api/getInfo/item/97bd8721-2a3f-11eb-a25d-ac1f6b442184")</f>
        <v>https://knigipp.ru/api/getInfo/item/97bd8721-2a3f-11eb-a25d-ac1f6b442184</v>
      </c>
      <c r="AL1807" s="3" t="s">
        <v>7639</v>
      </c>
    </row>
    <row r="1808" spans="1:38" ht="23.1" customHeight="1" outlineLevel="3" x14ac:dyDescent="0.2">
      <c r="A1808" s="48" t="s">
        <v>7640</v>
      </c>
      <c r="B1808" s="48"/>
      <c r="C1808" s="48"/>
      <c r="D1808" s="48"/>
      <c r="E1808" s="48"/>
      <c r="F1808" s="48"/>
    </row>
    <row r="1809" spans="1:38" ht="21" customHeight="1" outlineLevel="4" x14ac:dyDescent="0.2">
      <c r="A1809" s="39">
        <v>1375</v>
      </c>
      <c r="B1809" s="3" t="s">
        <v>7641</v>
      </c>
      <c r="C1809" s="49" t="s">
        <v>7642</v>
      </c>
      <c r="D1809" s="49"/>
      <c r="E1809" s="49"/>
      <c r="F1809" s="49"/>
      <c r="G1809" s="4" t="s">
        <v>7643</v>
      </c>
      <c r="H1809" s="8"/>
      <c r="I1809" s="9" t="s">
        <v>7644</v>
      </c>
      <c r="J1809" s="10"/>
      <c r="K1809" s="11">
        <v>50</v>
      </c>
      <c r="L1809" s="10"/>
      <c r="M1809" s="10" t="s">
        <v>78</v>
      </c>
      <c r="N1809" s="10"/>
      <c r="O1809" s="2">
        <v>10</v>
      </c>
      <c r="P1809" s="17">
        <f>51.5*(1-S3/100)</f>
        <v>51.5</v>
      </c>
      <c r="Q1809" s="18"/>
      <c r="R1809" s="10">
        <f>P1809*Q1809</f>
        <v>0</v>
      </c>
      <c r="S1809" s="19">
        <f>0.066*Q1809</f>
        <v>0</v>
      </c>
      <c r="T1809" s="20">
        <f>0.00034*Q1809</f>
        <v>0</v>
      </c>
      <c r="U1809" s="21"/>
      <c r="V1809" s="22" t="s">
        <v>7645</v>
      </c>
      <c r="W1809" s="22" t="s">
        <v>49</v>
      </c>
      <c r="X1809" s="3"/>
      <c r="Y1809" s="3"/>
      <c r="Z1809" s="3" t="s">
        <v>52</v>
      </c>
      <c r="AA1809" s="3"/>
      <c r="AB1809" s="3"/>
      <c r="AC1809" s="3" t="str">
        <f>HYPERLINK("https://knigipp.ru/api/getInfo/image/edec1ecf-6d0c-11ea-a244-ac1f6b442184")</f>
        <v>https://knigipp.ru/api/getInfo/image/edec1ecf-6d0c-11ea-a244-ac1f6b442184</v>
      </c>
      <c r="AD1809" s="32">
        <v>16</v>
      </c>
      <c r="AE1809" s="3"/>
      <c r="AF1809" s="3" t="s">
        <v>136</v>
      </c>
      <c r="AG1809" s="3"/>
      <c r="AH1809" s="3" t="s">
        <v>56</v>
      </c>
      <c r="AI1809" s="3"/>
      <c r="AJ1809" s="3"/>
      <c r="AK1809" s="3" t="str">
        <f>HYPERLINK("https://knigipp.ru/api/getInfo/item/edec1ecf-6d0c-11ea-a244-ac1f6b442184")</f>
        <v>https://knigipp.ru/api/getInfo/item/edec1ecf-6d0c-11ea-a244-ac1f6b442184</v>
      </c>
      <c r="AL1809" s="3" t="s">
        <v>1155</v>
      </c>
    </row>
    <row r="1810" spans="1:38" ht="23.1" customHeight="1" outlineLevel="3" x14ac:dyDescent="0.2">
      <c r="A1810" s="48" t="s">
        <v>7646</v>
      </c>
      <c r="B1810" s="48"/>
      <c r="C1810" s="48"/>
      <c r="D1810" s="48"/>
      <c r="E1810" s="48"/>
      <c r="F1810" s="48"/>
    </row>
    <row r="1811" spans="1:38" ht="21" customHeight="1" outlineLevel="4" x14ac:dyDescent="0.2">
      <c r="A1811" s="39">
        <v>1376</v>
      </c>
      <c r="B1811" s="3" t="s">
        <v>7647</v>
      </c>
      <c r="C1811" s="49" t="s">
        <v>7648</v>
      </c>
      <c r="D1811" s="49"/>
      <c r="E1811" s="49"/>
      <c r="F1811" s="49"/>
      <c r="G1811" s="4" t="s">
        <v>7649</v>
      </c>
      <c r="H1811" s="8"/>
      <c r="I1811" s="9" t="s">
        <v>7650</v>
      </c>
      <c r="J1811" s="10"/>
      <c r="K1811" s="11">
        <v>50</v>
      </c>
      <c r="L1811" s="10"/>
      <c r="M1811" s="10" t="s">
        <v>47</v>
      </c>
      <c r="N1811" s="10"/>
      <c r="O1811" s="2">
        <v>10</v>
      </c>
      <c r="P1811" s="17">
        <f>69*(1-S3/100)</f>
        <v>69</v>
      </c>
      <c r="Q1811" s="18"/>
      <c r="R1811" s="10">
        <f>P1811*Q1811</f>
        <v>0</v>
      </c>
      <c r="S1811" s="19">
        <f>0.068*Q1811</f>
        <v>0</v>
      </c>
      <c r="T1811" s="20">
        <f>0.00045*Q1811</f>
        <v>0</v>
      </c>
      <c r="U1811" s="21"/>
      <c r="V1811" s="22" t="s">
        <v>7651</v>
      </c>
      <c r="W1811" s="22" t="s">
        <v>49</v>
      </c>
      <c r="X1811" s="3"/>
      <c r="Y1811" s="3" t="s">
        <v>7652</v>
      </c>
      <c r="Z1811" s="3" t="s">
        <v>52</v>
      </c>
      <c r="AA1811" s="3"/>
      <c r="AB1811" s="3"/>
      <c r="AC1811" s="3" t="str">
        <f>HYPERLINK("https://knigipp.ru/api/getInfo/image/746ec908-a3ea-11ee-a258-00155d82e908")</f>
        <v>https://knigipp.ru/api/getInfo/image/746ec908-a3ea-11ee-a258-00155d82e908</v>
      </c>
      <c r="AD1811" s="32">
        <v>16</v>
      </c>
      <c r="AE1811" s="3" t="s">
        <v>54</v>
      </c>
      <c r="AF1811" s="3" t="s">
        <v>136</v>
      </c>
      <c r="AG1811" s="3"/>
      <c r="AH1811" s="3" t="s">
        <v>56</v>
      </c>
      <c r="AI1811" s="3"/>
      <c r="AJ1811" s="3"/>
      <c r="AK1811" s="3" t="str">
        <f>HYPERLINK("https://knigipp.ru/api/getInfo/item/746ec908-a3ea-11ee-a258-00155d82e908")</f>
        <v>https://knigipp.ru/api/getInfo/item/746ec908-a3ea-11ee-a258-00155d82e908</v>
      </c>
      <c r="AL1811" s="3" t="s">
        <v>7653</v>
      </c>
    </row>
    <row r="1812" spans="1:38" ht="21" customHeight="1" outlineLevel="4" x14ac:dyDescent="0.2">
      <c r="A1812" s="39">
        <v>1377</v>
      </c>
      <c r="B1812" s="3" t="s">
        <v>7654</v>
      </c>
      <c r="C1812" s="49" t="s">
        <v>7655</v>
      </c>
      <c r="D1812" s="49"/>
      <c r="E1812" s="49"/>
      <c r="F1812" s="49"/>
      <c r="G1812" s="4" t="s">
        <v>7656</v>
      </c>
      <c r="H1812" s="8"/>
      <c r="I1812" s="9" t="s">
        <v>7650</v>
      </c>
      <c r="J1812" s="10"/>
      <c r="K1812" s="11">
        <v>50</v>
      </c>
      <c r="L1812" s="10"/>
      <c r="M1812" s="10" t="s">
        <v>47</v>
      </c>
      <c r="N1812" s="10"/>
      <c r="O1812" s="2">
        <v>10</v>
      </c>
      <c r="P1812" s="17">
        <f>69*(1-S3/100)</f>
        <v>69</v>
      </c>
      <c r="Q1812" s="18"/>
      <c r="R1812" s="10">
        <f>P1812*Q1812</f>
        <v>0</v>
      </c>
      <c r="S1812" s="10">
        <v>0</v>
      </c>
      <c r="T1812" s="10">
        <v>0</v>
      </c>
      <c r="U1812" s="21"/>
      <c r="V1812" s="22" t="s">
        <v>7657</v>
      </c>
      <c r="W1812" s="22" t="s">
        <v>49</v>
      </c>
      <c r="X1812" s="3"/>
      <c r="Y1812" s="3" t="s">
        <v>7658</v>
      </c>
      <c r="Z1812" s="3" t="s">
        <v>52</v>
      </c>
      <c r="AA1812" s="3"/>
      <c r="AB1812" s="3"/>
      <c r="AC1812" s="3" t="str">
        <f>HYPERLINK("https://knigipp.ru/api/getInfo/image/9ac68f23-a3ea-11ee-a258-00155d82e908")</f>
        <v>https://knigipp.ru/api/getInfo/image/9ac68f23-a3ea-11ee-a258-00155d82e908</v>
      </c>
      <c r="AD1812" s="32">
        <v>16</v>
      </c>
      <c r="AE1812" s="3" t="s">
        <v>54</v>
      </c>
      <c r="AF1812" s="3" t="s">
        <v>136</v>
      </c>
      <c r="AG1812" s="3"/>
      <c r="AH1812" s="3" t="s">
        <v>56</v>
      </c>
      <c r="AI1812" s="3"/>
      <c r="AJ1812" s="3"/>
      <c r="AK1812" s="3" t="str">
        <f>HYPERLINK("https://knigipp.ru/api/getInfo/item/9ac68f23-a3ea-11ee-a258-00155d82e908")</f>
        <v>https://knigipp.ru/api/getInfo/item/9ac68f23-a3ea-11ee-a258-00155d82e908</v>
      </c>
      <c r="AL1812" s="3" t="s">
        <v>7653</v>
      </c>
    </row>
    <row r="1813" spans="1:38" ht="21" customHeight="1" outlineLevel="4" x14ac:dyDescent="0.2">
      <c r="A1813" s="39">
        <v>1378</v>
      </c>
      <c r="B1813" s="3" t="s">
        <v>7659</v>
      </c>
      <c r="C1813" s="49" t="s">
        <v>7660</v>
      </c>
      <c r="D1813" s="49"/>
      <c r="E1813" s="49"/>
      <c r="F1813" s="49"/>
      <c r="G1813" s="4" t="s">
        <v>7661</v>
      </c>
      <c r="H1813" s="8"/>
      <c r="I1813" s="9" t="s">
        <v>7650</v>
      </c>
      <c r="J1813" s="10"/>
      <c r="K1813" s="11">
        <v>50</v>
      </c>
      <c r="L1813" s="10"/>
      <c r="M1813" s="10" t="s">
        <v>47</v>
      </c>
      <c r="N1813" s="10"/>
      <c r="O1813" s="2">
        <v>10</v>
      </c>
      <c r="P1813" s="17">
        <f>69*(1-S3/100)</f>
        <v>69</v>
      </c>
      <c r="Q1813" s="18"/>
      <c r="R1813" s="10">
        <f>P1813*Q1813</f>
        <v>0</v>
      </c>
      <c r="S1813" s="10">
        <v>0</v>
      </c>
      <c r="T1813" s="10">
        <v>0</v>
      </c>
      <c r="U1813" s="21"/>
      <c r="V1813" s="22" t="s">
        <v>7662</v>
      </c>
      <c r="W1813" s="22" t="s">
        <v>49</v>
      </c>
      <c r="X1813" s="3"/>
      <c r="Y1813" s="3" t="s">
        <v>7663</v>
      </c>
      <c r="Z1813" s="3" t="s">
        <v>52</v>
      </c>
      <c r="AA1813" s="3"/>
      <c r="AB1813" s="3"/>
      <c r="AC1813" s="3" t="str">
        <f>HYPERLINK("https://knigipp.ru/api/getInfo/image/d21ff5ab-a3ea-11ee-a258-00155d82e908")</f>
        <v>https://knigipp.ru/api/getInfo/image/d21ff5ab-a3ea-11ee-a258-00155d82e908</v>
      </c>
      <c r="AD1813" s="32">
        <v>16</v>
      </c>
      <c r="AE1813" s="3" t="s">
        <v>54</v>
      </c>
      <c r="AF1813" s="3" t="s">
        <v>136</v>
      </c>
      <c r="AG1813" s="3"/>
      <c r="AH1813" s="3" t="s">
        <v>56</v>
      </c>
      <c r="AI1813" s="3"/>
      <c r="AJ1813" s="3"/>
      <c r="AK1813" s="3" t="str">
        <f>HYPERLINK("https://knigipp.ru/api/getInfo/item/d21ff5ab-a3ea-11ee-a258-00155d82e908")</f>
        <v>https://knigipp.ru/api/getInfo/item/d21ff5ab-a3ea-11ee-a258-00155d82e908</v>
      </c>
      <c r="AL1813" s="3" t="s">
        <v>7653</v>
      </c>
    </row>
    <row r="1814" spans="1:38" ht="21" customHeight="1" outlineLevel="4" x14ac:dyDescent="0.2">
      <c r="A1814" s="39">
        <v>1379</v>
      </c>
      <c r="B1814" s="3" t="s">
        <v>7664</v>
      </c>
      <c r="C1814" s="49" t="s">
        <v>7665</v>
      </c>
      <c r="D1814" s="49"/>
      <c r="E1814" s="49"/>
      <c r="F1814" s="49"/>
      <c r="G1814" s="4" t="s">
        <v>7666</v>
      </c>
      <c r="H1814" s="8"/>
      <c r="I1814" s="9" t="s">
        <v>7650</v>
      </c>
      <c r="J1814" s="10"/>
      <c r="K1814" s="11">
        <v>50</v>
      </c>
      <c r="L1814" s="10"/>
      <c r="M1814" s="10" t="s">
        <v>47</v>
      </c>
      <c r="N1814" s="10"/>
      <c r="O1814" s="2">
        <v>10</v>
      </c>
      <c r="P1814" s="17">
        <f>69*(1-S3/100)</f>
        <v>69</v>
      </c>
      <c r="Q1814" s="18"/>
      <c r="R1814" s="10">
        <f>P1814*Q1814</f>
        <v>0</v>
      </c>
      <c r="S1814" s="10">
        <v>0</v>
      </c>
      <c r="T1814" s="10">
        <v>0</v>
      </c>
      <c r="U1814" s="21"/>
      <c r="V1814" s="22" t="s">
        <v>7667</v>
      </c>
      <c r="W1814" s="22" t="s">
        <v>49</v>
      </c>
      <c r="X1814" s="3"/>
      <c r="Y1814" s="3" t="s">
        <v>7668</v>
      </c>
      <c r="Z1814" s="3" t="s">
        <v>52</v>
      </c>
      <c r="AA1814" s="3"/>
      <c r="AB1814" s="3"/>
      <c r="AC1814" s="3" t="str">
        <f>HYPERLINK("https://knigipp.ru/api/getInfo/image/f1d8998a-a3ea-11ee-a258-00155d82e908")</f>
        <v>https://knigipp.ru/api/getInfo/image/f1d8998a-a3ea-11ee-a258-00155d82e908</v>
      </c>
      <c r="AD1814" s="32">
        <v>16</v>
      </c>
      <c r="AE1814" s="3" t="s">
        <v>54</v>
      </c>
      <c r="AF1814" s="3" t="s">
        <v>136</v>
      </c>
      <c r="AG1814" s="3"/>
      <c r="AH1814" s="3" t="s">
        <v>56</v>
      </c>
      <c r="AI1814" s="3"/>
      <c r="AJ1814" s="3"/>
      <c r="AK1814" s="3" t="str">
        <f>HYPERLINK("https://knigipp.ru/api/getInfo/item/f1d8998a-a3ea-11ee-a258-00155d82e908")</f>
        <v>https://knigipp.ru/api/getInfo/item/f1d8998a-a3ea-11ee-a258-00155d82e908</v>
      </c>
      <c r="AL1814" s="3" t="s">
        <v>7653</v>
      </c>
    </row>
    <row r="1815" spans="1:38" ht="23.1" customHeight="1" outlineLevel="3" x14ac:dyDescent="0.2">
      <c r="A1815" s="48" t="s">
        <v>7669</v>
      </c>
      <c r="B1815" s="48"/>
      <c r="C1815" s="48"/>
      <c r="D1815" s="48"/>
      <c r="E1815" s="48"/>
      <c r="F1815" s="48"/>
    </row>
    <row r="1816" spans="1:38" ht="21" customHeight="1" outlineLevel="4" x14ac:dyDescent="0.2">
      <c r="A1816" s="39">
        <v>1380</v>
      </c>
      <c r="B1816" s="3" t="s">
        <v>7670</v>
      </c>
      <c r="C1816" s="49" t="s">
        <v>7671</v>
      </c>
      <c r="D1816" s="49"/>
      <c r="E1816" s="49"/>
      <c r="F1816" s="49"/>
      <c r="G1816" s="4" t="s">
        <v>7672</v>
      </c>
      <c r="H1816" s="8"/>
      <c r="I1816" s="9" t="s">
        <v>7673</v>
      </c>
      <c r="J1816" s="10"/>
      <c r="K1816" s="11">
        <v>50</v>
      </c>
      <c r="L1816" s="10"/>
      <c r="M1816" s="10" t="s">
        <v>47</v>
      </c>
      <c r="N1816" s="10"/>
      <c r="O1816" s="2">
        <v>10</v>
      </c>
      <c r="P1816" s="17">
        <f>69*(1-S3/100)</f>
        <v>69</v>
      </c>
      <c r="Q1816" s="18"/>
      <c r="R1816" s="10">
        <f t="shared" ref="R1816:R1823" si="76">P1816*Q1816</f>
        <v>0</v>
      </c>
      <c r="S1816" s="19">
        <f>0.055*Q1816</f>
        <v>0</v>
      </c>
      <c r="T1816" s="30">
        <f>0.0004*Q1816</f>
        <v>0</v>
      </c>
      <c r="U1816" s="21"/>
      <c r="V1816" s="22" t="s">
        <v>7674</v>
      </c>
      <c r="W1816" s="22" t="s">
        <v>49</v>
      </c>
      <c r="X1816" s="3"/>
      <c r="Y1816" s="3"/>
      <c r="Z1816" s="3" t="s">
        <v>52</v>
      </c>
      <c r="AA1816" s="3"/>
      <c r="AB1816" s="3"/>
      <c r="AC1816" s="3" t="str">
        <f>HYPERLINK("https://knigipp.ru/api/getInfo/image/4d4f5d8e-bf1e-11ed-a230-00155d82e902")</f>
        <v>https://knigipp.ru/api/getInfo/image/4d4f5d8e-bf1e-11ed-a230-00155d82e902</v>
      </c>
      <c r="AD1816" s="32">
        <v>16</v>
      </c>
      <c r="AE1816" s="3" t="s">
        <v>54</v>
      </c>
      <c r="AF1816" s="3" t="s">
        <v>136</v>
      </c>
      <c r="AG1816" s="3"/>
      <c r="AH1816" s="3" t="s">
        <v>56</v>
      </c>
      <c r="AI1816" s="3"/>
      <c r="AJ1816" s="3"/>
      <c r="AK1816" s="3" t="str">
        <f>HYPERLINK("https://knigipp.ru/api/getInfo/item/4d4f5d8e-bf1e-11ed-a230-00155d82e902")</f>
        <v>https://knigipp.ru/api/getInfo/item/4d4f5d8e-bf1e-11ed-a230-00155d82e902</v>
      </c>
      <c r="AL1816" s="3" t="s">
        <v>7675</v>
      </c>
    </row>
    <row r="1817" spans="1:38" ht="21" customHeight="1" outlineLevel="4" x14ac:dyDescent="0.2">
      <c r="A1817" s="39">
        <v>1381</v>
      </c>
      <c r="B1817" s="3" t="s">
        <v>7676</v>
      </c>
      <c r="C1817" s="49" t="s">
        <v>7677</v>
      </c>
      <c r="D1817" s="49"/>
      <c r="E1817" s="49"/>
      <c r="F1817" s="49"/>
      <c r="G1817" s="4" t="s">
        <v>7678</v>
      </c>
      <c r="H1817" s="8"/>
      <c r="I1817" s="9" t="s">
        <v>7673</v>
      </c>
      <c r="J1817" s="10"/>
      <c r="K1817" s="11">
        <v>50</v>
      </c>
      <c r="L1817" s="10"/>
      <c r="M1817" s="10" t="s">
        <v>47</v>
      </c>
      <c r="N1817" s="10"/>
      <c r="O1817" s="2">
        <v>10</v>
      </c>
      <c r="P1817" s="17">
        <f>69*(1-S3/100)</f>
        <v>69</v>
      </c>
      <c r="Q1817" s="18"/>
      <c r="R1817" s="10">
        <f t="shared" si="76"/>
        <v>0</v>
      </c>
      <c r="S1817" s="19">
        <f>0.055*Q1817</f>
        <v>0</v>
      </c>
      <c r="T1817" s="30">
        <f>0.0004*Q1817</f>
        <v>0</v>
      </c>
      <c r="U1817" s="21"/>
      <c r="V1817" s="22" t="s">
        <v>7679</v>
      </c>
      <c r="W1817" s="22" t="s">
        <v>49</v>
      </c>
      <c r="X1817" s="3"/>
      <c r="Y1817" s="3"/>
      <c r="Z1817" s="3" t="s">
        <v>52</v>
      </c>
      <c r="AA1817" s="3"/>
      <c r="AB1817" s="3"/>
      <c r="AC1817" s="3" t="str">
        <f>HYPERLINK("https://knigipp.ru/api/getInfo/image/ebc1cbfd-d1ea-11ec-a212-ac1f6b442185")</f>
        <v>https://knigipp.ru/api/getInfo/image/ebc1cbfd-d1ea-11ec-a212-ac1f6b442185</v>
      </c>
      <c r="AD1817" s="32">
        <v>16</v>
      </c>
      <c r="AE1817" s="3"/>
      <c r="AF1817" s="3" t="s">
        <v>136</v>
      </c>
      <c r="AG1817" s="3"/>
      <c r="AH1817" s="3" t="s">
        <v>56</v>
      </c>
      <c r="AI1817" s="3"/>
      <c r="AJ1817" s="3"/>
      <c r="AK1817" s="3" t="str">
        <f>HYPERLINK("https://knigipp.ru/api/getInfo/item/ebc1cbfd-d1ea-11ec-a212-ac1f6b442185")</f>
        <v>https://knigipp.ru/api/getInfo/item/ebc1cbfd-d1ea-11ec-a212-ac1f6b442185</v>
      </c>
      <c r="AL1817" s="3" t="s">
        <v>7675</v>
      </c>
    </row>
    <row r="1818" spans="1:38" ht="21" customHeight="1" outlineLevel="4" x14ac:dyDescent="0.2">
      <c r="A1818" s="39">
        <v>1382</v>
      </c>
      <c r="B1818" s="3" t="s">
        <v>7680</v>
      </c>
      <c r="C1818" s="49" t="s">
        <v>7681</v>
      </c>
      <c r="D1818" s="49"/>
      <c r="E1818" s="49"/>
      <c r="F1818" s="49"/>
      <c r="G1818" s="4" t="s">
        <v>7682</v>
      </c>
      <c r="H1818" s="8"/>
      <c r="I1818" s="9" t="s">
        <v>7673</v>
      </c>
      <c r="J1818" s="10"/>
      <c r="K1818" s="11">
        <v>50</v>
      </c>
      <c r="L1818" s="10"/>
      <c r="M1818" s="10" t="s">
        <v>47</v>
      </c>
      <c r="N1818" s="10"/>
      <c r="O1818" s="2">
        <v>10</v>
      </c>
      <c r="P1818" s="17">
        <f>69*(1-S3/100)</f>
        <v>69</v>
      </c>
      <c r="Q1818" s="18"/>
      <c r="R1818" s="10">
        <f t="shared" si="76"/>
        <v>0</v>
      </c>
      <c r="S1818" s="19">
        <f>0.055*Q1818</f>
        <v>0</v>
      </c>
      <c r="T1818" s="30">
        <f>0.0004*Q1818</f>
        <v>0</v>
      </c>
      <c r="U1818" s="21"/>
      <c r="V1818" s="22" t="s">
        <v>7683</v>
      </c>
      <c r="W1818" s="22" t="s">
        <v>49</v>
      </c>
      <c r="X1818" s="3"/>
      <c r="Y1818" s="3"/>
      <c r="Z1818" s="3" t="s">
        <v>52</v>
      </c>
      <c r="AA1818" s="3"/>
      <c r="AB1818" s="3"/>
      <c r="AC1818" s="3" t="str">
        <f>HYPERLINK("https://knigipp.ru/api/getInfo/image/b5f5e0cc-d1eb-11ec-a212-ac1f6b442185")</f>
        <v>https://knigipp.ru/api/getInfo/image/b5f5e0cc-d1eb-11ec-a212-ac1f6b442185</v>
      </c>
      <c r="AD1818" s="32">
        <v>16</v>
      </c>
      <c r="AE1818" s="3"/>
      <c r="AF1818" s="3" t="s">
        <v>136</v>
      </c>
      <c r="AG1818" s="3"/>
      <c r="AH1818" s="3" t="s">
        <v>56</v>
      </c>
      <c r="AI1818" s="3"/>
      <c r="AJ1818" s="3"/>
      <c r="AK1818" s="3" t="str">
        <f>HYPERLINK("https://knigipp.ru/api/getInfo/item/b5f5e0cc-d1eb-11ec-a212-ac1f6b442185")</f>
        <v>https://knigipp.ru/api/getInfo/item/b5f5e0cc-d1eb-11ec-a212-ac1f6b442185</v>
      </c>
      <c r="AL1818" s="3" t="s">
        <v>7675</v>
      </c>
    </row>
    <row r="1819" spans="1:38" ht="21" customHeight="1" outlineLevel="4" x14ac:dyDescent="0.2">
      <c r="A1819" s="39">
        <v>1383</v>
      </c>
      <c r="B1819" s="3" t="s">
        <v>7684</v>
      </c>
      <c r="C1819" s="49" t="s">
        <v>7685</v>
      </c>
      <c r="D1819" s="49"/>
      <c r="E1819" s="49"/>
      <c r="F1819" s="49"/>
      <c r="G1819" s="4" t="s">
        <v>7686</v>
      </c>
      <c r="H1819" s="8"/>
      <c r="I1819" s="9" t="s">
        <v>7673</v>
      </c>
      <c r="J1819" s="10"/>
      <c r="K1819" s="11">
        <v>50</v>
      </c>
      <c r="L1819" s="10"/>
      <c r="M1819" s="10" t="s">
        <v>47</v>
      </c>
      <c r="N1819" s="10"/>
      <c r="O1819" s="2">
        <v>10</v>
      </c>
      <c r="P1819" s="17">
        <f>69*(1-S3/100)</f>
        <v>69</v>
      </c>
      <c r="Q1819" s="18"/>
      <c r="R1819" s="10">
        <f t="shared" si="76"/>
        <v>0</v>
      </c>
      <c r="S1819" s="19">
        <f>0.057*Q1819</f>
        <v>0</v>
      </c>
      <c r="T1819" s="30">
        <f>0.0005*Q1819</f>
        <v>0</v>
      </c>
      <c r="U1819" s="21"/>
      <c r="V1819" s="22" t="s">
        <v>7687</v>
      </c>
      <c r="W1819" s="22" t="s">
        <v>49</v>
      </c>
      <c r="X1819" s="3"/>
      <c r="Y1819" s="3" t="s">
        <v>7688</v>
      </c>
      <c r="Z1819" s="3" t="s">
        <v>52</v>
      </c>
      <c r="AA1819" s="3"/>
      <c r="AB1819" s="3"/>
      <c r="AC1819" s="3" t="str">
        <f>HYPERLINK("https://knigipp.ru/api/getInfo/image/f606e40d-d7d6-11ef-a26a-00155d82e908")</f>
        <v>https://knigipp.ru/api/getInfo/image/f606e40d-d7d6-11ef-a26a-00155d82e908</v>
      </c>
      <c r="AD1819" s="32">
        <v>16</v>
      </c>
      <c r="AE1819" s="3" t="s">
        <v>54</v>
      </c>
      <c r="AF1819" s="3" t="s">
        <v>136</v>
      </c>
      <c r="AG1819" s="3"/>
      <c r="AH1819" s="3" t="s">
        <v>56</v>
      </c>
      <c r="AI1819" s="3"/>
      <c r="AJ1819" s="3"/>
      <c r="AK1819" s="3" t="str">
        <f>HYPERLINK("https://knigipp.ru/api/getInfo/item/f606e40d-d7d6-11ef-a26a-00155d82e908")</f>
        <v>https://knigipp.ru/api/getInfo/item/f606e40d-d7d6-11ef-a26a-00155d82e908</v>
      </c>
      <c r="AL1819" s="3" t="s">
        <v>7675</v>
      </c>
    </row>
    <row r="1820" spans="1:38" ht="21" customHeight="1" outlineLevel="4" x14ac:dyDescent="0.2">
      <c r="A1820" s="39">
        <v>1384</v>
      </c>
      <c r="B1820" s="3" t="s">
        <v>7689</v>
      </c>
      <c r="C1820" s="49" t="s">
        <v>7690</v>
      </c>
      <c r="D1820" s="49"/>
      <c r="E1820" s="49"/>
      <c r="F1820" s="49"/>
      <c r="G1820" s="4" t="s">
        <v>7691</v>
      </c>
      <c r="H1820" s="8"/>
      <c r="I1820" s="9" t="s">
        <v>7673</v>
      </c>
      <c r="J1820" s="10"/>
      <c r="K1820" s="11">
        <v>50</v>
      </c>
      <c r="L1820" s="10"/>
      <c r="M1820" s="10" t="s">
        <v>47</v>
      </c>
      <c r="N1820" s="10"/>
      <c r="O1820" s="2">
        <v>10</v>
      </c>
      <c r="P1820" s="17">
        <f>69*(1-S3/100)</f>
        <v>69</v>
      </c>
      <c r="Q1820" s="18"/>
      <c r="R1820" s="10">
        <f t="shared" si="76"/>
        <v>0</v>
      </c>
      <c r="S1820" s="19">
        <f>0.055*Q1820</f>
        <v>0</v>
      </c>
      <c r="T1820" s="30">
        <f>0.0004*Q1820</f>
        <v>0</v>
      </c>
      <c r="U1820" s="21"/>
      <c r="V1820" s="22" t="s">
        <v>7692</v>
      </c>
      <c r="W1820" s="22" t="s">
        <v>49</v>
      </c>
      <c r="X1820" s="3"/>
      <c r="Y1820" s="3"/>
      <c r="Z1820" s="3" t="s">
        <v>52</v>
      </c>
      <c r="AA1820" s="3"/>
      <c r="AB1820" s="3"/>
      <c r="AC1820" s="3" t="str">
        <f>HYPERLINK("https://knigipp.ru/api/getInfo/image/b6539ccc-bf1e-11ed-a230-00155d82e902")</f>
        <v>https://knigipp.ru/api/getInfo/image/b6539ccc-bf1e-11ed-a230-00155d82e902</v>
      </c>
      <c r="AD1820" s="32">
        <v>16</v>
      </c>
      <c r="AE1820" s="3" t="s">
        <v>54</v>
      </c>
      <c r="AF1820" s="3" t="s">
        <v>136</v>
      </c>
      <c r="AG1820" s="3"/>
      <c r="AH1820" s="3" t="s">
        <v>56</v>
      </c>
      <c r="AI1820" s="3"/>
      <c r="AJ1820" s="3"/>
      <c r="AK1820" s="3" t="str">
        <f>HYPERLINK("https://knigipp.ru/api/getInfo/item/b6539ccc-bf1e-11ed-a230-00155d82e902")</f>
        <v>https://knigipp.ru/api/getInfo/item/b6539ccc-bf1e-11ed-a230-00155d82e902</v>
      </c>
      <c r="AL1820" s="3" t="s">
        <v>7675</v>
      </c>
    </row>
    <row r="1821" spans="1:38" ht="21" customHeight="1" outlineLevel="4" x14ac:dyDescent="0.2">
      <c r="A1821" s="39">
        <v>1385</v>
      </c>
      <c r="B1821" s="3" t="s">
        <v>7693</v>
      </c>
      <c r="C1821" s="49" t="s">
        <v>7694</v>
      </c>
      <c r="D1821" s="49"/>
      <c r="E1821" s="49"/>
      <c r="F1821" s="49"/>
      <c r="G1821" s="4" t="s">
        <v>7695</v>
      </c>
      <c r="H1821" s="8"/>
      <c r="I1821" s="9" t="s">
        <v>7673</v>
      </c>
      <c r="J1821" s="10"/>
      <c r="K1821" s="11">
        <v>50</v>
      </c>
      <c r="L1821" s="10"/>
      <c r="M1821" s="10" t="s">
        <v>47</v>
      </c>
      <c r="N1821" s="10"/>
      <c r="O1821" s="2">
        <v>10</v>
      </c>
      <c r="P1821" s="17">
        <f>69*(1-S3/100)</f>
        <v>69</v>
      </c>
      <c r="Q1821" s="18"/>
      <c r="R1821" s="10">
        <f t="shared" si="76"/>
        <v>0</v>
      </c>
      <c r="S1821" s="19">
        <f>0.055*Q1821</f>
        <v>0</v>
      </c>
      <c r="T1821" s="30">
        <f>0.0004*Q1821</f>
        <v>0</v>
      </c>
      <c r="U1821" s="21"/>
      <c r="V1821" s="22" t="s">
        <v>7696</v>
      </c>
      <c r="W1821" s="22" t="s">
        <v>49</v>
      </c>
      <c r="X1821" s="3"/>
      <c r="Y1821" s="3"/>
      <c r="Z1821" s="3" t="s">
        <v>52</v>
      </c>
      <c r="AA1821" s="3"/>
      <c r="AB1821" s="3"/>
      <c r="AC1821" s="3" t="str">
        <f>HYPERLINK("https://knigipp.ru/api/getInfo/image/2e116fe6-03aa-11ee-a23b-00155d82e902")</f>
        <v>https://knigipp.ru/api/getInfo/image/2e116fe6-03aa-11ee-a23b-00155d82e902</v>
      </c>
      <c r="AD1821" s="32">
        <v>16</v>
      </c>
      <c r="AE1821" s="3" t="s">
        <v>54</v>
      </c>
      <c r="AF1821" s="3" t="s">
        <v>136</v>
      </c>
      <c r="AG1821" s="3"/>
      <c r="AH1821" s="3" t="s">
        <v>56</v>
      </c>
      <c r="AI1821" s="3"/>
      <c r="AJ1821" s="3"/>
      <c r="AK1821" s="3" t="str">
        <f>HYPERLINK("https://knigipp.ru/api/getInfo/item/2e116fe6-03aa-11ee-a23b-00155d82e902")</f>
        <v>https://knigipp.ru/api/getInfo/item/2e116fe6-03aa-11ee-a23b-00155d82e902</v>
      </c>
      <c r="AL1821" s="3" t="s">
        <v>7675</v>
      </c>
    </row>
    <row r="1822" spans="1:38" ht="21" customHeight="1" outlineLevel="4" x14ac:dyDescent="0.2">
      <c r="A1822" s="39">
        <v>1386</v>
      </c>
      <c r="B1822" s="3" t="s">
        <v>7697</v>
      </c>
      <c r="C1822" s="49" t="s">
        <v>7698</v>
      </c>
      <c r="D1822" s="49"/>
      <c r="E1822" s="49"/>
      <c r="F1822" s="49"/>
      <c r="G1822" s="4" t="s">
        <v>7699</v>
      </c>
      <c r="H1822" s="8"/>
      <c r="I1822" s="9" t="s">
        <v>7673</v>
      </c>
      <c r="J1822" s="10"/>
      <c r="K1822" s="11">
        <v>50</v>
      </c>
      <c r="L1822" s="10"/>
      <c r="M1822" s="10" t="s">
        <v>47</v>
      </c>
      <c r="N1822" s="10"/>
      <c r="O1822" s="2">
        <v>10</v>
      </c>
      <c r="P1822" s="17">
        <f>69*(1-S3/100)</f>
        <v>69</v>
      </c>
      <c r="Q1822" s="18"/>
      <c r="R1822" s="10">
        <f t="shared" si="76"/>
        <v>0</v>
      </c>
      <c r="S1822" s="19">
        <f>0.055*Q1822</f>
        <v>0</v>
      </c>
      <c r="T1822" s="30">
        <f>0.0004*Q1822</f>
        <v>0</v>
      </c>
      <c r="U1822" s="21"/>
      <c r="V1822" s="22" t="s">
        <v>7700</v>
      </c>
      <c r="W1822" s="22" t="s">
        <v>49</v>
      </c>
      <c r="X1822" s="3"/>
      <c r="Y1822" s="3"/>
      <c r="Z1822" s="3" t="s">
        <v>52</v>
      </c>
      <c r="AA1822" s="3"/>
      <c r="AB1822" s="3"/>
      <c r="AC1822" s="3" t="str">
        <f>HYPERLINK("https://knigipp.ru/api/getInfo/image/0b108b0b-bf1e-11ed-a230-00155d82e902")</f>
        <v>https://knigipp.ru/api/getInfo/image/0b108b0b-bf1e-11ed-a230-00155d82e902</v>
      </c>
      <c r="AD1822" s="32">
        <v>16</v>
      </c>
      <c r="AE1822" s="3" t="s">
        <v>54</v>
      </c>
      <c r="AF1822" s="3" t="s">
        <v>136</v>
      </c>
      <c r="AG1822" s="3"/>
      <c r="AH1822" s="3" t="s">
        <v>56</v>
      </c>
      <c r="AI1822" s="3"/>
      <c r="AJ1822" s="3"/>
      <c r="AK1822" s="3" t="str">
        <f>HYPERLINK("https://knigipp.ru/api/getInfo/item/0b108b0b-bf1e-11ed-a230-00155d82e902")</f>
        <v>https://knigipp.ru/api/getInfo/item/0b108b0b-bf1e-11ed-a230-00155d82e902</v>
      </c>
      <c r="AL1822" s="3" t="s">
        <v>7675</v>
      </c>
    </row>
    <row r="1823" spans="1:38" ht="21" customHeight="1" outlineLevel="4" x14ac:dyDescent="0.2">
      <c r="A1823" s="39">
        <v>1387</v>
      </c>
      <c r="B1823" s="3" t="s">
        <v>7701</v>
      </c>
      <c r="C1823" s="49" t="s">
        <v>7702</v>
      </c>
      <c r="D1823" s="49"/>
      <c r="E1823" s="49"/>
      <c r="F1823" s="49"/>
      <c r="G1823" s="4" t="s">
        <v>7703</v>
      </c>
      <c r="H1823" s="8"/>
      <c r="I1823" s="9" t="s">
        <v>7673</v>
      </c>
      <c r="J1823" s="10"/>
      <c r="K1823" s="11">
        <v>50</v>
      </c>
      <c r="L1823" s="10"/>
      <c r="M1823" s="10" t="s">
        <v>47</v>
      </c>
      <c r="N1823" s="10"/>
      <c r="O1823" s="2">
        <v>10</v>
      </c>
      <c r="P1823" s="17">
        <f>69*(1-S3/100)</f>
        <v>69</v>
      </c>
      <c r="Q1823" s="18"/>
      <c r="R1823" s="10">
        <f t="shared" si="76"/>
        <v>0</v>
      </c>
      <c r="S1823" s="19">
        <f>0.145*Q1823</f>
        <v>0</v>
      </c>
      <c r="T1823" s="20">
        <f>0.00007*Q1823</f>
        <v>0</v>
      </c>
      <c r="U1823" s="21"/>
      <c r="V1823" s="22" t="s">
        <v>7704</v>
      </c>
      <c r="W1823" s="22" t="s">
        <v>49</v>
      </c>
      <c r="X1823" s="3"/>
      <c r="Y1823" s="3"/>
      <c r="Z1823" s="3" t="s">
        <v>52</v>
      </c>
      <c r="AA1823" s="3"/>
      <c r="AB1823" s="3"/>
      <c r="AC1823" s="3" t="str">
        <f>HYPERLINK("https://knigipp.ru/api/getInfo/image/e2d72fd5-bf1d-11ed-a230-00155d82e902")</f>
        <v>https://knigipp.ru/api/getInfo/image/e2d72fd5-bf1d-11ed-a230-00155d82e902</v>
      </c>
      <c r="AD1823" s="32">
        <v>16</v>
      </c>
      <c r="AE1823" s="3" t="s">
        <v>54</v>
      </c>
      <c r="AF1823" s="3" t="s">
        <v>136</v>
      </c>
      <c r="AG1823" s="3"/>
      <c r="AH1823" s="3" t="s">
        <v>56</v>
      </c>
      <c r="AI1823" s="3"/>
      <c r="AJ1823" s="3"/>
      <c r="AK1823" s="3" t="str">
        <f>HYPERLINK("https://knigipp.ru/api/getInfo/item/e2d72fd5-bf1d-11ed-a230-00155d82e902")</f>
        <v>https://knigipp.ru/api/getInfo/item/e2d72fd5-bf1d-11ed-a230-00155d82e902</v>
      </c>
      <c r="AL1823" s="3" t="s">
        <v>7675</v>
      </c>
    </row>
    <row r="1824" spans="1:38" ht="23.1" customHeight="1" outlineLevel="3" x14ac:dyDescent="0.2">
      <c r="A1824" s="48" t="s">
        <v>7705</v>
      </c>
      <c r="B1824" s="48"/>
      <c r="C1824" s="48"/>
      <c r="D1824" s="48"/>
      <c r="E1824" s="48"/>
      <c r="F1824" s="48"/>
    </row>
    <row r="1825" spans="1:38" ht="21" customHeight="1" outlineLevel="4" x14ac:dyDescent="0.2">
      <c r="A1825" s="39">
        <v>1388</v>
      </c>
      <c r="B1825" s="3" t="s">
        <v>7706</v>
      </c>
      <c r="C1825" s="49" t="s">
        <v>7707</v>
      </c>
      <c r="D1825" s="49"/>
      <c r="E1825" s="49"/>
      <c r="F1825" s="49"/>
      <c r="G1825" s="4" t="s">
        <v>7708</v>
      </c>
      <c r="H1825" s="8"/>
      <c r="I1825" s="9" t="s">
        <v>7709</v>
      </c>
      <c r="J1825" s="10"/>
      <c r="K1825" s="11">
        <v>50</v>
      </c>
      <c r="L1825" s="10"/>
      <c r="M1825" s="10" t="s">
        <v>47</v>
      </c>
      <c r="N1825" s="10"/>
      <c r="O1825" s="2">
        <v>10</v>
      </c>
      <c r="P1825" s="17">
        <f>67*(1-S3/100)</f>
        <v>67</v>
      </c>
      <c r="Q1825" s="18"/>
      <c r="R1825" s="10">
        <f>P1825*Q1825</f>
        <v>0</v>
      </c>
      <c r="S1825" s="19">
        <f>0.047*Q1825</f>
        <v>0</v>
      </c>
      <c r="T1825" s="20">
        <f>0.00018*Q1825</f>
        <v>0</v>
      </c>
      <c r="U1825" s="21"/>
      <c r="V1825" s="22" t="s">
        <v>7710</v>
      </c>
      <c r="W1825" s="22" t="s">
        <v>49</v>
      </c>
      <c r="X1825" s="3"/>
      <c r="Y1825" s="3" t="s">
        <v>7711</v>
      </c>
      <c r="Z1825" s="3"/>
      <c r="AA1825" s="3"/>
      <c r="AB1825" s="3"/>
      <c r="AC1825" s="3" t="str">
        <f>HYPERLINK("https://knigipp.ru/api/getInfo/image/bde5667b-354f-11ef-a261-00155d82e908")</f>
        <v>https://knigipp.ru/api/getInfo/image/bde5667b-354f-11ef-a261-00155d82e908</v>
      </c>
      <c r="AD1825" s="32">
        <v>24</v>
      </c>
      <c r="AE1825" s="3" t="s">
        <v>54</v>
      </c>
      <c r="AF1825" s="3" t="s">
        <v>136</v>
      </c>
      <c r="AG1825" s="3"/>
      <c r="AH1825" s="3" t="s">
        <v>56</v>
      </c>
      <c r="AI1825" s="3"/>
      <c r="AJ1825" s="3"/>
      <c r="AK1825" s="3" t="str">
        <f>HYPERLINK("https://knigipp.ru/api/getInfo/item/bde5667b-354f-11ef-a261-00155d82e908")</f>
        <v>https://knigipp.ru/api/getInfo/item/bde5667b-354f-11ef-a261-00155d82e908</v>
      </c>
      <c r="AL1825" s="3" t="s">
        <v>7712</v>
      </c>
    </row>
    <row r="1826" spans="1:38" ht="21" customHeight="1" outlineLevel="4" x14ac:dyDescent="0.2">
      <c r="A1826" s="39">
        <v>1389</v>
      </c>
      <c r="B1826" s="3" t="s">
        <v>7713</v>
      </c>
      <c r="C1826" s="49" t="s">
        <v>7714</v>
      </c>
      <c r="D1826" s="49"/>
      <c r="E1826" s="49"/>
      <c r="F1826" s="49"/>
      <c r="G1826" s="4" t="s">
        <v>7715</v>
      </c>
      <c r="H1826" s="8"/>
      <c r="I1826" s="9" t="s">
        <v>7709</v>
      </c>
      <c r="J1826" s="10"/>
      <c r="K1826" s="11">
        <v>50</v>
      </c>
      <c r="L1826" s="10"/>
      <c r="M1826" s="10" t="s">
        <v>47</v>
      </c>
      <c r="N1826" s="10"/>
      <c r="O1826" s="2">
        <v>10</v>
      </c>
      <c r="P1826" s="17">
        <f>67*(1-S3/100)</f>
        <v>67</v>
      </c>
      <c r="Q1826" s="18"/>
      <c r="R1826" s="10">
        <f>P1826*Q1826</f>
        <v>0</v>
      </c>
      <c r="S1826" s="19">
        <f>0.046*Q1826</f>
        <v>0</v>
      </c>
      <c r="T1826" s="20">
        <f>0.00013*Q1826</f>
        <v>0</v>
      </c>
      <c r="U1826" s="21"/>
      <c r="V1826" s="22" t="s">
        <v>7716</v>
      </c>
      <c r="W1826" s="22" t="s">
        <v>49</v>
      </c>
      <c r="X1826" s="3"/>
      <c r="Y1826" s="3" t="s">
        <v>7717</v>
      </c>
      <c r="Z1826" s="3"/>
      <c r="AA1826" s="3"/>
      <c r="AB1826" s="3"/>
      <c r="AC1826" s="3" t="str">
        <f>HYPERLINK("https://knigipp.ru/api/getInfo/image/de107ba3-354f-11ef-a261-00155d82e908")</f>
        <v>https://knigipp.ru/api/getInfo/image/de107ba3-354f-11ef-a261-00155d82e908</v>
      </c>
      <c r="AD1826" s="32">
        <v>24</v>
      </c>
      <c r="AE1826" s="3" t="s">
        <v>54</v>
      </c>
      <c r="AF1826" s="3" t="s">
        <v>136</v>
      </c>
      <c r="AG1826" s="3"/>
      <c r="AH1826" s="3" t="s">
        <v>56</v>
      </c>
      <c r="AI1826" s="3"/>
      <c r="AJ1826" s="3"/>
      <c r="AK1826" s="3" t="str">
        <f>HYPERLINK("https://knigipp.ru/api/getInfo/item/de107ba3-354f-11ef-a261-00155d82e908")</f>
        <v>https://knigipp.ru/api/getInfo/item/de107ba3-354f-11ef-a261-00155d82e908</v>
      </c>
      <c r="AL1826" s="3" t="s">
        <v>7712</v>
      </c>
    </row>
    <row r="1827" spans="1:38" ht="21" customHeight="1" outlineLevel="4" x14ac:dyDescent="0.2">
      <c r="A1827" s="39">
        <v>1390</v>
      </c>
      <c r="B1827" s="3" t="s">
        <v>7718</v>
      </c>
      <c r="C1827" s="49" t="s">
        <v>7719</v>
      </c>
      <c r="D1827" s="49"/>
      <c r="E1827" s="49"/>
      <c r="F1827" s="49"/>
      <c r="G1827" s="4" t="s">
        <v>7720</v>
      </c>
      <c r="H1827" s="8"/>
      <c r="I1827" s="9" t="s">
        <v>7709</v>
      </c>
      <c r="J1827" s="10"/>
      <c r="K1827" s="11">
        <v>50</v>
      </c>
      <c r="L1827" s="10"/>
      <c r="M1827" s="10" t="s">
        <v>47</v>
      </c>
      <c r="N1827" s="10"/>
      <c r="O1827" s="2">
        <v>10</v>
      </c>
      <c r="P1827" s="17">
        <f>67*(1-S3/100)</f>
        <v>67</v>
      </c>
      <c r="Q1827" s="18"/>
      <c r="R1827" s="10">
        <f>P1827*Q1827</f>
        <v>0</v>
      </c>
      <c r="S1827" s="19">
        <f>0.051*Q1827</f>
        <v>0</v>
      </c>
      <c r="T1827" s="20">
        <f>0.00025*Q1827</f>
        <v>0</v>
      </c>
      <c r="U1827" s="21"/>
      <c r="V1827" s="22" t="s">
        <v>7721</v>
      </c>
      <c r="W1827" s="22" t="s">
        <v>49</v>
      </c>
      <c r="X1827" s="3"/>
      <c r="Y1827" s="3" t="s">
        <v>7722</v>
      </c>
      <c r="Z1827" s="3" t="s">
        <v>52</v>
      </c>
      <c r="AA1827" s="3"/>
      <c r="AB1827" s="3"/>
      <c r="AC1827" s="3" t="str">
        <f>HYPERLINK("https://knigipp.ru/api/getInfo/image/fd675f31-354f-11ef-a261-00155d82e908")</f>
        <v>https://knigipp.ru/api/getInfo/image/fd675f31-354f-11ef-a261-00155d82e908</v>
      </c>
      <c r="AD1827" s="32">
        <v>24</v>
      </c>
      <c r="AE1827" s="3" t="s">
        <v>54</v>
      </c>
      <c r="AF1827" s="3" t="s">
        <v>136</v>
      </c>
      <c r="AG1827" s="3"/>
      <c r="AH1827" s="3" t="s">
        <v>56</v>
      </c>
      <c r="AI1827" s="3"/>
      <c r="AJ1827" s="3"/>
      <c r="AK1827" s="3" t="str">
        <f>HYPERLINK("https://knigipp.ru/api/getInfo/item/fd675f31-354f-11ef-a261-00155d82e908")</f>
        <v>https://knigipp.ru/api/getInfo/item/fd675f31-354f-11ef-a261-00155d82e908</v>
      </c>
      <c r="AL1827" s="3" t="s">
        <v>7712</v>
      </c>
    </row>
    <row r="1828" spans="1:38" ht="21" customHeight="1" outlineLevel="4" x14ac:dyDescent="0.2">
      <c r="A1828" s="39">
        <v>1391</v>
      </c>
      <c r="B1828" s="3" t="s">
        <v>7723</v>
      </c>
      <c r="C1828" s="49" t="s">
        <v>7724</v>
      </c>
      <c r="D1828" s="49"/>
      <c r="E1828" s="49"/>
      <c r="F1828" s="49"/>
      <c r="G1828" s="4" t="s">
        <v>7725</v>
      </c>
      <c r="H1828" s="8"/>
      <c r="I1828" s="9" t="s">
        <v>7709</v>
      </c>
      <c r="J1828" s="10"/>
      <c r="K1828" s="11">
        <v>50</v>
      </c>
      <c r="L1828" s="10"/>
      <c r="M1828" s="10" t="s">
        <v>47</v>
      </c>
      <c r="N1828" s="10"/>
      <c r="O1828" s="2">
        <v>10</v>
      </c>
      <c r="P1828" s="17">
        <f>67*(1-S3/100)</f>
        <v>67</v>
      </c>
      <c r="Q1828" s="18"/>
      <c r="R1828" s="10">
        <f>P1828*Q1828</f>
        <v>0</v>
      </c>
      <c r="S1828" s="19">
        <f>0.048*Q1828</f>
        <v>0</v>
      </c>
      <c r="T1828" s="20">
        <f>0.00019*Q1828</f>
        <v>0</v>
      </c>
      <c r="U1828" s="21"/>
      <c r="V1828" s="22" t="s">
        <v>7726</v>
      </c>
      <c r="W1828" s="22" t="s">
        <v>49</v>
      </c>
      <c r="X1828" s="3"/>
      <c r="Y1828" s="3" t="s">
        <v>7727</v>
      </c>
      <c r="Z1828" s="3" t="s">
        <v>52</v>
      </c>
      <c r="AA1828" s="3"/>
      <c r="AB1828" s="3"/>
      <c r="AC1828" s="3" t="str">
        <f>HYPERLINK("https://knigipp.ru/api/getInfo/image/1eff3d42-3550-11ef-a261-00155d82e908")</f>
        <v>https://knigipp.ru/api/getInfo/image/1eff3d42-3550-11ef-a261-00155d82e908</v>
      </c>
      <c r="AD1828" s="32">
        <v>24</v>
      </c>
      <c r="AE1828" s="3" t="s">
        <v>54</v>
      </c>
      <c r="AF1828" s="3" t="s">
        <v>136</v>
      </c>
      <c r="AG1828" s="3"/>
      <c r="AH1828" s="3" t="s">
        <v>56</v>
      </c>
      <c r="AI1828" s="3"/>
      <c r="AJ1828" s="3"/>
      <c r="AK1828" s="3" t="str">
        <f>HYPERLINK("https://knigipp.ru/api/getInfo/item/1eff3d42-3550-11ef-a261-00155d82e908")</f>
        <v>https://knigipp.ru/api/getInfo/item/1eff3d42-3550-11ef-a261-00155d82e908</v>
      </c>
      <c r="AL1828" s="3" t="s">
        <v>7712</v>
      </c>
    </row>
    <row r="1829" spans="1:38" ht="23.1" customHeight="1" outlineLevel="3" x14ac:dyDescent="0.2">
      <c r="A1829" s="48" t="s">
        <v>7728</v>
      </c>
      <c r="B1829" s="48"/>
      <c r="C1829" s="48"/>
      <c r="D1829" s="48"/>
      <c r="E1829" s="48"/>
      <c r="F1829" s="48"/>
    </row>
    <row r="1830" spans="1:38" ht="21" customHeight="1" outlineLevel="4" x14ac:dyDescent="0.2">
      <c r="A1830" s="39">
        <v>1392</v>
      </c>
      <c r="B1830" s="3" t="s">
        <v>7729</v>
      </c>
      <c r="C1830" s="49" t="s">
        <v>7730</v>
      </c>
      <c r="D1830" s="49"/>
      <c r="E1830" s="49"/>
      <c r="F1830" s="49"/>
      <c r="G1830" s="4" t="s">
        <v>7731</v>
      </c>
      <c r="H1830" s="8"/>
      <c r="I1830" s="9" t="s">
        <v>7732</v>
      </c>
      <c r="J1830" s="10"/>
      <c r="K1830" s="11">
        <v>20</v>
      </c>
      <c r="L1830" s="10"/>
      <c r="M1830" s="10" t="s">
        <v>47</v>
      </c>
      <c r="N1830" s="10"/>
      <c r="O1830" s="2">
        <v>2</v>
      </c>
      <c r="P1830" s="17">
        <f>297*(1-S3/100)</f>
        <v>297</v>
      </c>
      <c r="Q1830" s="18"/>
      <c r="R1830" s="10">
        <f>P1830*Q1830</f>
        <v>0</v>
      </c>
      <c r="S1830" s="28">
        <f>0.19*Q1830</f>
        <v>0</v>
      </c>
      <c r="T1830" s="20">
        <f>0.00047*Q1830</f>
        <v>0</v>
      </c>
      <c r="U1830" s="21"/>
      <c r="V1830" s="22" t="s">
        <v>7733</v>
      </c>
      <c r="W1830" s="22" t="s">
        <v>49</v>
      </c>
      <c r="X1830" s="3" t="s">
        <v>7734</v>
      </c>
      <c r="Y1830" s="3" t="s">
        <v>7735</v>
      </c>
      <c r="Z1830" s="3" t="s">
        <v>384</v>
      </c>
      <c r="AA1830" s="3"/>
      <c r="AB1830" s="3"/>
      <c r="AC1830" s="3" t="str">
        <f>HYPERLINK("https://knigipp.ru/api/getInfo/image/20b0f9bd-563a-11f0-a27f-00155d82e908")</f>
        <v>https://knigipp.ru/api/getInfo/image/20b0f9bd-563a-11f0-a27f-00155d82e908</v>
      </c>
      <c r="AD1830" s="32">
        <v>64</v>
      </c>
      <c r="AE1830" s="3" t="s">
        <v>355</v>
      </c>
      <c r="AF1830" s="3" t="s">
        <v>55</v>
      </c>
      <c r="AG1830" s="3"/>
      <c r="AH1830" s="3" t="s">
        <v>56</v>
      </c>
      <c r="AI1830" s="3"/>
      <c r="AJ1830" s="3"/>
      <c r="AK1830" s="3" t="str">
        <f>HYPERLINK("https://knigipp.ru/api/getInfo/item/20b0f9bd-563a-11f0-a27f-00155d82e908")</f>
        <v>https://knigipp.ru/api/getInfo/item/20b0f9bd-563a-11f0-a27f-00155d82e908</v>
      </c>
      <c r="AL1830" s="3" t="s">
        <v>7736</v>
      </c>
    </row>
    <row r="1831" spans="1:38" ht="21" customHeight="1" outlineLevel="4" x14ac:dyDescent="0.2">
      <c r="A1831" s="39">
        <v>1393</v>
      </c>
      <c r="B1831" s="3" t="s">
        <v>7737</v>
      </c>
      <c r="C1831" s="49" t="s">
        <v>7738</v>
      </c>
      <c r="D1831" s="49"/>
      <c r="E1831" s="49"/>
      <c r="F1831" s="49"/>
      <c r="G1831" s="4" t="s">
        <v>7739</v>
      </c>
      <c r="H1831" s="8"/>
      <c r="I1831" s="9" t="s">
        <v>7740</v>
      </c>
      <c r="J1831" s="10"/>
      <c r="K1831" s="11">
        <v>20</v>
      </c>
      <c r="L1831" s="10"/>
      <c r="M1831" s="10" t="s">
        <v>47</v>
      </c>
      <c r="N1831" s="10"/>
      <c r="O1831" s="2">
        <v>2</v>
      </c>
      <c r="P1831" s="17">
        <f>297*(1-S3/100)</f>
        <v>297</v>
      </c>
      <c r="Q1831" s="18"/>
      <c r="R1831" s="10">
        <f>P1831*Q1831</f>
        <v>0</v>
      </c>
      <c r="S1831" s="19">
        <f>0.193*Q1831</f>
        <v>0</v>
      </c>
      <c r="T1831" s="20">
        <f>0.00016*Q1831</f>
        <v>0</v>
      </c>
      <c r="U1831" s="21"/>
      <c r="V1831" s="22" t="s">
        <v>7741</v>
      </c>
      <c r="W1831" s="22" t="s">
        <v>49</v>
      </c>
      <c r="X1831" s="3" t="s">
        <v>7742</v>
      </c>
      <c r="Y1831" s="3" t="s">
        <v>7743</v>
      </c>
      <c r="Z1831" s="3" t="s">
        <v>384</v>
      </c>
      <c r="AA1831" s="3"/>
      <c r="AB1831" s="3"/>
      <c r="AC1831" s="3" t="str">
        <f>HYPERLINK("https://knigipp.ru/api/getInfo/image/75433be6-6e15-11f0-a284-00155d82e908")</f>
        <v>https://knigipp.ru/api/getInfo/image/75433be6-6e15-11f0-a284-00155d82e908</v>
      </c>
      <c r="AD1831" s="32">
        <v>64</v>
      </c>
      <c r="AE1831" s="3" t="s">
        <v>355</v>
      </c>
      <c r="AF1831" s="3" t="s">
        <v>55</v>
      </c>
      <c r="AG1831" s="3"/>
      <c r="AH1831" s="3" t="s">
        <v>56</v>
      </c>
      <c r="AI1831" s="3"/>
      <c r="AJ1831" s="3"/>
      <c r="AK1831" s="3" t="str">
        <f>HYPERLINK("https://knigipp.ru/api/getInfo/item/75433be6-6e15-11f0-a284-00155d82e908")</f>
        <v>https://knigipp.ru/api/getInfo/item/75433be6-6e15-11f0-a284-00155d82e908</v>
      </c>
      <c r="AL1831" s="3" t="s">
        <v>7736</v>
      </c>
    </row>
    <row r="1832" spans="1:38" ht="21" customHeight="1" outlineLevel="4" x14ac:dyDescent="0.2">
      <c r="A1832" s="39">
        <v>1394</v>
      </c>
      <c r="B1832" s="3" t="s">
        <v>7744</v>
      </c>
      <c r="C1832" s="49" t="s">
        <v>7745</v>
      </c>
      <c r="D1832" s="49"/>
      <c r="E1832" s="49"/>
      <c r="F1832" s="49"/>
      <c r="G1832" s="4" t="s">
        <v>7746</v>
      </c>
      <c r="H1832" s="8"/>
      <c r="I1832" s="9" t="s">
        <v>7747</v>
      </c>
      <c r="J1832" s="10"/>
      <c r="K1832" s="11">
        <v>20</v>
      </c>
      <c r="L1832" s="10"/>
      <c r="M1832" s="10" t="s">
        <v>47</v>
      </c>
      <c r="N1832" s="10"/>
      <c r="O1832" s="2">
        <v>2</v>
      </c>
      <c r="P1832" s="17">
        <f>297*(1-S3/100)</f>
        <v>297</v>
      </c>
      <c r="Q1832" s="18"/>
      <c r="R1832" s="10">
        <f>P1832*Q1832</f>
        <v>0</v>
      </c>
      <c r="S1832" s="19">
        <f>0.192*Q1832</f>
        <v>0</v>
      </c>
      <c r="T1832" s="20">
        <f>0.00089*Q1832</f>
        <v>0</v>
      </c>
      <c r="U1832" s="21"/>
      <c r="V1832" s="22" t="s">
        <v>7748</v>
      </c>
      <c r="W1832" s="22" t="s">
        <v>49</v>
      </c>
      <c r="X1832" s="3" t="s">
        <v>7742</v>
      </c>
      <c r="Y1832" s="3" t="s">
        <v>7749</v>
      </c>
      <c r="Z1832" s="3" t="s">
        <v>52</v>
      </c>
      <c r="AA1832" s="3"/>
      <c r="AB1832" s="3"/>
      <c r="AC1832" s="3" t="str">
        <f>HYPERLINK("https://knigipp.ru/api/getInfo/image/560db806-f5c8-11ef-a274-00155d82e908")</f>
        <v>https://knigipp.ru/api/getInfo/image/560db806-f5c8-11ef-a274-00155d82e908</v>
      </c>
      <c r="AD1832" s="32">
        <v>64</v>
      </c>
      <c r="AE1832" s="3" t="s">
        <v>355</v>
      </c>
      <c r="AF1832" s="3" t="s">
        <v>55</v>
      </c>
      <c r="AG1832" s="3"/>
      <c r="AH1832" s="3" t="s">
        <v>56</v>
      </c>
      <c r="AI1832" s="3"/>
      <c r="AJ1832" s="3"/>
      <c r="AK1832" s="3" t="str">
        <f>HYPERLINK("https://knigipp.ru/api/getInfo/item/560db806-f5c8-11ef-a274-00155d82e908")</f>
        <v>https://knigipp.ru/api/getInfo/item/560db806-f5c8-11ef-a274-00155d82e908</v>
      </c>
      <c r="AL1832" s="3" t="s">
        <v>7736</v>
      </c>
    </row>
    <row r="1833" spans="1:38" ht="21" customHeight="1" outlineLevel="4" x14ac:dyDescent="0.2">
      <c r="A1833" s="39">
        <v>1395</v>
      </c>
      <c r="B1833" s="3" t="s">
        <v>7750</v>
      </c>
      <c r="C1833" s="49" t="s">
        <v>7751</v>
      </c>
      <c r="D1833" s="49"/>
      <c r="E1833" s="49"/>
      <c r="F1833" s="49"/>
      <c r="G1833" s="4" t="s">
        <v>7752</v>
      </c>
      <c r="H1833" s="8"/>
      <c r="I1833" s="9" t="s">
        <v>7747</v>
      </c>
      <c r="J1833" s="10"/>
      <c r="K1833" s="11">
        <v>20</v>
      </c>
      <c r="L1833" s="10"/>
      <c r="M1833" s="10" t="s">
        <v>47</v>
      </c>
      <c r="N1833" s="10"/>
      <c r="O1833" s="2">
        <v>2</v>
      </c>
      <c r="P1833" s="17">
        <f>297*(1-S3/100)</f>
        <v>297</v>
      </c>
      <c r="Q1833" s="18"/>
      <c r="R1833" s="10">
        <f>P1833*Q1833</f>
        <v>0</v>
      </c>
      <c r="S1833" s="19">
        <f>0.192*Q1833</f>
        <v>0</v>
      </c>
      <c r="T1833" s="20">
        <f>0.00037*Q1833</f>
        <v>0</v>
      </c>
      <c r="U1833" s="21"/>
      <c r="V1833" s="22" t="s">
        <v>7753</v>
      </c>
      <c r="W1833" s="22" t="s">
        <v>49</v>
      </c>
      <c r="X1833" s="3" t="s">
        <v>7734</v>
      </c>
      <c r="Y1833" s="3" t="s">
        <v>7754</v>
      </c>
      <c r="Z1833" s="3" t="s">
        <v>52</v>
      </c>
      <c r="AA1833" s="3"/>
      <c r="AB1833" s="3"/>
      <c r="AC1833" s="3" t="str">
        <f>HYPERLINK("https://knigipp.ru/api/getInfo/image/278b0e88-f5c8-11ef-a274-00155d82e908")</f>
        <v>https://knigipp.ru/api/getInfo/image/278b0e88-f5c8-11ef-a274-00155d82e908</v>
      </c>
      <c r="AD1833" s="32">
        <v>64</v>
      </c>
      <c r="AE1833" s="3" t="s">
        <v>355</v>
      </c>
      <c r="AF1833" s="3" t="s">
        <v>55</v>
      </c>
      <c r="AG1833" s="3"/>
      <c r="AH1833" s="3" t="s">
        <v>56</v>
      </c>
      <c r="AI1833" s="3"/>
      <c r="AJ1833" s="3"/>
      <c r="AK1833" s="3" t="str">
        <f>HYPERLINK("https://knigipp.ru/api/getInfo/item/278b0e88-f5c8-11ef-a274-00155d82e908")</f>
        <v>https://knigipp.ru/api/getInfo/item/278b0e88-f5c8-11ef-a274-00155d82e908</v>
      </c>
      <c r="AL1833" s="3" t="s">
        <v>7736</v>
      </c>
    </row>
    <row r="1834" spans="1:38" ht="23.1" customHeight="1" outlineLevel="3" x14ac:dyDescent="0.2">
      <c r="A1834" s="48" t="s">
        <v>7755</v>
      </c>
      <c r="B1834" s="48"/>
      <c r="C1834" s="48"/>
      <c r="D1834" s="48"/>
      <c r="E1834" s="48"/>
      <c r="F1834" s="48"/>
    </row>
    <row r="1835" spans="1:38" ht="21" customHeight="1" outlineLevel="4" x14ac:dyDescent="0.2">
      <c r="A1835" s="39">
        <v>1396</v>
      </c>
      <c r="B1835" s="3" t="s">
        <v>7756</v>
      </c>
      <c r="C1835" s="49" t="s">
        <v>7757</v>
      </c>
      <c r="D1835" s="49"/>
      <c r="E1835" s="49"/>
      <c r="F1835" s="49"/>
      <c r="G1835" s="4" t="s">
        <v>7758</v>
      </c>
      <c r="H1835" s="8"/>
      <c r="I1835" s="9" t="s">
        <v>7759</v>
      </c>
      <c r="J1835" s="10"/>
      <c r="K1835" s="11">
        <v>50</v>
      </c>
      <c r="L1835" s="10"/>
      <c r="M1835" s="10" t="s">
        <v>47</v>
      </c>
      <c r="N1835" s="10"/>
      <c r="O1835" s="2">
        <v>4</v>
      </c>
      <c r="P1835" s="17">
        <f>217*(1-S3/100)</f>
        <v>217</v>
      </c>
      <c r="Q1835" s="18"/>
      <c r="R1835" s="10">
        <f>P1835*Q1835</f>
        <v>0</v>
      </c>
      <c r="S1835" s="19">
        <f>0.108*Q1835</f>
        <v>0</v>
      </c>
      <c r="T1835" s="20">
        <f>0.00039*Q1835</f>
        <v>0</v>
      </c>
      <c r="U1835" s="21"/>
      <c r="V1835" s="22" t="s">
        <v>7760</v>
      </c>
      <c r="W1835" s="22" t="s">
        <v>49</v>
      </c>
      <c r="X1835" s="3"/>
      <c r="Y1835" s="3" t="s">
        <v>7761</v>
      </c>
      <c r="Z1835" s="3" t="s">
        <v>52</v>
      </c>
      <c r="AA1835" s="3"/>
      <c r="AB1835" s="3"/>
      <c r="AC1835" s="3" t="str">
        <f>HYPERLINK("https://knigipp.ru/api/getInfo/image/ec9a8561-66d2-11ef-a265-00155d82e908")</f>
        <v>https://knigipp.ru/api/getInfo/image/ec9a8561-66d2-11ef-a265-00155d82e908</v>
      </c>
      <c r="AD1835" s="32">
        <v>24</v>
      </c>
      <c r="AE1835" s="3"/>
      <c r="AF1835" s="3" t="s">
        <v>136</v>
      </c>
      <c r="AG1835" s="3"/>
      <c r="AH1835" s="3" t="s">
        <v>56</v>
      </c>
      <c r="AI1835" s="3"/>
      <c r="AJ1835" s="3"/>
      <c r="AK1835" s="3" t="str">
        <f>HYPERLINK("https://knigipp.ru/api/getInfo/item/ec9a8561-66d2-11ef-a265-00155d82e908")</f>
        <v>https://knigipp.ru/api/getInfo/item/ec9a8561-66d2-11ef-a265-00155d82e908</v>
      </c>
      <c r="AL1835" s="3" t="s">
        <v>7762</v>
      </c>
    </row>
    <row r="1836" spans="1:38" ht="21" customHeight="1" outlineLevel="4" x14ac:dyDescent="0.2">
      <c r="A1836" s="39">
        <v>1397</v>
      </c>
      <c r="B1836" s="3" t="s">
        <v>7763</v>
      </c>
      <c r="C1836" s="49" t="s">
        <v>7764</v>
      </c>
      <c r="D1836" s="49"/>
      <c r="E1836" s="49"/>
      <c r="F1836" s="49"/>
      <c r="G1836" s="4" t="s">
        <v>7765</v>
      </c>
      <c r="H1836" s="8"/>
      <c r="I1836" s="9" t="s">
        <v>7759</v>
      </c>
      <c r="J1836" s="10"/>
      <c r="K1836" s="11">
        <v>50</v>
      </c>
      <c r="L1836" s="10"/>
      <c r="M1836" s="10" t="s">
        <v>47</v>
      </c>
      <c r="N1836" s="10"/>
      <c r="O1836" s="2">
        <v>4</v>
      </c>
      <c r="P1836" s="17">
        <f>217*(1-S3/100)</f>
        <v>217</v>
      </c>
      <c r="Q1836" s="18"/>
      <c r="R1836" s="10">
        <f>P1836*Q1836</f>
        <v>0</v>
      </c>
      <c r="S1836" s="19">
        <f>0.108*Q1836</f>
        <v>0</v>
      </c>
      <c r="T1836" s="20">
        <f>0.00039*Q1836</f>
        <v>0</v>
      </c>
      <c r="U1836" s="21"/>
      <c r="V1836" s="22" t="s">
        <v>7766</v>
      </c>
      <c r="W1836" s="22" t="s">
        <v>49</v>
      </c>
      <c r="X1836" s="3"/>
      <c r="Y1836" s="3" t="s">
        <v>7761</v>
      </c>
      <c r="Z1836" s="3" t="s">
        <v>52</v>
      </c>
      <c r="AA1836" s="3"/>
      <c r="AB1836" s="3"/>
      <c r="AC1836" s="3" t="str">
        <f>HYPERLINK("https://knigipp.ru/api/getInfo/image/235d786a-66d3-11ef-a265-00155d82e908")</f>
        <v>https://knigipp.ru/api/getInfo/image/235d786a-66d3-11ef-a265-00155d82e908</v>
      </c>
      <c r="AD1836" s="32">
        <v>24</v>
      </c>
      <c r="AE1836" s="3"/>
      <c r="AF1836" s="3" t="s">
        <v>136</v>
      </c>
      <c r="AG1836" s="3"/>
      <c r="AH1836" s="3" t="s">
        <v>56</v>
      </c>
      <c r="AI1836" s="3"/>
      <c r="AJ1836" s="3"/>
      <c r="AK1836" s="3" t="str">
        <f>HYPERLINK("https://knigipp.ru/api/getInfo/item/235d786a-66d3-11ef-a265-00155d82e908")</f>
        <v>https://knigipp.ru/api/getInfo/item/235d786a-66d3-11ef-a265-00155d82e908</v>
      </c>
      <c r="AL1836" s="3" t="s">
        <v>7762</v>
      </c>
    </row>
    <row r="1837" spans="1:38" ht="23.1" customHeight="1" outlineLevel="3" x14ac:dyDescent="0.2">
      <c r="A1837" s="48" t="s">
        <v>7767</v>
      </c>
      <c r="B1837" s="48"/>
      <c r="C1837" s="48"/>
      <c r="D1837" s="48"/>
      <c r="E1837" s="48"/>
      <c r="F1837" s="48"/>
    </row>
    <row r="1838" spans="1:38" ht="21" customHeight="1" outlineLevel="4" x14ac:dyDescent="0.2">
      <c r="A1838" s="39">
        <v>1398</v>
      </c>
      <c r="B1838" s="3" t="s">
        <v>7768</v>
      </c>
      <c r="C1838" s="49" t="s">
        <v>7769</v>
      </c>
      <c r="D1838" s="49"/>
      <c r="E1838" s="49"/>
      <c r="F1838" s="49"/>
      <c r="G1838" s="4" t="s">
        <v>7770</v>
      </c>
      <c r="H1838" s="8"/>
      <c r="I1838" s="9" t="s">
        <v>7771</v>
      </c>
      <c r="J1838" s="10"/>
      <c r="K1838" s="11">
        <v>50</v>
      </c>
      <c r="L1838" s="10"/>
      <c r="M1838" s="10" t="s">
        <v>47</v>
      </c>
      <c r="N1838" s="10"/>
      <c r="O1838" s="2">
        <v>12</v>
      </c>
      <c r="P1838" s="17">
        <f>57*(1-S3/100)</f>
        <v>57</v>
      </c>
      <c r="Q1838" s="18"/>
      <c r="R1838" s="10">
        <f t="shared" ref="R1838:R1843" si="77">P1838*Q1838</f>
        <v>0</v>
      </c>
      <c r="S1838" s="19">
        <f>0.056*Q1838</f>
        <v>0</v>
      </c>
      <c r="T1838" s="20">
        <f>0.00034*Q1838</f>
        <v>0</v>
      </c>
      <c r="U1838" s="21"/>
      <c r="V1838" s="22" t="s">
        <v>7772</v>
      </c>
      <c r="W1838" s="22" t="s">
        <v>49</v>
      </c>
      <c r="X1838" s="3"/>
      <c r="Y1838" s="3"/>
      <c r="Z1838" s="3" t="s">
        <v>52</v>
      </c>
      <c r="AA1838" s="3"/>
      <c r="AB1838" s="3"/>
      <c r="AC1838" s="3" t="str">
        <f>HYPERLINK("https://knigipp.ru/api/getInfo/image/a6f76906-264a-11ea-a239-ac1f6b442184")</f>
        <v>https://knigipp.ru/api/getInfo/image/a6f76906-264a-11ea-a239-ac1f6b442184</v>
      </c>
      <c r="AD1838" s="32">
        <v>16</v>
      </c>
      <c r="AE1838" s="3"/>
      <c r="AF1838" s="3" t="s">
        <v>136</v>
      </c>
      <c r="AG1838" s="3"/>
      <c r="AH1838" s="3" t="s">
        <v>56</v>
      </c>
      <c r="AI1838" s="3"/>
      <c r="AJ1838" s="3"/>
      <c r="AK1838" s="3" t="str">
        <f>HYPERLINK("https://knigipp.ru/api/getInfo/item/a6f76906-264a-11ea-a239-ac1f6b442184")</f>
        <v>https://knigipp.ru/api/getInfo/item/a6f76906-264a-11ea-a239-ac1f6b442184</v>
      </c>
      <c r="AL1838" s="3" t="s">
        <v>935</v>
      </c>
    </row>
    <row r="1839" spans="1:38" ht="21" customHeight="1" outlineLevel="4" x14ac:dyDescent="0.2">
      <c r="A1839" s="39">
        <v>1399</v>
      </c>
      <c r="B1839" s="3" t="s">
        <v>7773</v>
      </c>
      <c r="C1839" s="49" t="s">
        <v>7774</v>
      </c>
      <c r="D1839" s="49"/>
      <c r="E1839" s="49"/>
      <c r="F1839" s="49"/>
      <c r="G1839" s="4" t="s">
        <v>7775</v>
      </c>
      <c r="H1839" s="8"/>
      <c r="I1839" s="9" t="s">
        <v>7776</v>
      </c>
      <c r="J1839" s="10"/>
      <c r="K1839" s="11">
        <v>50</v>
      </c>
      <c r="L1839" s="10"/>
      <c r="M1839" s="10" t="s">
        <v>47</v>
      </c>
      <c r="N1839" s="10"/>
      <c r="O1839" s="2">
        <v>12</v>
      </c>
      <c r="P1839" s="17">
        <f>57*(1-S3/100)</f>
        <v>57</v>
      </c>
      <c r="Q1839" s="18"/>
      <c r="R1839" s="10">
        <f t="shared" si="77"/>
        <v>0</v>
      </c>
      <c r="S1839" s="19">
        <f>0.065*Q1839</f>
        <v>0</v>
      </c>
      <c r="T1839" s="20">
        <f>0.00022*Q1839</f>
        <v>0</v>
      </c>
      <c r="U1839" s="21"/>
      <c r="V1839" s="22" t="s">
        <v>7777</v>
      </c>
      <c r="W1839" s="22" t="s">
        <v>49</v>
      </c>
      <c r="X1839" s="3"/>
      <c r="Y1839" s="3"/>
      <c r="Z1839" s="3" t="s">
        <v>52</v>
      </c>
      <c r="AA1839" s="3"/>
      <c r="AB1839" s="3"/>
      <c r="AC1839" s="3" t="str">
        <f>HYPERLINK("https://knigipp.ru/api/getInfo/image/0857e4a3-0f7c-11ea-a236-ac1f6b442184")</f>
        <v>https://knigipp.ru/api/getInfo/image/0857e4a3-0f7c-11ea-a236-ac1f6b442184</v>
      </c>
      <c r="AD1839" s="32">
        <v>16</v>
      </c>
      <c r="AE1839" s="3"/>
      <c r="AF1839" s="3" t="s">
        <v>136</v>
      </c>
      <c r="AG1839" s="3"/>
      <c r="AH1839" s="3" t="s">
        <v>56</v>
      </c>
      <c r="AI1839" s="3"/>
      <c r="AJ1839" s="3"/>
      <c r="AK1839" s="3" t="str">
        <f>HYPERLINK("https://knigipp.ru/api/getInfo/item/0857e4a3-0f7c-11ea-a236-ac1f6b442184")</f>
        <v>https://knigipp.ru/api/getInfo/item/0857e4a3-0f7c-11ea-a236-ac1f6b442184</v>
      </c>
      <c r="AL1839" s="3" t="s">
        <v>935</v>
      </c>
    </row>
    <row r="1840" spans="1:38" ht="21" customHeight="1" outlineLevel="4" x14ac:dyDescent="0.2">
      <c r="A1840" s="39">
        <v>1400</v>
      </c>
      <c r="B1840" s="3" t="s">
        <v>7778</v>
      </c>
      <c r="C1840" s="49" t="s">
        <v>7779</v>
      </c>
      <c r="D1840" s="49"/>
      <c r="E1840" s="49"/>
      <c r="F1840" s="49"/>
      <c r="G1840" s="4" t="s">
        <v>7780</v>
      </c>
      <c r="H1840" s="8"/>
      <c r="I1840" s="9" t="s">
        <v>7781</v>
      </c>
      <c r="J1840" s="10"/>
      <c r="K1840" s="11">
        <v>50</v>
      </c>
      <c r="L1840" s="10"/>
      <c r="M1840" s="10" t="s">
        <v>47</v>
      </c>
      <c r="N1840" s="10"/>
      <c r="O1840" s="2">
        <v>12</v>
      </c>
      <c r="P1840" s="17">
        <f>57*(1-S3/100)</f>
        <v>57</v>
      </c>
      <c r="Q1840" s="18"/>
      <c r="R1840" s="10">
        <f t="shared" si="77"/>
        <v>0</v>
      </c>
      <c r="S1840" s="19">
        <f>0.057*Q1840</f>
        <v>0</v>
      </c>
      <c r="T1840" s="20">
        <f>0.00022*Q1840</f>
        <v>0</v>
      </c>
      <c r="U1840" s="21"/>
      <c r="V1840" s="22" t="s">
        <v>7782</v>
      </c>
      <c r="W1840" s="22" t="s">
        <v>49</v>
      </c>
      <c r="X1840" s="3"/>
      <c r="Y1840" s="3"/>
      <c r="Z1840" s="3" t="s">
        <v>52</v>
      </c>
      <c r="AA1840" s="3"/>
      <c r="AB1840" s="3"/>
      <c r="AC1840" s="3" t="str">
        <f>HYPERLINK("https://knigipp.ru/api/getInfo/image/fecb8a4f-20d7-11ea-a237-ac1f6b442184")</f>
        <v>https://knigipp.ru/api/getInfo/image/fecb8a4f-20d7-11ea-a237-ac1f6b442184</v>
      </c>
      <c r="AD1840" s="32">
        <v>16</v>
      </c>
      <c r="AE1840" s="3"/>
      <c r="AF1840" s="3" t="s">
        <v>136</v>
      </c>
      <c r="AG1840" s="3"/>
      <c r="AH1840" s="3" t="s">
        <v>56</v>
      </c>
      <c r="AI1840" s="3"/>
      <c r="AJ1840" s="3"/>
      <c r="AK1840" s="3" t="str">
        <f>HYPERLINK("https://knigipp.ru/api/getInfo/item/fecb8a4f-20d7-11ea-a237-ac1f6b442184")</f>
        <v>https://knigipp.ru/api/getInfo/item/fecb8a4f-20d7-11ea-a237-ac1f6b442184</v>
      </c>
      <c r="AL1840" s="3" t="s">
        <v>935</v>
      </c>
    </row>
    <row r="1841" spans="1:38" ht="21" customHeight="1" outlineLevel="4" x14ac:dyDescent="0.2">
      <c r="A1841" s="39">
        <v>1401</v>
      </c>
      <c r="B1841" s="3" t="s">
        <v>7783</v>
      </c>
      <c r="C1841" s="49" t="s">
        <v>7784</v>
      </c>
      <c r="D1841" s="49"/>
      <c r="E1841" s="49"/>
      <c r="F1841" s="49"/>
      <c r="G1841" s="4" t="s">
        <v>7785</v>
      </c>
      <c r="H1841" s="8"/>
      <c r="I1841" s="9" t="s">
        <v>7786</v>
      </c>
      <c r="J1841" s="10"/>
      <c r="K1841" s="11">
        <v>50</v>
      </c>
      <c r="L1841" s="10"/>
      <c r="M1841" s="10" t="s">
        <v>47</v>
      </c>
      <c r="N1841" s="10"/>
      <c r="O1841" s="2">
        <v>12</v>
      </c>
      <c r="P1841" s="17">
        <f>57*(1-S3/100)</f>
        <v>57</v>
      </c>
      <c r="Q1841" s="18"/>
      <c r="R1841" s="10">
        <f t="shared" si="77"/>
        <v>0</v>
      </c>
      <c r="S1841" s="19">
        <f>0.055*Q1841</f>
        <v>0</v>
      </c>
      <c r="T1841" s="20">
        <f>0.00121*Q1841</f>
        <v>0</v>
      </c>
      <c r="U1841" s="21"/>
      <c r="V1841" s="22" t="s">
        <v>7787</v>
      </c>
      <c r="W1841" s="22" t="s">
        <v>49</v>
      </c>
      <c r="X1841" s="3"/>
      <c r="Y1841" s="3"/>
      <c r="Z1841" s="3" t="s">
        <v>52</v>
      </c>
      <c r="AA1841" s="3"/>
      <c r="AB1841" s="3"/>
      <c r="AC1841" s="3" t="str">
        <f>HYPERLINK("https://knigipp.ru/api/getInfo/image/877e8e4f-264a-11ea-a239-ac1f6b442184")</f>
        <v>https://knigipp.ru/api/getInfo/image/877e8e4f-264a-11ea-a239-ac1f6b442184</v>
      </c>
      <c r="AD1841" s="32">
        <v>16</v>
      </c>
      <c r="AE1841" s="3"/>
      <c r="AF1841" s="3" t="s">
        <v>136</v>
      </c>
      <c r="AG1841" s="3"/>
      <c r="AH1841" s="3" t="s">
        <v>56</v>
      </c>
      <c r="AI1841" s="3"/>
      <c r="AJ1841" s="3"/>
      <c r="AK1841" s="3" t="str">
        <f>HYPERLINK("https://knigipp.ru/api/getInfo/item/877e8e4f-264a-11ea-a239-ac1f6b442184")</f>
        <v>https://knigipp.ru/api/getInfo/item/877e8e4f-264a-11ea-a239-ac1f6b442184</v>
      </c>
      <c r="AL1841" s="3" t="s">
        <v>935</v>
      </c>
    </row>
    <row r="1842" spans="1:38" ht="21" customHeight="1" outlineLevel="4" x14ac:dyDescent="0.2">
      <c r="A1842" s="39">
        <v>1402</v>
      </c>
      <c r="B1842" s="3" t="s">
        <v>7788</v>
      </c>
      <c r="C1842" s="49" t="s">
        <v>7789</v>
      </c>
      <c r="D1842" s="49"/>
      <c r="E1842" s="49"/>
      <c r="F1842" s="49"/>
      <c r="G1842" s="4" t="s">
        <v>7790</v>
      </c>
      <c r="H1842" s="8"/>
      <c r="I1842" s="9" t="s">
        <v>7791</v>
      </c>
      <c r="J1842" s="10"/>
      <c r="K1842" s="11">
        <v>50</v>
      </c>
      <c r="L1842" s="10"/>
      <c r="M1842" s="10" t="s">
        <v>47</v>
      </c>
      <c r="N1842" s="10"/>
      <c r="O1842" s="2">
        <v>12</v>
      </c>
      <c r="P1842" s="17">
        <f>57*(1-S3/100)</f>
        <v>57</v>
      </c>
      <c r="Q1842" s="18"/>
      <c r="R1842" s="10">
        <f t="shared" si="77"/>
        <v>0</v>
      </c>
      <c r="S1842" s="19">
        <f>0.056*Q1842</f>
        <v>0</v>
      </c>
      <c r="T1842" s="20">
        <f>0.00022*Q1842</f>
        <v>0</v>
      </c>
      <c r="U1842" s="21"/>
      <c r="V1842" s="22" t="s">
        <v>7792</v>
      </c>
      <c r="W1842" s="22" t="s">
        <v>49</v>
      </c>
      <c r="X1842" s="3"/>
      <c r="Y1842" s="3"/>
      <c r="Z1842" s="3" t="s">
        <v>52</v>
      </c>
      <c r="AA1842" s="3"/>
      <c r="AB1842" s="3"/>
      <c r="AC1842" s="3" t="str">
        <f>HYPERLINK("https://knigipp.ru/api/getInfo/image/63480c10-264a-11ea-a239-ac1f6b442184")</f>
        <v>https://knigipp.ru/api/getInfo/image/63480c10-264a-11ea-a239-ac1f6b442184</v>
      </c>
      <c r="AD1842" s="32">
        <v>16</v>
      </c>
      <c r="AE1842" s="3"/>
      <c r="AF1842" s="3" t="s">
        <v>136</v>
      </c>
      <c r="AG1842" s="3"/>
      <c r="AH1842" s="3" t="s">
        <v>56</v>
      </c>
      <c r="AI1842" s="3"/>
      <c r="AJ1842" s="3"/>
      <c r="AK1842" s="3" t="str">
        <f>HYPERLINK("https://knigipp.ru/api/getInfo/item/63480c10-264a-11ea-a239-ac1f6b442184")</f>
        <v>https://knigipp.ru/api/getInfo/item/63480c10-264a-11ea-a239-ac1f6b442184</v>
      </c>
      <c r="AL1842" s="3" t="s">
        <v>935</v>
      </c>
    </row>
    <row r="1843" spans="1:38" ht="21" customHeight="1" outlineLevel="4" x14ac:dyDescent="0.2">
      <c r="A1843" s="39">
        <v>1403</v>
      </c>
      <c r="B1843" s="3" t="s">
        <v>7793</v>
      </c>
      <c r="C1843" s="49" t="s">
        <v>7794</v>
      </c>
      <c r="D1843" s="49"/>
      <c r="E1843" s="49"/>
      <c r="F1843" s="49"/>
      <c r="G1843" s="4" t="s">
        <v>7795</v>
      </c>
      <c r="H1843" s="8"/>
      <c r="I1843" s="9" t="s">
        <v>7791</v>
      </c>
      <c r="J1843" s="10"/>
      <c r="K1843" s="11">
        <v>50</v>
      </c>
      <c r="L1843" s="10"/>
      <c r="M1843" s="10" t="s">
        <v>47</v>
      </c>
      <c r="N1843" s="10"/>
      <c r="O1843" s="2">
        <v>12</v>
      </c>
      <c r="P1843" s="17">
        <f>57*(1-S3/100)</f>
        <v>57</v>
      </c>
      <c r="Q1843" s="18"/>
      <c r="R1843" s="10">
        <f t="shared" si="77"/>
        <v>0</v>
      </c>
      <c r="S1843" s="19">
        <f>0.055*Q1843</f>
        <v>0</v>
      </c>
      <c r="T1843" s="20">
        <f>0.00022*Q1843</f>
        <v>0</v>
      </c>
      <c r="U1843" s="21"/>
      <c r="V1843" s="22" t="s">
        <v>7796</v>
      </c>
      <c r="W1843" s="22" t="s">
        <v>49</v>
      </c>
      <c r="X1843" s="3"/>
      <c r="Y1843" s="3"/>
      <c r="Z1843" s="3" t="s">
        <v>52</v>
      </c>
      <c r="AA1843" s="3"/>
      <c r="AB1843" s="3"/>
      <c r="AC1843" s="3" t="str">
        <f>HYPERLINK("https://knigipp.ru/api/getInfo/image/2151aa44-264a-11ea-a239-ac1f6b442184")</f>
        <v>https://knigipp.ru/api/getInfo/image/2151aa44-264a-11ea-a239-ac1f6b442184</v>
      </c>
      <c r="AD1843" s="32">
        <v>16</v>
      </c>
      <c r="AE1843" s="3"/>
      <c r="AF1843" s="3" t="s">
        <v>136</v>
      </c>
      <c r="AG1843" s="3"/>
      <c r="AH1843" s="3" t="s">
        <v>56</v>
      </c>
      <c r="AI1843" s="3"/>
      <c r="AJ1843" s="3"/>
      <c r="AK1843" s="3" t="str">
        <f>HYPERLINK("https://knigipp.ru/api/getInfo/item/2151aa44-264a-11ea-a239-ac1f6b442184")</f>
        <v>https://knigipp.ru/api/getInfo/item/2151aa44-264a-11ea-a239-ac1f6b442184</v>
      </c>
      <c r="AL1843" s="3" t="s">
        <v>935</v>
      </c>
    </row>
    <row r="1844" spans="1:38" ht="23.1" customHeight="1" outlineLevel="3" x14ac:dyDescent="0.2">
      <c r="A1844" s="48" t="s">
        <v>7797</v>
      </c>
      <c r="B1844" s="48"/>
      <c r="C1844" s="48"/>
      <c r="D1844" s="48"/>
      <c r="E1844" s="48"/>
      <c r="F1844" s="48"/>
    </row>
    <row r="1845" spans="1:38" ht="21" customHeight="1" outlineLevel="4" x14ac:dyDescent="0.2">
      <c r="A1845" s="39">
        <v>1404</v>
      </c>
      <c r="B1845" s="3" t="s">
        <v>7798</v>
      </c>
      <c r="C1845" s="49" t="s">
        <v>7799</v>
      </c>
      <c r="D1845" s="49"/>
      <c r="E1845" s="49"/>
      <c r="F1845" s="49"/>
      <c r="G1845" s="4" t="s">
        <v>7800</v>
      </c>
      <c r="H1845" s="8"/>
      <c r="I1845" s="9" t="s">
        <v>7801</v>
      </c>
      <c r="J1845" s="10"/>
      <c r="K1845" s="11">
        <v>30</v>
      </c>
      <c r="L1845" s="10"/>
      <c r="M1845" s="10" t="s">
        <v>47</v>
      </c>
      <c r="N1845" s="10"/>
      <c r="O1845" s="2">
        <v>7</v>
      </c>
      <c r="P1845" s="17">
        <f>99*(1-S3/100)</f>
        <v>99</v>
      </c>
      <c r="Q1845" s="18"/>
      <c r="R1845" s="10">
        <f t="shared" ref="R1845:R1852" si="78">P1845*Q1845</f>
        <v>0</v>
      </c>
      <c r="S1845" s="19">
        <f>0.131*Q1845</f>
        <v>0</v>
      </c>
      <c r="T1845" s="20">
        <f>0.00016*Q1845</f>
        <v>0</v>
      </c>
      <c r="U1845" s="21"/>
      <c r="V1845" s="22" t="s">
        <v>7802</v>
      </c>
      <c r="W1845" s="22" t="s">
        <v>49</v>
      </c>
      <c r="X1845" s="3"/>
      <c r="Y1845" s="3" t="s">
        <v>7803</v>
      </c>
      <c r="Z1845" s="3" t="s">
        <v>52</v>
      </c>
      <c r="AA1845" s="3"/>
      <c r="AB1845" s="3"/>
      <c r="AC1845" s="3" t="str">
        <f>HYPERLINK("https://knigipp.ru/api/getInfo/image/52d7bb41-6bea-11ed-a22a-00155d82e902")</f>
        <v>https://knigipp.ru/api/getInfo/image/52d7bb41-6bea-11ed-a22a-00155d82e902</v>
      </c>
      <c r="AD1845" s="32">
        <v>24</v>
      </c>
      <c r="AE1845" s="3" t="s">
        <v>54</v>
      </c>
      <c r="AF1845" s="3" t="s">
        <v>136</v>
      </c>
      <c r="AG1845" s="3"/>
      <c r="AH1845" s="3" t="s">
        <v>56</v>
      </c>
      <c r="AI1845" s="3"/>
      <c r="AJ1845" s="3"/>
      <c r="AK1845" s="3" t="str">
        <f>HYPERLINK("https://knigipp.ru/api/getInfo/item/52d7bb41-6bea-11ed-a22a-00155d82e902")</f>
        <v>https://knigipp.ru/api/getInfo/item/52d7bb41-6bea-11ed-a22a-00155d82e902</v>
      </c>
      <c r="AL1845" s="3" t="s">
        <v>7804</v>
      </c>
    </row>
    <row r="1846" spans="1:38" ht="21" customHeight="1" outlineLevel="4" x14ac:dyDescent="0.2">
      <c r="A1846" s="39">
        <v>1405</v>
      </c>
      <c r="B1846" s="3" t="s">
        <v>7805</v>
      </c>
      <c r="C1846" s="49" t="s">
        <v>7806</v>
      </c>
      <c r="D1846" s="49"/>
      <c r="E1846" s="49"/>
      <c r="F1846" s="49"/>
      <c r="G1846" s="4" t="s">
        <v>7807</v>
      </c>
      <c r="H1846" s="8"/>
      <c r="I1846" s="9" t="s">
        <v>7808</v>
      </c>
      <c r="J1846" s="10"/>
      <c r="K1846" s="11">
        <v>30</v>
      </c>
      <c r="L1846" s="10"/>
      <c r="M1846" s="10" t="s">
        <v>47</v>
      </c>
      <c r="N1846" s="10"/>
      <c r="O1846" s="2">
        <v>7</v>
      </c>
      <c r="P1846" s="17">
        <f>99*(1-S3/100)</f>
        <v>99</v>
      </c>
      <c r="Q1846" s="18"/>
      <c r="R1846" s="10">
        <f t="shared" si="78"/>
        <v>0</v>
      </c>
      <c r="S1846" s="19">
        <f>0.126*Q1846</f>
        <v>0</v>
      </c>
      <c r="T1846" s="20">
        <f>0.00056*Q1846</f>
        <v>0</v>
      </c>
      <c r="U1846" s="21"/>
      <c r="V1846" s="22" t="s">
        <v>7809</v>
      </c>
      <c r="W1846" s="22" t="s">
        <v>49</v>
      </c>
      <c r="X1846" s="3"/>
      <c r="Y1846" s="3" t="s">
        <v>7803</v>
      </c>
      <c r="Z1846" s="3" t="s">
        <v>52</v>
      </c>
      <c r="AA1846" s="3" t="s">
        <v>1667</v>
      </c>
      <c r="AB1846" s="3"/>
      <c r="AC1846" s="3" t="str">
        <f>HYPERLINK("https://knigipp.ru/api/getInfo/image/43dd32ef-ca64-11ee-a25a-00155d82e908")</f>
        <v>https://knigipp.ru/api/getInfo/image/43dd32ef-ca64-11ee-a25a-00155d82e908</v>
      </c>
      <c r="AD1846" s="32">
        <v>24</v>
      </c>
      <c r="AE1846" s="3" t="s">
        <v>54</v>
      </c>
      <c r="AF1846" s="3" t="s">
        <v>136</v>
      </c>
      <c r="AG1846" s="3"/>
      <c r="AH1846" s="3" t="s">
        <v>56</v>
      </c>
      <c r="AI1846" s="3"/>
      <c r="AJ1846" s="3"/>
      <c r="AK1846" s="3" t="str">
        <f>HYPERLINK("https://knigipp.ru/api/getInfo/item/43dd32ef-ca64-11ee-a25a-00155d82e908")</f>
        <v>https://knigipp.ru/api/getInfo/item/43dd32ef-ca64-11ee-a25a-00155d82e908</v>
      </c>
      <c r="AL1846" s="3" t="s">
        <v>7804</v>
      </c>
    </row>
    <row r="1847" spans="1:38" ht="21" customHeight="1" outlineLevel="4" x14ac:dyDescent="0.2">
      <c r="A1847" s="39">
        <v>1406</v>
      </c>
      <c r="B1847" s="3" t="s">
        <v>7810</v>
      </c>
      <c r="C1847" s="49" t="s">
        <v>7811</v>
      </c>
      <c r="D1847" s="49"/>
      <c r="E1847" s="49"/>
      <c r="F1847" s="49"/>
      <c r="G1847" s="4" t="s">
        <v>7812</v>
      </c>
      <c r="H1847" s="8"/>
      <c r="I1847" s="9" t="s">
        <v>7813</v>
      </c>
      <c r="J1847" s="10"/>
      <c r="K1847" s="11">
        <v>30</v>
      </c>
      <c r="L1847" s="10"/>
      <c r="M1847" s="10" t="s">
        <v>47</v>
      </c>
      <c r="N1847" s="10"/>
      <c r="O1847" s="2">
        <v>7</v>
      </c>
      <c r="P1847" s="17">
        <f>99*(1-S3/100)</f>
        <v>99</v>
      </c>
      <c r="Q1847" s="18"/>
      <c r="R1847" s="10">
        <f t="shared" si="78"/>
        <v>0</v>
      </c>
      <c r="S1847" s="19">
        <f>0.125*Q1847</f>
        <v>0</v>
      </c>
      <c r="T1847" s="20">
        <f>0.00081*Q1847</f>
        <v>0</v>
      </c>
      <c r="U1847" s="21"/>
      <c r="V1847" s="22" t="s">
        <v>7814</v>
      </c>
      <c r="W1847" s="22" t="s">
        <v>49</v>
      </c>
      <c r="X1847" s="3"/>
      <c r="Y1847" s="3" t="s">
        <v>7803</v>
      </c>
      <c r="Z1847" s="3" t="s">
        <v>52</v>
      </c>
      <c r="AA1847" s="3"/>
      <c r="AB1847" s="3"/>
      <c r="AC1847" s="3" t="str">
        <f>HYPERLINK("https://knigipp.ru/api/getInfo/image/b388048a-043d-11ee-a23b-00155d82e902")</f>
        <v>https://knigipp.ru/api/getInfo/image/b388048a-043d-11ee-a23b-00155d82e902</v>
      </c>
      <c r="AD1847" s="32">
        <v>24</v>
      </c>
      <c r="AE1847" s="3" t="s">
        <v>54</v>
      </c>
      <c r="AF1847" s="3" t="s">
        <v>136</v>
      </c>
      <c r="AG1847" s="3"/>
      <c r="AH1847" s="3" t="s">
        <v>56</v>
      </c>
      <c r="AI1847" s="3"/>
      <c r="AJ1847" s="3"/>
      <c r="AK1847" s="3" t="str">
        <f>HYPERLINK("https://knigipp.ru/api/getInfo/item/b388048a-043d-11ee-a23b-00155d82e902")</f>
        <v>https://knigipp.ru/api/getInfo/item/b388048a-043d-11ee-a23b-00155d82e902</v>
      </c>
      <c r="AL1847" s="3" t="s">
        <v>7804</v>
      </c>
    </row>
    <row r="1848" spans="1:38" ht="21" customHeight="1" outlineLevel="4" x14ac:dyDescent="0.2">
      <c r="A1848" s="39">
        <v>1407</v>
      </c>
      <c r="B1848" s="3" t="s">
        <v>7815</v>
      </c>
      <c r="C1848" s="49" t="s">
        <v>7816</v>
      </c>
      <c r="D1848" s="49"/>
      <c r="E1848" s="49"/>
      <c r="F1848" s="49"/>
      <c r="G1848" s="4" t="s">
        <v>7817</v>
      </c>
      <c r="H1848" s="8"/>
      <c r="I1848" s="9" t="s">
        <v>7813</v>
      </c>
      <c r="J1848" s="10"/>
      <c r="K1848" s="11">
        <v>30</v>
      </c>
      <c r="L1848" s="10"/>
      <c r="M1848" s="10" t="s">
        <v>47</v>
      </c>
      <c r="N1848" s="10"/>
      <c r="O1848" s="2">
        <v>7</v>
      </c>
      <c r="P1848" s="17">
        <f>99*(1-S3/100)</f>
        <v>99</v>
      </c>
      <c r="Q1848" s="18"/>
      <c r="R1848" s="10">
        <f t="shared" si="78"/>
        <v>0</v>
      </c>
      <c r="S1848" s="19">
        <f>0.125*Q1848</f>
        <v>0</v>
      </c>
      <c r="T1848" s="20">
        <f>0.00122*Q1848</f>
        <v>0</v>
      </c>
      <c r="U1848" s="21"/>
      <c r="V1848" s="22" t="s">
        <v>7818</v>
      </c>
      <c r="W1848" s="22" t="s">
        <v>49</v>
      </c>
      <c r="X1848" s="3"/>
      <c r="Y1848" s="3" t="s">
        <v>7803</v>
      </c>
      <c r="Z1848" s="3" t="s">
        <v>52</v>
      </c>
      <c r="AA1848" s="3"/>
      <c r="AB1848" s="3"/>
      <c r="AC1848" s="3" t="str">
        <f>HYPERLINK("https://knigipp.ru/api/getInfo/image/6861c5db-043d-11ee-a23b-00155d82e902")</f>
        <v>https://knigipp.ru/api/getInfo/image/6861c5db-043d-11ee-a23b-00155d82e902</v>
      </c>
      <c r="AD1848" s="32">
        <v>24</v>
      </c>
      <c r="AE1848" s="3" t="s">
        <v>54</v>
      </c>
      <c r="AF1848" s="3" t="s">
        <v>136</v>
      </c>
      <c r="AG1848" s="3"/>
      <c r="AH1848" s="3" t="s">
        <v>56</v>
      </c>
      <c r="AI1848" s="3"/>
      <c r="AJ1848" s="3"/>
      <c r="AK1848" s="3" t="str">
        <f>HYPERLINK("https://knigipp.ru/api/getInfo/item/6861c5db-043d-11ee-a23b-00155d82e902")</f>
        <v>https://knigipp.ru/api/getInfo/item/6861c5db-043d-11ee-a23b-00155d82e902</v>
      </c>
      <c r="AL1848" s="3" t="s">
        <v>7804</v>
      </c>
    </row>
    <row r="1849" spans="1:38" ht="21" customHeight="1" outlineLevel="4" x14ac:dyDescent="0.2">
      <c r="A1849" s="39">
        <v>1408</v>
      </c>
      <c r="B1849" s="3" t="s">
        <v>7819</v>
      </c>
      <c r="C1849" s="49" t="s">
        <v>7820</v>
      </c>
      <c r="D1849" s="49"/>
      <c r="E1849" s="49"/>
      <c r="F1849" s="49"/>
      <c r="G1849" s="4" t="s">
        <v>7821</v>
      </c>
      <c r="H1849" s="8"/>
      <c r="I1849" s="9" t="s">
        <v>7801</v>
      </c>
      <c r="J1849" s="10"/>
      <c r="K1849" s="11">
        <v>30</v>
      </c>
      <c r="L1849" s="10"/>
      <c r="M1849" s="10" t="s">
        <v>47</v>
      </c>
      <c r="N1849" s="10"/>
      <c r="O1849" s="2">
        <v>7</v>
      </c>
      <c r="P1849" s="17">
        <f>99*(1-S3/100)</f>
        <v>99</v>
      </c>
      <c r="Q1849" s="18"/>
      <c r="R1849" s="10">
        <f t="shared" si="78"/>
        <v>0</v>
      </c>
      <c r="S1849" s="19">
        <f>0.126*Q1849</f>
        <v>0</v>
      </c>
      <c r="T1849" s="20">
        <f>0.00064*Q1849</f>
        <v>0</v>
      </c>
      <c r="U1849" s="21"/>
      <c r="V1849" s="22" t="s">
        <v>7822</v>
      </c>
      <c r="W1849" s="22" t="s">
        <v>49</v>
      </c>
      <c r="X1849" s="3"/>
      <c r="Y1849" s="3" t="s">
        <v>7803</v>
      </c>
      <c r="Z1849" s="3" t="s">
        <v>52</v>
      </c>
      <c r="AA1849" s="3"/>
      <c r="AB1849" s="3"/>
      <c r="AC1849" s="3" t="str">
        <f>HYPERLINK("https://knigipp.ru/api/getInfo/image/d9f5d52b-6bea-11ed-a22a-00155d82e902")</f>
        <v>https://knigipp.ru/api/getInfo/image/d9f5d52b-6bea-11ed-a22a-00155d82e902</v>
      </c>
      <c r="AD1849" s="32">
        <v>24</v>
      </c>
      <c r="AE1849" s="3" t="s">
        <v>54</v>
      </c>
      <c r="AF1849" s="3" t="s">
        <v>136</v>
      </c>
      <c r="AG1849" s="3"/>
      <c r="AH1849" s="3" t="s">
        <v>56</v>
      </c>
      <c r="AI1849" s="3"/>
      <c r="AJ1849" s="3"/>
      <c r="AK1849" s="3" t="str">
        <f>HYPERLINK("https://knigipp.ru/api/getInfo/item/d9f5d52b-6bea-11ed-a22a-00155d82e902")</f>
        <v>https://knigipp.ru/api/getInfo/item/d9f5d52b-6bea-11ed-a22a-00155d82e902</v>
      </c>
      <c r="AL1849" s="3" t="s">
        <v>7804</v>
      </c>
    </row>
    <row r="1850" spans="1:38" ht="21" customHeight="1" outlineLevel="4" x14ac:dyDescent="0.2">
      <c r="A1850" s="39">
        <v>1409</v>
      </c>
      <c r="B1850" s="3" t="s">
        <v>7823</v>
      </c>
      <c r="C1850" s="49" t="s">
        <v>7824</v>
      </c>
      <c r="D1850" s="49"/>
      <c r="E1850" s="49"/>
      <c r="F1850" s="49"/>
      <c r="G1850" s="4" t="s">
        <v>7825</v>
      </c>
      <c r="H1850" s="8"/>
      <c r="I1850" s="9" t="s">
        <v>7826</v>
      </c>
      <c r="J1850" s="10"/>
      <c r="K1850" s="11">
        <v>30</v>
      </c>
      <c r="L1850" s="10"/>
      <c r="M1850" s="10" t="s">
        <v>47</v>
      </c>
      <c r="N1850" s="10"/>
      <c r="O1850" s="2">
        <v>7</v>
      </c>
      <c r="P1850" s="17">
        <f>99*(1-S3/100)</f>
        <v>99</v>
      </c>
      <c r="Q1850" s="18"/>
      <c r="R1850" s="10">
        <f t="shared" si="78"/>
        <v>0</v>
      </c>
      <c r="S1850" s="19">
        <f>0.126*Q1850</f>
        <v>0</v>
      </c>
      <c r="T1850" s="20">
        <f>0.00072*Q1850</f>
        <v>0</v>
      </c>
      <c r="U1850" s="21"/>
      <c r="V1850" s="22" t="s">
        <v>7827</v>
      </c>
      <c r="W1850" s="22" t="s">
        <v>49</v>
      </c>
      <c r="X1850" s="3"/>
      <c r="Y1850" s="3" t="s">
        <v>7803</v>
      </c>
      <c r="Z1850" s="3" t="s">
        <v>52</v>
      </c>
      <c r="AA1850" s="3" t="s">
        <v>1667</v>
      </c>
      <c r="AB1850" s="3"/>
      <c r="AC1850" s="3" t="str">
        <f>HYPERLINK("https://knigipp.ru/api/getInfo/image/c3a182f5-95c7-11ee-a250-00155d82e908")</f>
        <v>https://knigipp.ru/api/getInfo/image/c3a182f5-95c7-11ee-a250-00155d82e908</v>
      </c>
      <c r="AD1850" s="32">
        <v>24</v>
      </c>
      <c r="AE1850" s="3" t="s">
        <v>54</v>
      </c>
      <c r="AF1850" s="3" t="s">
        <v>136</v>
      </c>
      <c r="AG1850" s="3"/>
      <c r="AH1850" s="3" t="s">
        <v>56</v>
      </c>
      <c r="AI1850" s="3"/>
      <c r="AJ1850" s="3"/>
      <c r="AK1850" s="3" t="str">
        <f>HYPERLINK("https://knigipp.ru/api/getInfo/item/c3a182f5-95c7-11ee-a250-00155d82e908")</f>
        <v>https://knigipp.ru/api/getInfo/item/c3a182f5-95c7-11ee-a250-00155d82e908</v>
      </c>
      <c r="AL1850" s="3" t="s">
        <v>7804</v>
      </c>
    </row>
    <row r="1851" spans="1:38" ht="21" customHeight="1" outlineLevel="4" x14ac:dyDescent="0.2">
      <c r="A1851" s="39">
        <v>1410</v>
      </c>
      <c r="B1851" s="3" t="s">
        <v>7828</v>
      </c>
      <c r="C1851" s="49" t="s">
        <v>7829</v>
      </c>
      <c r="D1851" s="49"/>
      <c r="E1851" s="49"/>
      <c r="F1851" s="49"/>
      <c r="G1851" s="4" t="s">
        <v>7830</v>
      </c>
      <c r="H1851" s="8"/>
      <c r="I1851" s="9" t="s">
        <v>7813</v>
      </c>
      <c r="J1851" s="10"/>
      <c r="K1851" s="11">
        <v>30</v>
      </c>
      <c r="L1851" s="10"/>
      <c r="M1851" s="10" t="s">
        <v>47</v>
      </c>
      <c r="N1851" s="10"/>
      <c r="O1851" s="2">
        <v>7</v>
      </c>
      <c r="P1851" s="17">
        <f>99*(1-S3/100)</f>
        <v>99</v>
      </c>
      <c r="Q1851" s="18"/>
      <c r="R1851" s="10">
        <f t="shared" si="78"/>
        <v>0</v>
      </c>
      <c r="S1851" s="19">
        <f>0.125*Q1851</f>
        <v>0</v>
      </c>
      <c r="T1851" s="20">
        <f>0.00056*Q1851</f>
        <v>0</v>
      </c>
      <c r="U1851" s="21"/>
      <c r="V1851" s="22" t="s">
        <v>7831</v>
      </c>
      <c r="W1851" s="22" t="s">
        <v>49</v>
      </c>
      <c r="X1851" s="3"/>
      <c r="Y1851" s="3" t="s">
        <v>7803</v>
      </c>
      <c r="Z1851" s="3" t="s">
        <v>52</v>
      </c>
      <c r="AA1851" s="3"/>
      <c r="AB1851" s="3"/>
      <c r="AC1851" s="3" t="str">
        <f>HYPERLINK("https://knigipp.ru/api/getInfo/image/33f04058-043d-11ee-a23b-00155d82e902")</f>
        <v>https://knigipp.ru/api/getInfo/image/33f04058-043d-11ee-a23b-00155d82e902</v>
      </c>
      <c r="AD1851" s="32">
        <v>24</v>
      </c>
      <c r="AE1851" s="3" t="s">
        <v>54</v>
      </c>
      <c r="AF1851" s="3" t="s">
        <v>136</v>
      </c>
      <c r="AG1851" s="3"/>
      <c r="AH1851" s="3" t="s">
        <v>56</v>
      </c>
      <c r="AI1851" s="3"/>
      <c r="AJ1851" s="3"/>
      <c r="AK1851" s="3" t="str">
        <f>HYPERLINK("https://knigipp.ru/api/getInfo/item/33f04058-043d-11ee-a23b-00155d82e902")</f>
        <v>https://knigipp.ru/api/getInfo/item/33f04058-043d-11ee-a23b-00155d82e902</v>
      </c>
      <c r="AL1851" s="3" t="s">
        <v>7804</v>
      </c>
    </row>
    <row r="1852" spans="1:38" ht="21" customHeight="1" outlineLevel="4" x14ac:dyDescent="0.2">
      <c r="A1852" s="39">
        <v>1411</v>
      </c>
      <c r="B1852" s="3" t="s">
        <v>7832</v>
      </c>
      <c r="C1852" s="49" t="s">
        <v>7833</v>
      </c>
      <c r="D1852" s="49"/>
      <c r="E1852" s="49"/>
      <c r="F1852" s="49"/>
      <c r="G1852" s="4" t="s">
        <v>7834</v>
      </c>
      <c r="H1852" s="8"/>
      <c r="I1852" s="9" t="s">
        <v>7813</v>
      </c>
      <c r="J1852" s="10"/>
      <c r="K1852" s="11">
        <v>30</v>
      </c>
      <c r="L1852" s="10"/>
      <c r="M1852" s="10" t="s">
        <v>47</v>
      </c>
      <c r="N1852" s="10"/>
      <c r="O1852" s="2">
        <v>7</v>
      </c>
      <c r="P1852" s="17">
        <f>99*(1-S3/100)</f>
        <v>99</v>
      </c>
      <c r="Q1852" s="18"/>
      <c r="R1852" s="10">
        <f t="shared" si="78"/>
        <v>0</v>
      </c>
      <c r="S1852" s="19">
        <f>0.125*Q1852</f>
        <v>0</v>
      </c>
      <c r="T1852" s="20">
        <f>0.00064*Q1852</f>
        <v>0</v>
      </c>
      <c r="U1852" s="21"/>
      <c r="V1852" s="22" t="s">
        <v>7835</v>
      </c>
      <c r="W1852" s="22" t="s">
        <v>49</v>
      </c>
      <c r="X1852" s="3"/>
      <c r="Y1852" s="3" t="s">
        <v>7803</v>
      </c>
      <c r="Z1852" s="3" t="s">
        <v>52</v>
      </c>
      <c r="AA1852" s="3"/>
      <c r="AB1852" s="3"/>
      <c r="AC1852" s="3" t="str">
        <f>HYPERLINK("https://knigipp.ru/api/getInfo/image/e1749631-043d-11ee-a23b-00155d82e902")</f>
        <v>https://knigipp.ru/api/getInfo/image/e1749631-043d-11ee-a23b-00155d82e902</v>
      </c>
      <c r="AD1852" s="32">
        <v>24</v>
      </c>
      <c r="AE1852" s="3" t="s">
        <v>54</v>
      </c>
      <c r="AF1852" s="3" t="s">
        <v>136</v>
      </c>
      <c r="AG1852" s="3"/>
      <c r="AH1852" s="3" t="s">
        <v>56</v>
      </c>
      <c r="AI1852" s="3"/>
      <c r="AJ1852" s="3"/>
      <c r="AK1852" s="3" t="str">
        <f>HYPERLINK("https://knigipp.ru/api/getInfo/item/e1749631-043d-11ee-a23b-00155d82e902")</f>
        <v>https://knigipp.ru/api/getInfo/item/e1749631-043d-11ee-a23b-00155d82e902</v>
      </c>
      <c r="AL1852" s="3" t="s">
        <v>7804</v>
      </c>
    </row>
    <row r="1853" spans="1:38" ht="23.1" customHeight="1" outlineLevel="3" x14ac:dyDescent="0.2">
      <c r="A1853" s="48" t="s">
        <v>7836</v>
      </c>
      <c r="B1853" s="48"/>
      <c r="C1853" s="48"/>
      <c r="D1853" s="48"/>
      <c r="E1853" s="48"/>
      <c r="F1853" s="48"/>
    </row>
    <row r="1854" spans="1:38" ht="21" customHeight="1" outlineLevel="4" x14ac:dyDescent="0.2">
      <c r="A1854" s="39">
        <v>1412</v>
      </c>
      <c r="B1854" s="3" t="s">
        <v>7837</v>
      </c>
      <c r="C1854" s="49" t="s">
        <v>7838</v>
      </c>
      <c r="D1854" s="49"/>
      <c r="E1854" s="49"/>
      <c r="F1854" s="49"/>
      <c r="G1854" s="4" t="s">
        <v>7839</v>
      </c>
      <c r="H1854" s="8"/>
      <c r="I1854" s="9" t="s">
        <v>7840</v>
      </c>
      <c r="J1854" s="10"/>
      <c r="K1854" s="11">
        <v>20</v>
      </c>
      <c r="L1854" s="10"/>
      <c r="M1854" s="10" t="s">
        <v>47</v>
      </c>
      <c r="N1854" s="10"/>
      <c r="O1854" s="2">
        <v>2</v>
      </c>
      <c r="P1854" s="17">
        <f>277*(1-S3/100)</f>
        <v>277</v>
      </c>
      <c r="Q1854" s="18"/>
      <c r="R1854" s="10">
        <f>P1854*Q1854</f>
        <v>0</v>
      </c>
      <c r="S1854" s="19">
        <f>0.162*Q1854</f>
        <v>0</v>
      </c>
      <c r="T1854" s="20">
        <f>0.00029*Q1854</f>
        <v>0</v>
      </c>
      <c r="U1854" s="21"/>
      <c r="V1854" s="22" t="s">
        <v>7841</v>
      </c>
      <c r="W1854" s="22" t="s">
        <v>49</v>
      </c>
      <c r="X1854" s="3" t="s">
        <v>7742</v>
      </c>
      <c r="Y1854" s="3" t="s">
        <v>7842</v>
      </c>
      <c r="Z1854" s="3" t="s">
        <v>384</v>
      </c>
      <c r="AA1854" s="3"/>
      <c r="AB1854" s="3"/>
      <c r="AC1854" s="3" t="str">
        <f>HYPERLINK("https://knigipp.ru/api/getInfo/image/d4c44ad3-e577-11f0-a28c-00155d82e908")</f>
        <v>https://knigipp.ru/api/getInfo/image/d4c44ad3-e577-11f0-a28c-00155d82e908</v>
      </c>
      <c r="AD1854" s="32">
        <v>48</v>
      </c>
      <c r="AE1854" s="3" t="s">
        <v>54</v>
      </c>
      <c r="AF1854" s="3" t="s">
        <v>55</v>
      </c>
      <c r="AG1854" s="3"/>
      <c r="AH1854" s="3" t="s">
        <v>56</v>
      </c>
      <c r="AI1854" s="3"/>
      <c r="AJ1854" s="3"/>
      <c r="AK1854" s="3" t="str">
        <f>HYPERLINK("https://knigipp.ru/api/getInfo/item/d4c44ad3-e577-11f0-a28c-00155d82e908")</f>
        <v>https://knigipp.ru/api/getInfo/item/d4c44ad3-e577-11f0-a28c-00155d82e908</v>
      </c>
      <c r="AL1854" s="3" t="s">
        <v>7843</v>
      </c>
    </row>
    <row r="1855" spans="1:38" ht="21" customHeight="1" outlineLevel="4" x14ac:dyDescent="0.2">
      <c r="A1855" s="39">
        <v>1413</v>
      </c>
      <c r="B1855" s="3" t="s">
        <v>7844</v>
      </c>
      <c r="C1855" s="49" t="s">
        <v>7845</v>
      </c>
      <c r="D1855" s="49"/>
      <c r="E1855" s="49"/>
      <c r="F1855" s="49"/>
      <c r="G1855" s="4" t="s">
        <v>7846</v>
      </c>
      <c r="H1855" s="8"/>
      <c r="I1855" s="9" t="s">
        <v>7840</v>
      </c>
      <c r="J1855" s="10"/>
      <c r="K1855" s="11">
        <v>20</v>
      </c>
      <c r="L1855" s="10"/>
      <c r="M1855" s="10" t="s">
        <v>47</v>
      </c>
      <c r="N1855" s="10"/>
      <c r="O1855" s="2">
        <v>2</v>
      </c>
      <c r="P1855" s="17">
        <f>277*(1-S3/100)</f>
        <v>277</v>
      </c>
      <c r="Q1855" s="18"/>
      <c r="R1855" s="10">
        <f>P1855*Q1855</f>
        <v>0</v>
      </c>
      <c r="S1855" s="19">
        <f>0.152*Q1855</f>
        <v>0</v>
      </c>
      <c r="T1855" s="20">
        <f>0.00039*Q1855</f>
        <v>0</v>
      </c>
      <c r="U1855" s="21"/>
      <c r="V1855" s="22" t="s">
        <v>7847</v>
      </c>
      <c r="W1855" s="22" t="s">
        <v>49</v>
      </c>
      <c r="X1855" s="3"/>
      <c r="Y1855" s="3" t="s">
        <v>7842</v>
      </c>
      <c r="Z1855" s="3" t="s">
        <v>384</v>
      </c>
      <c r="AA1855" s="3"/>
      <c r="AB1855" s="3"/>
      <c r="AC1855" s="3" t="str">
        <f>HYPERLINK("https://knigipp.ru/api/getInfo/image/2cbe1aa9-e578-11f0-a28c-00155d82e908")</f>
        <v>https://knigipp.ru/api/getInfo/image/2cbe1aa9-e578-11f0-a28c-00155d82e908</v>
      </c>
      <c r="AD1855" s="32">
        <v>48</v>
      </c>
      <c r="AE1855" s="3" t="s">
        <v>54</v>
      </c>
      <c r="AF1855" s="3" t="s">
        <v>55</v>
      </c>
      <c r="AG1855" s="3"/>
      <c r="AH1855" s="3" t="s">
        <v>56</v>
      </c>
      <c r="AI1855" s="3"/>
      <c r="AJ1855" s="3"/>
      <c r="AK1855" s="3" t="str">
        <f>HYPERLINK("https://knigipp.ru/api/getInfo/item/2cbe1aa9-e578-11f0-a28c-00155d82e908")</f>
        <v>https://knigipp.ru/api/getInfo/item/2cbe1aa9-e578-11f0-a28c-00155d82e908</v>
      </c>
      <c r="AL1855" s="3" t="s">
        <v>7848</v>
      </c>
    </row>
    <row r="1856" spans="1:38" ht="21" customHeight="1" outlineLevel="4" x14ac:dyDescent="0.2">
      <c r="A1856" s="39">
        <v>1414</v>
      </c>
      <c r="B1856" s="3" t="s">
        <v>7849</v>
      </c>
      <c r="C1856" s="49" t="s">
        <v>7850</v>
      </c>
      <c r="D1856" s="49"/>
      <c r="E1856" s="49"/>
      <c r="F1856" s="49"/>
      <c r="G1856" s="4" t="s">
        <v>7851</v>
      </c>
      <c r="H1856" s="8"/>
      <c r="I1856" s="9" t="s">
        <v>7840</v>
      </c>
      <c r="J1856" s="10"/>
      <c r="K1856" s="11">
        <v>20</v>
      </c>
      <c r="L1856" s="10"/>
      <c r="M1856" s="10" t="s">
        <v>47</v>
      </c>
      <c r="N1856" s="10"/>
      <c r="O1856" s="2">
        <v>2</v>
      </c>
      <c r="P1856" s="17">
        <f>277*(1-S3/100)</f>
        <v>277</v>
      </c>
      <c r="Q1856" s="18"/>
      <c r="R1856" s="10">
        <f>P1856*Q1856</f>
        <v>0</v>
      </c>
      <c r="S1856" s="19">
        <f>0.159*Q1856</f>
        <v>0</v>
      </c>
      <c r="T1856" s="20">
        <f>0.00035*Q1856</f>
        <v>0</v>
      </c>
      <c r="U1856" s="21"/>
      <c r="V1856" s="22" t="s">
        <v>7852</v>
      </c>
      <c r="W1856" s="22" t="s">
        <v>49</v>
      </c>
      <c r="X1856" s="3"/>
      <c r="Y1856" s="3" t="s">
        <v>7842</v>
      </c>
      <c r="Z1856" s="3" t="s">
        <v>384</v>
      </c>
      <c r="AA1856" s="3"/>
      <c r="AB1856" s="3"/>
      <c r="AC1856" s="3" t="str">
        <f>HYPERLINK("https://knigipp.ru/api/getInfo/image/94bb36bd-e577-11f0-a28c-00155d82e908")</f>
        <v>https://knigipp.ru/api/getInfo/image/94bb36bd-e577-11f0-a28c-00155d82e908</v>
      </c>
      <c r="AD1856" s="32">
        <v>48</v>
      </c>
      <c r="AE1856" s="3" t="s">
        <v>54</v>
      </c>
      <c r="AF1856" s="3" t="s">
        <v>55</v>
      </c>
      <c r="AG1856" s="3"/>
      <c r="AH1856" s="3" t="s">
        <v>56</v>
      </c>
      <c r="AI1856" s="3"/>
      <c r="AJ1856" s="3"/>
      <c r="AK1856" s="3" t="str">
        <f>HYPERLINK("https://knigipp.ru/api/getInfo/item/94bb36bd-e577-11f0-a28c-00155d82e908")</f>
        <v>https://knigipp.ru/api/getInfo/item/94bb36bd-e577-11f0-a28c-00155d82e908</v>
      </c>
      <c r="AL1856" s="3" t="s">
        <v>7848</v>
      </c>
    </row>
    <row r="1857" spans="1:38" ht="21" customHeight="1" outlineLevel="4" x14ac:dyDescent="0.2">
      <c r="A1857" s="39">
        <v>1415</v>
      </c>
      <c r="B1857" s="3" t="s">
        <v>7853</v>
      </c>
      <c r="C1857" s="49" t="s">
        <v>7854</v>
      </c>
      <c r="D1857" s="49"/>
      <c r="E1857" s="49"/>
      <c r="F1857" s="49"/>
      <c r="G1857" s="4" t="s">
        <v>7855</v>
      </c>
      <c r="H1857" s="8"/>
      <c r="I1857" s="9" t="s">
        <v>7840</v>
      </c>
      <c r="J1857" s="10"/>
      <c r="K1857" s="11">
        <v>20</v>
      </c>
      <c r="L1857" s="10"/>
      <c r="M1857" s="10" t="s">
        <v>47</v>
      </c>
      <c r="N1857" s="10"/>
      <c r="O1857" s="2">
        <v>2</v>
      </c>
      <c r="P1857" s="17">
        <f>277*(1-S3/100)</f>
        <v>277</v>
      </c>
      <c r="Q1857" s="18"/>
      <c r="R1857" s="10">
        <f>P1857*Q1857</f>
        <v>0</v>
      </c>
      <c r="S1857" s="19">
        <f>0.159*Q1857</f>
        <v>0</v>
      </c>
      <c r="T1857" s="20">
        <f>0.00035*Q1857</f>
        <v>0</v>
      </c>
      <c r="U1857" s="21"/>
      <c r="V1857" s="22" t="s">
        <v>7856</v>
      </c>
      <c r="W1857" s="22" t="s">
        <v>49</v>
      </c>
      <c r="X1857" s="3"/>
      <c r="Y1857" s="3" t="s">
        <v>7842</v>
      </c>
      <c r="Z1857" s="3" t="s">
        <v>384</v>
      </c>
      <c r="AA1857" s="3"/>
      <c r="AB1857" s="3"/>
      <c r="AC1857" s="3" t="str">
        <f>HYPERLINK("https://knigipp.ru/api/getInfo/image/fee6577a-e577-11f0-a28c-00155d82e908")</f>
        <v>https://knigipp.ru/api/getInfo/image/fee6577a-e577-11f0-a28c-00155d82e908</v>
      </c>
      <c r="AD1857" s="32">
        <v>48</v>
      </c>
      <c r="AE1857" s="3" t="s">
        <v>54</v>
      </c>
      <c r="AF1857" s="3" t="s">
        <v>55</v>
      </c>
      <c r="AG1857" s="3"/>
      <c r="AH1857" s="3" t="s">
        <v>56</v>
      </c>
      <c r="AI1857" s="3"/>
      <c r="AJ1857" s="3"/>
      <c r="AK1857" s="3" t="str">
        <f>HYPERLINK("https://knigipp.ru/api/getInfo/item/fee6577a-e577-11f0-a28c-00155d82e908")</f>
        <v>https://knigipp.ru/api/getInfo/item/fee6577a-e577-11f0-a28c-00155d82e908</v>
      </c>
      <c r="AL1857" s="3" t="s">
        <v>7848</v>
      </c>
    </row>
    <row r="1858" spans="1:38" ht="23.1" customHeight="1" outlineLevel="3" x14ac:dyDescent="0.2">
      <c r="A1858" s="48" t="s">
        <v>7857</v>
      </c>
      <c r="B1858" s="48"/>
      <c r="C1858" s="48"/>
      <c r="D1858" s="48"/>
      <c r="E1858" s="48"/>
      <c r="F1858" s="48"/>
    </row>
    <row r="1859" spans="1:38" ht="21" customHeight="1" outlineLevel="4" x14ac:dyDescent="0.2">
      <c r="A1859" s="39">
        <v>1416</v>
      </c>
      <c r="B1859" s="3" t="s">
        <v>7858</v>
      </c>
      <c r="C1859" s="49" t="s">
        <v>7859</v>
      </c>
      <c r="D1859" s="49"/>
      <c r="E1859" s="49"/>
      <c r="F1859" s="49"/>
      <c r="G1859" s="4" t="s">
        <v>7860</v>
      </c>
      <c r="H1859" s="8"/>
      <c r="I1859" s="9" t="s">
        <v>7861</v>
      </c>
      <c r="J1859" s="10"/>
      <c r="K1859" s="11">
        <v>30</v>
      </c>
      <c r="L1859" s="10"/>
      <c r="M1859" s="10" t="s">
        <v>78</v>
      </c>
      <c r="N1859" s="10"/>
      <c r="O1859" s="2">
        <v>5</v>
      </c>
      <c r="P1859" s="17">
        <f>127*(1-S3/100)</f>
        <v>127</v>
      </c>
      <c r="Q1859" s="18"/>
      <c r="R1859" s="10">
        <f>P1859*Q1859</f>
        <v>0</v>
      </c>
      <c r="S1859" s="19">
        <f>0.128*Q1859</f>
        <v>0</v>
      </c>
      <c r="T1859" s="20">
        <f>0.00014*Q1859</f>
        <v>0</v>
      </c>
      <c r="U1859" s="21"/>
      <c r="V1859" s="22" t="s">
        <v>7862</v>
      </c>
      <c r="W1859" s="22" t="s">
        <v>49</v>
      </c>
      <c r="X1859" s="3"/>
      <c r="Y1859" s="3" t="s">
        <v>7863</v>
      </c>
      <c r="Z1859" s="3" t="s">
        <v>52</v>
      </c>
      <c r="AA1859" s="3"/>
      <c r="AB1859" s="3"/>
      <c r="AC1859" s="3" t="str">
        <f>HYPERLINK("https://knigipp.ru/api/getInfo/image/efd6a88f-c104-11ee-a25a-00155d82e908")</f>
        <v>https://knigipp.ru/api/getInfo/image/efd6a88f-c104-11ee-a25a-00155d82e908</v>
      </c>
      <c r="AD1859" s="32">
        <v>48</v>
      </c>
      <c r="AE1859" s="3" t="s">
        <v>54</v>
      </c>
      <c r="AF1859" s="3" t="s">
        <v>55</v>
      </c>
      <c r="AG1859" s="3"/>
      <c r="AH1859" s="3" t="s">
        <v>56</v>
      </c>
      <c r="AI1859" s="3"/>
      <c r="AJ1859" s="3"/>
      <c r="AK1859" s="3" t="str">
        <f>HYPERLINK("https://knigipp.ru/api/getInfo/item/efd6a88f-c104-11ee-a25a-00155d82e908")</f>
        <v>https://knigipp.ru/api/getInfo/item/efd6a88f-c104-11ee-a25a-00155d82e908</v>
      </c>
      <c r="AL1859" s="3" t="s">
        <v>6299</v>
      </c>
    </row>
    <row r="1860" spans="1:38" ht="21" customHeight="1" outlineLevel="4" x14ac:dyDescent="0.2">
      <c r="A1860" s="39">
        <v>1417</v>
      </c>
      <c r="B1860" s="3" t="s">
        <v>7864</v>
      </c>
      <c r="C1860" s="49" t="s">
        <v>7865</v>
      </c>
      <c r="D1860" s="49"/>
      <c r="E1860" s="49"/>
      <c r="F1860" s="49"/>
      <c r="G1860" s="4" t="s">
        <v>7866</v>
      </c>
      <c r="H1860" s="8"/>
      <c r="I1860" s="9" t="s">
        <v>7861</v>
      </c>
      <c r="J1860" s="10"/>
      <c r="K1860" s="11">
        <v>30</v>
      </c>
      <c r="L1860" s="10"/>
      <c r="M1860" s="10" t="s">
        <v>47</v>
      </c>
      <c r="N1860" s="10"/>
      <c r="O1860" s="2">
        <v>5</v>
      </c>
      <c r="P1860" s="17">
        <f>127*(1-S3/100)</f>
        <v>127</v>
      </c>
      <c r="Q1860" s="18"/>
      <c r="R1860" s="10">
        <f>P1860*Q1860</f>
        <v>0</v>
      </c>
      <c r="S1860" s="28">
        <f>0.12*Q1860</f>
        <v>0</v>
      </c>
      <c r="T1860" s="20">
        <f>0.00014*Q1860</f>
        <v>0</v>
      </c>
      <c r="U1860" s="21"/>
      <c r="V1860" s="22" t="s">
        <v>7867</v>
      </c>
      <c r="W1860" s="22" t="s">
        <v>49</v>
      </c>
      <c r="X1860" s="3"/>
      <c r="Y1860" s="3" t="s">
        <v>7868</v>
      </c>
      <c r="Z1860" s="3" t="s">
        <v>52</v>
      </c>
      <c r="AA1860" s="3"/>
      <c r="AB1860" s="3"/>
      <c r="AC1860" s="3" t="str">
        <f>HYPERLINK("https://knigipp.ru/api/getInfo/image/37398f6c-c105-11ee-a25a-00155d82e908")</f>
        <v>https://knigipp.ru/api/getInfo/image/37398f6c-c105-11ee-a25a-00155d82e908</v>
      </c>
      <c r="AD1860" s="32">
        <v>48</v>
      </c>
      <c r="AE1860" s="3" t="s">
        <v>54</v>
      </c>
      <c r="AF1860" s="3" t="s">
        <v>55</v>
      </c>
      <c r="AG1860" s="3"/>
      <c r="AH1860" s="3" t="s">
        <v>56</v>
      </c>
      <c r="AI1860" s="3"/>
      <c r="AJ1860" s="3"/>
      <c r="AK1860" s="3" t="str">
        <f>HYPERLINK("https://knigipp.ru/api/getInfo/item/37398f6c-c105-11ee-a25a-00155d82e908")</f>
        <v>https://knigipp.ru/api/getInfo/item/37398f6c-c105-11ee-a25a-00155d82e908</v>
      </c>
      <c r="AL1860" s="3" t="s">
        <v>6299</v>
      </c>
    </row>
    <row r="1861" spans="1:38" ht="23.1" customHeight="1" outlineLevel="3" x14ac:dyDescent="0.2">
      <c r="A1861" s="48" t="s">
        <v>7869</v>
      </c>
      <c r="B1861" s="48"/>
      <c r="C1861" s="48"/>
      <c r="D1861" s="48"/>
      <c r="E1861" s="48"/>
      <c r="F1861" s="48"/>
    </row>
    <row r="1862" spans="1:38" ht="21" customHeight="1" outlineLevel="4" x14ac:dyDescent="0.2">
      <c r="A1862" s="39">
        <v>1418</v>
      </c>
      <c r="B1862" s="3" t="s">
        <v>7870</v>
      </c>
      <c r="C1862" s="49" t="s">
        <v>7871</v>
      </c>
      <c r="D1862" s="49"/>
      <c r="E1862" s="49"/>
      <c r="F1862" s="49"/>
      <c r="G1862" s="4" t="s">
        <v>7872</v>
      </c>
      <c r="H1862" s="8"/>
      <c r="I1862" s="9" t="s">
        <v>7873</v>
      </c>
      <c r="J1862" s="10"/>
      <c r="K1862" s="11">
        <v>50</v>
      </c>
      <c r="L1862" s="10"/>
      <c r="M1862" s="10" t="s">
        <v>47</v>
      </c>
      <c r="N1862" s="10"/>
      <c r="O1862" s="2">
        <v>3</v>
      </c>
      <c r="P1862" s="17">
        <f>277*(1-S3/100)</f>
        <v>277</v>
      </c>
      <c r="Q1862" s="18"/>
      <c r="R1862" s="10">
        <f>P1862*Q1862</f>
        <v>0</v>
      </c>
      <c r="S1862" s="19">
        <f>0.108*Q1862</f>
        <v>0</v>
      </c>
      <c r="T1862" s="20">
        <f>0.00039*Q1862</f>
        <v>0</v>
      </c>
      <c r="U1862" s="21"/>
      <c r="V1862" s="22" t="s">
        <v>7874</v>
      </c>
      <c r="W1862" s="22" t="s">
        <v>49</v>
      </c>
      <c r="X1862" s="3"/>
      <c r="Y1862" s="3" t="s">
        <v>7875</v>
      </c>
      <c r="Z1862" s="3" t="s">
        <v>52</v>
      </c>
      <c r="AA1862" s="3"/>
      <c r="AB1862" s="3"/>
      <c r="AC1862" s="3" t="str">
        <f>HYPERLINK("https://knigipp.ru/api/getInfo/image/eb3a29c6-66cb-11ef-a265-00155d82e908")</f>
        <v>https://knigipp.ru/api/getInfo/image/eb3a29c6-66cb-11ef-a265-00155d82e908</v>
      </c>
      <c r="AD1862" s="32">
        <v>32</v>
      </c>
      <c r="AE1862" s="3"/>
      <c r="AF1862" s="3" t="s">
        <v>136</v>
      </c>
      <c r="AG1862" s="3"/>
      <c r="AH1862" s="3" t="s">
        <v>56</v>
      </c>
      <c r="AI1862" s="3"/>
      <c r="AJ1862" s="3"/>
      <c r="AK1862" s="3" t="str">
        <f>HYPERLINK("https://knigipp.ru/api/getInfo/item/eb3a29c6-66cb-11ef-a265-00155d82e908")</f>
        <v>https://knigipp.ru/api/getInfo/item/eb3a29c6-66cb-11ef-a265-00155d82e908</v>
      </c>
      <c r="AL1862" s="3" t="s">
        <v>7762</v>
      </c>
    </row>
    <row r="1863" spans="1:38" ht="21" customHeight="1" outlineLevel="4" x14ac:dyDescent="0.2">
      <c r="A1863" s="39">
        <v>1419</v>
      </c>
      <c r="B1863" s="3" t="s">
        <v>7876</v>
      </c>
      <c r="C1863" s="49" t="s">
        <v>7877</v>
      </c>
      <c r="D1863" s="49"/>
      <c r="E1863" s="49"/>
      <c r="F1863" s="49"/>
      <c r="G1863" s="4" t="s">
        <v>7878</v>
      </c>
      <c r="H1863" s="8"/>
      <c r="I1863" s="9" t="s">
        <v>7873</v>
      </c>
      <c r="J1863" s="10"/>
      <c r="K1863" s="11">
        <v>50</v>
      </c>
      <c r="L1863" s="10"/>
      <c r="M1863" s="10" t="s">
        <v>47</v>
      </c>
      <c r="N1863" s="10"/>
      <c r="O1863" s="2">
        <v>3</v>
      </c>
      <c r="P1863" s="17">
        <f>277*(1-S3/100)</f>
        <v>277</v>
      </c>
      <c r="Q1863" s="18"/>
      <c r="R1863" s="10">
        <f>P1863*Q1863</f>
        <v>0</v>
      </c>
      <c r="S1863" s="19">
        <f>0.108*Q1863</f>
        <v>0</v>
      </c>
      <c r="T1863" s="20">
        <f>0.00039*Q1863</f>
        <v>0</v>
      </c>
      <c r="U1863" s="21"/>
      <c r="V1863" s="22" t="s">
        <v>7879</v>
      </c>
      <c r="W1863" s="22" t="s">
        <v>49</v>
      </c>
      <c r="X1863" s="3"/>
      <c r="Y1863" s="3" t="s">
        <v>7875</v>
      </c>
      <c r="Z1863" s="3" t="s">
        <v>52</v>
      </c>
      <c r="AA1863" s="3"/>
      <c r="AB1863" s="3"/>
      <c r="AC1863" s="3" t="str">
        <f>HYPERLINK("https://knigipp.ru/api/getInfo/image/44c2b053-66cc-11ef-a265-00155d82e908")</f>
        <v>https://knigipp.ru/api/getInfo/image/44c2b053-66cc-11ef-a265-00155d82e908</v>
      </c>
      <c r="AD1863" s="32">
        <v>32</v>
      </c>
      <c r="AE1863" s="3"/>
      <c r="AF1863" s="3" t="s">
        <v>136</v>
      </c>
      <c r="AG1863" s="3"/>
      <c r="AH1863" s="3" t="s">
        <v>56</v>
      </c>
      <c r="AI1863" s="3"/>
      <c r="AJ1863" s="3"/>
      <c r="AK1863" s="3" t="str">
        <f>HYPERLINK("https://knigipp.ru/api/getInfo/item/44c2b053-66cc-11ef-a265-00155d82e908")</f>
        <v>https://knigipp.ru/api/getInfo/item/44c2b053-66cc-11ef-a265-00155d82e908</v>
      </c>
      <c r="AL1863" s="3" t="s">
        <v>7762</v>
      </c>
    </row>
    <row r="1864" spans="1:38" ht="23.1" customHeight="1" outlineLevel="3" x14ac:dyDescent="0.2">
      <c r="A1864" s="48" t="s">
        <v>7880</v>
      </c>
      <c r="B1864" s="48"/>
      <c r="C1864" s="48"/>
      <c r="D1864" s="48"/>
      <c r="E1864" s="48"/>
      <c r="F1864" s="48"/>
    </row>
    <row r="1865" spans="1:38" ht="21" customHeight="1" outlineLevel="4" x14ac:dyDescent="0.2">
      <c r="A1865" s="39">
        <v>1420</v>
      </c>
      <c r="B1865" s="3" t="s">
        <v>7881</v>
      </c>
      <c r="C1865" s="49" t="s">
        <v>7882</v>
      </c>
      <c r="D1865" s="49"/>
      <c r="E1865" s="49"/>
      <c r="F1865" s="49"/>
      <c r="G1865" s="4" t="s">
        <v>7883</v>
      </c>
      <c r="H1865" s="8"/>
      <c r="I1865" s="9" t="s">
        <v>7884</v>
      </c>
      <c r="J1865" s="10"/>
      <c r="K1865" s="11">
        <v>20</v>
      </c>
      <c r="L1865" s="10"/>
      <c r="M1865" s="10" t="s">
        <v>47</v>
      </c>
      <c r="N1865" s="10"/>
      <c r="O1865" s="2">
        <v>3</v>
      </c>
      <c r="P1865" s="17">
        <f>237*(1-S3/100)</f>
        <v>237</v>
      </c>
      <c r="Q1865" s="18"/>
      <c r="R1865" s="10">
        <f>P1865*Q1865</f>
        <v>0</v>
      </c>
      <c r="S1865" s="19">
        <f>0.318*Q1865</f>
        <v>0</v>
      </c>
      <c r="T1865" s="20">
        <f>0.00082*Q1865</f>
        <v>0</v>
      </c>
      <c r="U1865" s="21"/>
      <c r="V1865" s="22" t="s">
        <v>7885</v>
      </c>
      <c r="W1865" s="22" t="s">
        <v>49</v>
      </c>
      <c r="X1865" s="3"/>
      <c r="Y1865" s="3"/>
      <c r="Z1865" s="3" t="s">
        <v>52</v>
      </c>
      <c r="AA1865" s="3"/>
      <c r="AB1865" s="3"/>
      <c r="AC1865" s="3" t="str">
        <f>HYPERLINK("https://knigipp.ru/api/getInfo/image/8c91e5df-cb99-11ec-a212-ac1f6b442185")</f>
        <v>https://knigipp.ru/api/getInfo/image/8c91e5df-cb99-11ec-a212-ac1f6b442185</v>
      </c>
      <c r="AD1865" s="32">
        <v>80</v>
      </c>
      <c r="AE1865" s="3"/>
      <c r="AF1865" s="3" t="s">
        <v>55</v>
      </c>
      <c r="AG1865" s="3"/>
      <c r="AH1865" s="3" t="s">
        <v>56</v>
      </c>
      <c r="AI1865" s="3"/>
      <c r="AJ1865" s="3"/>
      <c r="AK1865" s="3" t="str">
        <f>HYPERLINK("https://knigipp.ru/api/getInfo/item/8c91e5df-cb99-11ec-a212-ac1f6b442185")</f>
        <v>https://knigipp.ru/api/getInfo/item/8c91e5df-cb99-11ec-a212-ac1f6b442185</v>
      </c>
      <c r="AL1865" s="3" t="s">
        <v>7886</v>
      </c>
    </row>
    <row r="1866" spans="1:38" ht="21" customHeight="1" outlineLevel="4" x14ac:dyDescent="0.2">
      <c r="A1866" s="39">
        <v>1421</v>
      </c>
      <c r="B1866" s="3" t="s">
        <v>7887</v>
      </c>
      <c r="C1866" s="49" t="s">
        <v>7888</v>
      </c>
      <c r="D1866" s="49"/>
      <c r="E1866" s="49"/>
      <c r="F1866" s="49"/>
      <c r="G1866" s="4" t="s">
        <v>7889</v>
      </c>
      <c r="H1866" s="8"/>
      <c r="I1866" s="9" t="s">
        <v>7884</v>
      </c>
      <c r="J1866" s="10"/>
      <c r="K1866" s="11">
        <v>20</v>
      </c>
      <c r="L1866" s="10"/>
      <c r="M1866" s="10" t="s">
        <v>47</v>
      </c>
      <c r="N1866" s="10"/>
      <c r="O1866" s="2">
        <v>3</v>
      </c>
      <c r="P1866" s="17">
        <f>237*(1-S3/100)</f>
        <v>237</v>
      </c>
      <c r="Q1866" s="18"/>
      <c r="R1866" s="10">
        <f>P1866*Q1866</f>
        <v>0</v>
      </c>
      <c r="S1866" s="10">
        <v>0</v>
      </c>
      <c r="T1866" s="10">
        <v>0</v>
      </c>
      <c r="U1866" s="21"/>
      <c r="V1866" s="22" t="s">
        <v>7890</v>
      </c>
      <c r="W1866" s="22" t="s">
        <v>49</v>
      </c>
      <c r="X1866" s="3"/>
      <c r="Y1866" s="3"/>
      <c r="Z1866" s="3" t="s">
        <v>52</v>
      </c>
      <c r="AA1866" s="3"/>
      <c r="AB1866" s="3"/>
      <c r="AC1866" s="3" t="str">
        <f>HYPERLINK("https://knigipp.ru/api/getInfo/image/f3ab1eb6-cb99-11ec-a212-ac1f6b442185")</f>
        <v>https://knigipp.ru/api/getInfo/image/f3ab1eb6-cb99-11ec-a212-ac1f6b442185</v>
      </c>
      <c r="AD1866" s="32">
        <v>80</v>
      </c>
      <c r="AE1866" s="3"/>
      <c r="AF1866" s="3" t="s">
        <v>55</v>
      </c>
      <c r="AG1866" s="3"/>
      <c r="AH1866" s="3" t="s">
        <v>56</v>
      </c>
      <c r="AI1866" s="3"/>
      <c r="AJ1866" s="3"/>
      <c r="AK1866" s="3" t="str">
        <f>HYPERLINK("https://knigipp.ru/api/getInfo/item/f3ab1eb6-cb99-11ec-a212-ac1f6b442185")</f>
        <v>https://knigipp.ru/api/getInfo/item/f3ab1eb6-cb99-11ec-a212-ac1f6b442185</v>
      </c>
      <c r="AL1866" s="3" t="s">
        <v>7886</v>
      </c>
    </row>
    <row r="1867" spans="1:38" ht="23.1" customHeight="1" outlineLevel="3" x14ac:dyDescent="0.2">
      <c r="A1867" s="48" t="s">
        <v>7891</v>
      </c>
      <c r="B1867" s="48"/>
      <c r="C1867" s="48"/>
      <c r="D1867" s="48"/>
      <c r="E1867" s="48"/>
      <c r="F1867" s="48"/>
    </row>
    <row r="1868" spans="1:38" ht="21" customHeight="1" outlineLevel="4" x14ac:dyDescent="0.2">
      <c r="A1868" s="39">
        <v>1422</v>
      </c>
      <c r="B1868" s="3" t="s">
        <v>7892</v>
      </c>
      <c r="C1868" s="49" t="s">
        <v>7893</v>
      </c>
      <c r="D1868" s="49"/>
      <c r="E1868" s="49"/>
      <c r="F1868" s="49"/>
      <c r="G1868" s="4" t="s">
        <v>7894</v>
      </c>
      <c r="H1868" s="8"/>
      <c r="I1868" s="9"/>
      <c r="J1868" s="10"/>
      <c r="K1868" s="11">
        <v>20</v>
      </c>
      <c r="L1868" s="10"/>
      <c r="M1868" s="10" t="s">
        <v>47</v>
      </c>
      <c r="N1868" s="10"/>
      <c r="O1868" s="2">
        <v>4</v>
      </c>
      <c r="P1868" s="17">
        <f>167*(1-S3/100)</f>
        <v>167</v>
      </c>
      <c r="Q1868" s="18"/>
      <c r="R1868" s="10">
        <f>P1868*Q1868</f>
        <v>0</v>
      </c>
      <c r="S1868" s="19">
        <f>0.093*Q1868</f>
        <v>0</v>
      </c>
      <c r="T1868" s="20">
        <f>0.00024*Q1868</f>
        <v>0</v>
      </c>
      <c r="U1868" s="21"/>
      <c r="V1868" s="22" t="s">
        <v>7895</v>
      </c>
      <c r="W1868" s="22" t="s">
        <v>49</v>
      </c>
      <c r="X1868" s="3"/>
      <c r="Y1868" s="3" t="s">
        <v>7896</v>
      </c>
      <c r="Z1868" s="3" t="s">
        <v>52</v>
      </c>
      <c r="AA1868" s="3"/>
      <c r="AB1868" s="3"/>
      <c r="AC1868" s="3" t="str">
        <f>HYPERLINK("https://knigipp.ru/api/getInfo/image/d75f230c-25c3-11f0-a279-00155d82e908")</f>
        <v>https://knigipp.ru/api/getInfo/image/d75f230c-25c3-11f0-a279-00155d82e908</v>
      </c>
      <c r="AD1868" s="32">
        <v>48</v>
      </c>
      <c r="AE1868" s="3" t="s">
        <v>54</v>
      </c>
      <c r="AF1868" s="3" t="s">
        <v>741</v>
      </c>
      <c r="AG1868" s="3"/>
      <c r="AH1868" s="3" t="s">
        <v>56</v>
      </c>
      <c r="AI1868" s="3"/>
      <c r="AJ1868" s="3"/>
      <c r="AK1868" s="3" t="str">
        <f>HYPERLINK("https://knigipp.ru/api/getInfo/item/d75f230c-25c3-11f0-a279-00155d82e908")</f>
        <v>https://knigipp.ru/api/getInfo/item/d75f230c-25c3-11f0-a279-00155d82e908</v>
      </c>
      <c r="AL1868" s="3" t="s">
        <v>749</v>
      </c>
    </row>
    <row r="1869" spans="1:38" ht="21" customHeight="1" outlineLevel="4" x14ac:dyDescent="0.2">
      <c r="A1869" s="39">
        <v>1423</v>
      </c>
      <c r="B1869" s="3" t="s">
        <v>7897</v>
      </c>
      <c r="C1869" s="49" t="s">
        <v>7898</v>
      </c>
      <c r="D1869" s="49"/>
      <c r="E1869" s="49"/>
      <c r="F1869" s="49"/>
      <c r="G1869" s="4" t="s">
        <v>7899</v>
      </c>
      <c r="H1869" s="8"/>
      <c r="I1869" s="9"/>
      <c r="J1869" s="10"/>
      <c r="K1869" s="11">
        <v>20</v>
      </c>
      <c r="L1869" s="10"/>
      <c r="M1869" s="10" t="s">
        <v>47</v>
      </c>
      <c r="N1869" s="10"/>
      <c r="O1869" s="2">
        <v>4</v>
      </c>
      <c r="P1869" s="17">
        <f>167*(1-S3/100)</f>
        <v>167</v>
      </c>
      <c r="Q1869" s="18"/>
      <c r="R1869" s="10">
        <f>P1869*Q1869</f>
        <v>0</v>
      </c>
      <c r="S1869" s="28">
        <f>0.09*Q1869</f>
        <v>0</v>
      </c>
      <c r="T1869" s="20">
        <f>0.00006*Q1869</f>
        <v>0</v>
      </c>
      <c r="U1869" s="21"/>
      <c r="V1869" s="22" t="s">
        <v>7900</v>
      </c>
      <c r="W1869" s="22" t="s">
        <v>49</v>
      </c>
      <c r="X1869" s="3"/>
      <c r="Y1869" s="3" t="s">
        <v>7901</v>
      </c>
      <c r="Z1869" s="3" t="s">
        <v>52</v>
      </c>
      <c r="AA1869" s="3"/>
      <c r="AB1869" s="3"/>
      <c r="AC1869" s="3" t="str">
        <f>HYPERLINK("https://knigipp.ru/api/getInfo/image/0512734e-25c4-11f0-a279-00155d82e908")</f>
        <v>https://knigipp.ru/api/getInfo/image/0512734e-25c4-11f0-a279-00155d82e908</v>
      </c>
      <c r="AD1869" s="32">
        <v>48</v>
      </c>
      <c r="AE1869" s="3" t="s">
        <v>54</v>
      </c>
      <c r="AF1869" s="3" t="s">
        <v>741</v>
      </c>
      <c r="AG1869" s="3"/>
      <c r="AH1869" s="3" t="s">
        <v>56</v>
      </c>
      <c r="AI1869" s="3"/>
      <c r="AJ1869" s="3"/>
      <c r="AK1869" s="3" t="str">
        <f>HYPERLINK("https://knigipp.ru/api/getInfo/item/0512734e-25c4-11f0-a279-00155d82e908")</f>
        <v>https://knigipp.ru/api/getInfo/item/0512734e-25c4-11f0-a279-00155d82e908</v>
      </c>
      <c r="AL1869" s="3" t="s">
        <v>749</v>
      </c>
    </row>
    <row r="1870" spans="1:38" ht="23.1" customHeight="1" outlineLevel="3" x14ac:dyDescent="0.2">
      <c r="A1870" s="48" t="s">
        <v>7902</v>
      </c>
      <c r="B1870" s="48"/>
      <c r="C1870" s="48"/>
      <c r="D1870" s="48"/>
      <c r="E1870" s="48"/>
      <c r="F1870" s="48"/>
    </row>
    <row r="1871" spans="1:38" ht="21" customHeight="1" outlineLevel="4" x14ac:dyDescent="0.2">
      <c r="A1871" s="40">
        <v>1424</v>
      </c>
      <c r="B1871" s="6" t="s">
        <v>7903</v>
      </c>
      <c r="C1871" s="54" t="s">
        <v>7904</v>
      </c>
      <c r="D1871" s="54"/>
      <c r="E1871" s="54"/>
      <c r="F1871" s="54"/>
      <c r="G1871" s="7" t="s">
        <v>7905</v>
      </c>
      <c r="H1871" s="12"/>
      <c r="I1871" s="13" t="s">
        <v>7906</v>
      </c>
      <c r="J1871" s="14"/>
      <c r="K1871" s="15">
        <v>20</v>
      </c>
      <c r="L1871" s="14"/>
      <c r="M1871" s="14" t="s">
        <v>47</v>
      </c>
      <c r="N1871" s="14"/>
      <c r="O1871" s="5">
        <v>3</v>
      </c>
      <c r="P1871" s="23">
        <f>249*(1-S3/100)</f>
        <v>249</v>
      </c>
      <c r="Q1871" s="18"/>
      <c r="R1871" s="14">
        <f>P1871*Q1871</f>
        <v>0</v>
      </c>
      <c r="S1871" s="36">
        <f>0.09*Q1871</f>
        <v>0</v>
      </c>
      <c r="T1871" s="25">
        <f>0.00009*Q1871</f>
        <v>0</v>
      </c>
      <c r="U1871" s="26" t="s">
        <v>62</v>
      </c>
      <c r="V1871" s="27" t="s">
        <v>7907</v>
      </c>
      <c r="W1871" s="27" t="s">
        <v>49</v>
      </c>
      <c r="X1871" s="6"/>
      <c r="Y1871" s="6" t="s">
        <v>7908</v>
      </c>
      <c r="Z1871" s="6" t="s">
        <v>384</v>
      </c>
      <c r="AA1871" s="6"/>
      <c r="AB1871" s="6"/>
      <c r="AC1871" s="6" t="str">
        <f>HYPERLINK("https://knigipp.ru/api/getInfo/image/de87153e-13d2-11f1-a28f-00155d82e908")</f>
        <v>https://knigipp.ru/api/getInfo/image/de87153e-13d2-11f1-a28f-00155d82e908</v>
      </c>
      <c r="AD1871" s="33">
        <v>48</v>
      </c>
      <c r="AE1871" s="6" t="s">
        <v>740</v>
      </c>
      <c r="AF1871" s="6" t="s">
        <v>741</v>
      </c>
      <c r="AG1871" s="6"/>
      <c r="AH1871" s="6" t="s">
        <v>56</v>
      </c>
      <c r="AI1871" s="6"/>
      <c r="AJ1871" s="6"/>
      <c r="AK1871" s="6" t="str">
        <f>HYPERLINK("https://knigipp.ru/api/getInfo/item/de87153e-13d2-11f1-a28f-00155d82e908")</f>
        <v>https://knigipp.ru/api/getInfo/item/de87153e-13d2-11f1-a28f-00155d82e908</v>
      </c>
      <c r="AL1871" s="6" t="s">
        <v>401</v>
      </c>
    </row>
    <row r="1872" spans="1:38" ht="21" customHeight="1" outlineLevel="4" x14ac:dyDescent="0.2">
      <c r="A1872" s="40">
        <v>1425</v>
      </c>
      <c r="B1872" s="6" t="s">
        <v>7909</v>
      </c>
      <c r="C1872" s="54" t="s">
        <v>7910</v>
      </c>
      <c r="D1872" s="54"/>
      <c r="E1872" s="54"/>
      <c r="F1872" s="54"/>
      <c r="G1872" s="7" t="s">
        <v>7911</v>
      </c>
      <c r="H1872" s="12"/>
      <c r="I1872" s="13" t="s">
        <v>7912</v>
      </c>
      <c r="J1872" s="14"/>
      <c r="K1872" s="15">
        <v>20</v>
      </c>
      <c r="L1872" s="14"/>
      <c r="M1872" s="14" t="s">
        <v>78</v>
      </c>
      <c r="N1872" s="14"/>
      <c r="O1872" s="5">
        <v>3</v>
      </c>
      <c r="P1872" s="23">
        <f>249*(1-S3/100)</f>
        <v>249</v>
      </c>
      <c r="Q1872" s="18"/>
      <c r="R1872" s="14">
        <f>P1872*Q1872</f>
        <v>0</v>
      </c>
      <c r="S1872" s="24">
        <f>0.089*Q1872</f>
        <v>0</v>
      </c>
      <c r="T1872" s="25">
        <f>0.00025*Q1872</f>
        <v>0</v>
      </c>
      <c r="U1872" s="26" t="s">
        <v>62</v>
      </c>
      <c r="V1872" s="27" t="s">
        <v>7913</v>
      </c>
      <c r="W1872" s="27" t="s">
        <v>49</v>
      </c>
      <c r="X1872" s="6"/>
      <c r="Y1872" s="6" t="s">
        <v>7914</v>
      </c>
      <c r="Z1872" s="6" t="s">
        <v>384</v>
      </c>
      <c r="AA1872" s="6"/>
      <c r="AB1872" s="6"/>
      <c r="AC1872" s="6" t="str">
        <f>HYPERLINK("https://knigipp.ru/api/getInfo/image/23aedb7e-13d3-11f1-a28f-00155d82e908")</f>
        <v>https://knigipp.ru/api/getInfo/image/23aedb7e-13d3-11f1-a28f-00155d82e908</v>
      </c>
      <c r="AD1872" s="33">
        <v>48</v>
      </c>
      <c r="AE1872" s="6" t="s">
        <v>740</v>
      </c>
      <c r="AF1872" s="6" t="s">
        <v>741</v>
      </c>
      <c r="AG1872" s="6"/>
      <c r="AH1872" s="6" t="s">
        <v>56</v>
      </c>
      <c r="AI1872" s="6"/>
      <c r="AJ1872" s="6"/>
      <c r="AK1872" s="6" t="str">
        <f>HYPERLINK("https://knigipp.ru/api/getInfo/item/23aedb7e-13d3-11f1-a28f-00155d82e908")</f>
        <v>https://knigipp.ru/api/getInfo/item/23aedb7e-13d3-11f1-a28f-00155d82e908</v>
      </c>
      <c r="AL1872" s="6" t="s">
        <v>401</v>
      </c>
    </row>
    <row r="1873" spans="1:38" ht="21" customHeight="1" outlineLevel="4" x14ac:dyDescent="0.2">
      <c r="A1873" s="39">
        <v>1426</v>
      </c>
      <c r="B1873" s="3" t="s">
        <v>7915</v>
      </c>
      <c r="C1873" s="49" t="s">
        <v>7916</v>
      </c>
      <c r="D1873" s="49"/>
      <c r="E1873" s="49"/>
      <c r="F1873" s="49"/>
      <c r="G1873" s="4" t="s">
        <v>7917</v>
      </c>
      <c r="H1873" s="8"/>
      <c r="I1873" s="9" t="s">
        <v>7912</v>
      </c>
      <c r="J1873" s="10"/>
      <c r="K1873" s="11">
        <v>32</v>
      </c>
      <c r="L1873" s="10"/>
      <c r="M1873" s="10" t="s">
        <v>47</v>
      </c>
      <c r="N1873" s="10"/>
      <c r="O1873" s="2">
        <v>3</v>
      </c>
      <c r="P1873" s="17">
        <f>249*(1-S3/100)</f>
        <v>249</v>
      </c>
      <c r="Q1873" s="18"/>
      <c r="R1873" s="10">
        <f>P1873*Q1873</f>
        <v>0</v>
      </c>
      <c r="S1873" s="19">
        <f>0.089*Q1873</f>
        <v>0</v>
      </c>
      <c r="T1873" s="20">
        <f>0.00019*Q1873</f>
        <v>0</v>
      </c>
      <c r="U1873" s="21"/>
      <c r="V1873" s="22" t="s">
        <v>7918</v>
      </c>
      <c r="W1873" s="22" t="s">
        <v>49</v>
      </c>
      <c r="X1873" s="3"/>
      <c r="Y1873" s="3" t="s">
        <v>7919</v>
      </c>
      <c r="Z1873" s="3" t="s">
        <v>384</v>
      </c>
      <c r="AA1873" s="3"/>
      <c r="AB1873" s="3"/>
      <c r="AC1873" s="3" t="str">
        <f>HYPERLINK("https://knigipp.ru/api/getInfo/image/7d9e211c-84c9-11f0-a284-00155d82e908")</f>
        <v>https://knigipp.ru/api/getInfo/image/7d9e211c-84c9-11f0-a284-00155d82e908</v>
      </c>
      <c r="AD1873" s="32">
        <v>48</v>
      </c>
      <c r="AE1873" s="3" t="s">
        <v>740</v>
      </c>
      <c r="AF1873" s="3" t="s">
        <v>741</v>
      </c>
      <c r="AG1873" s="3"/>
      <c r="AH1873" s="3" t="s">
        <v>56</v>
      </c>
      <c r="AI1873" s="3"/>
      <c r="AJ1873" s="3"/>
      <c r="AK1873" s="3" t="str">
        <f>HYPERLINK("https://knigipp.ru/api/getInfo/item/7d9e211c-84c9-11f0-a284-00155d82e908")</f>
        <v>https://knigipp.ru/api/getInfo/item/7d9e211c-84c9-11f0-a284-00155d82e908</v>
      </c>
      <c r="AL1873" s="3" t="s">
        <v>401</v>
      </c>
    </row>
    <row r="1874" spans="1:38" ht="21" customHeight="1" outlineLevel="4" x14ac:dyDescent="0.2">
      <c r="A1874" s="39">
        <v>1427</v>
      </c>
      <c r="B1874" s="3" t="s">
        <v>7920</v>
      </c>
      <c r="C1874" s="49" t="s">
        <v>7921</v>
      </c>
      <c r="D1874" s="49"/>
      <c r="E1874" s="49"/>
      <c r="F1874" s="49"/>
      <c r="G1874" s="4" t="s">
        <v>7922</v>
      </c>
      <c r="H1874" s="8"/>
      <c r="I1874" s="9" t="s">
        <v>7923</v>
      </c>
      <c r="J1874" s="10"/>
      <c r="K1874" s="11">
        <v>32</v>
      </c>
      <c r="L1874" s="10"/>
      <c r="M1874" s="10" t="s">
        <v>47</v>
      </c>
      <c r="N1874" s="10"/>
      <c r="O1874" s="2">
        <v>3</v>
      </c>
      <c r="P1874" s="17">
        <f>249*(1-S3/100)</f>
        <v>249</v>
      </c>
      <c r="Q1874" s="18"/>
      <c r="R1874" s="10">
        <f>P1874*Q1874</f>
        <v>0</v>
      </c>
      <c r="S1874" s="28">
        <f>0.09*Q1874</f>
        <v>0</v>
      </c>
      <c r="T1874" s="20">
        <f>0.00019*Q1874</f>
        <v>0</v>
      </c>
      <c r="U1874" s="21"/>
      <c r="V1874" s="22" t="s">
        <v>7924</v>
      </c>
      <c r="W1874" s="22" t="s">
        <v>49</v>
      </c>
      <c r="X1874" s="3"/>
      <c r="Y1874" s="3" t="s">
        <v>7925</v>
      </c>
      <c r="Z1874" s="3" t="s">
        <v>384</v>
      </c>
      <c r="AA1874" s="3"/>
      <c r="AB1874" s="3"/>
      <c r="AC1874" s="3" t="str">
        <f>HYPERLINK("https://knigipp.ru/api/getInfo/image/551579de-84c9-11f0-a284-00155d82e908")</f>
        <v>https://knigipp.ru/api/getInfo/image/551579de-84c9-11f0-a284-00155d82e908</v>
      </c>
      <c r="AD1874" s="32">
        <v>48</v>
      </c>
      <c r="AE1874" s="3" t="s">
        <v>740</v>
      </c>
      <c r="AF1874" s="3" t="s">
        <v>741</v>
      </c>
      <c r="AG1874" s="3"/>
      <c r="AH1874" s="3" t="s">
        <v>56</v>
      </c>
      <c r="AI1874" s="3"/>
      <c r="AJ1874" s="3"/>
      <c r="AK1874" s="3" t="str">
        <f>HYPERLINK("https://knigipp.ru/api/getInfo/item/551579de-84c9-11f0-a284-00155d82e908")</f>
        <v>https://knigipp.ru/api/getInfo/item/551579de-84c9-11f0-a284-00155d82e908</v>
      </c>
      <c r="AL1874" s="3" t="s">
        <v>401</v>
      </c>
    </row>
    <row r="1875" spans="1:38" ht="23.1" customHeight="1" outlineLevel="3" x14ac:dyDescent="0.2">
      <c r="A1875" s="48" t="s">
        <v>7926</v>
      </c>
      <c r="B1875" s="48"/>
      <c r="C1875" s="48"/>
      <c r="D1875" s="48"/>
      <c r="E1875" s="48"/>
      <c r="F1875" s="48"/>
    </row>
    <row r="1876" spans="1:38" ht="21" customHeight="1" outlineLevel="4" x14ac:dyDescent="0.2">
      <c r="A1876" s="39">
        <v>1428</v>
      </c>
      <c r="B1876" s="3" t="s">
        <v>7927</v>
      </c>
      <c r="C1876" s="49" t="s">
        <v>7928</v>
      </c>
      <c r="D1876" s="49"/>
      <c r="E1876" s="49"/>
      <c r="F1876" s="49"/>
      <c r="G1876" s="4" t="s">
        <v>7929</v>
      </c>
      <c r="H1876" s="8"/>
      <c r="I1876" s="9" t="s">
        <v>7930</v>
      </c>
      <c r="J1876" s="10"/>
      <c r="K1876" s="11">
        <v>50</v>
      </c>
      <c r="L1876" s="10"/>
      <c r="M1876" s="10" t="s">
        <v>47</v>
      </c>
      <c r="N1876" s="10"/>
      <c r="O1876" s="2">
        <v>8</v>
      </c>
      <c r="P1876" s="17">
        <f>73*(1-S3/100)</f>
        <v>73</v>
      </c>
      <c r="Q1876" s="18"/>
      <c r="R1876" s="10">
        <f t="shared" ref="R1876:R1887" si="79">P1876*Q1876</f>
        <v>0</v>
      </c>
      <c r="S1876" s="19">
        <f>0.063*Q1876</f>
        <v>0</v>
      </c>
      <c r="T1876" s="20">
        <f>0.00022*Q1876</f>
        <v>0</v>
      </c>
      <c r="U1876" s="21"/>
      <c r="V1876" s="22" t="s">
        <v>7931</v>
      </c>
      <c r="W1876" s="22" t="s">
        <v>49</v>
      </c>
      <c r="X1876" s="3"/>
      <c r="Y1876" s="3" t="s">
        <v>7932</v>
      </c>
      <c r="Z1876" s="3" t="s">
        <v>52</v>
      </c>
      <c r="AA1876" s="3" t="s">
        <v>3262</v>
      </c>
      <c r="AB1876" s="3"/>
      <c r="AC1876" s="3" t="str">
        <f>HYPERLINK("https://knigipp.ru/api/getInfo/image/4ed6cffe-1f7f-11e7-b743-5cf3fc4a2490")</f>
        <v>https://knigipp.ru/api/getInfo/image/4ed6cffe-1f7f-11e7-b743-5cf3fc4a2490</v>
      </c>
      <c r="AD1876" s="32">
        <v>16</v>
      </c>
      <c r="AE1876" s="3"/>
      <c r="AF1876" s="3" t="s">
        <v>136</v>
      </c>
      <c r="AG1876" s="3"/>
      <c r="AH1876" s="3" t="s">
        <v>56</v>
      </c>
      <c r="AI1876" s="3"/>
      <c r="AJ1876" s="3" t="s">
        <v>7933</v>
      </c>
      <c r="AK1876" s="3" t="str">
        <f>HYPERLINK("https://knigipp.ru/api/getInfo/item/4ed6cffe-1f7f-11e7-b743-5cf3fc4a2490")</f>
        <v>https://knigipp.ru/api/getInfo/item/4ed6cffe-1f7f-11e7-b743-5cf3fc4a2490</v>
      </c>
      <c r="AL1876" s="3" t="s">
        <v>1155</v>
      </c>
    </row>
    <row r="1877" spans="1:38" ht="21" customHeight="1" outlineLevel="4" x14ac:dyDescent="0.2">
      <c r="A1877" s="39">
        <v>1429</v>
      </c>
      <c r="B1877" s="3" t="s">
        <v>7934</v>
      </c>
      <c r="C1877" s="49" t="s">
        <v>7935</v>
      </c>
      <c r="D1877" s="49"/>
      <c r="E1877" s="49"/>
      <c r="F1877" s="49"/>
      <c r="G1877" s="4" t="s">
        <v>7936</v>
      </c>
      <c r="H1877" s="8"/>
      <c r="I1877" s="9" t="s">
        <v>7937</v>
      </c>
      <c r="J1877" s="10"/>
      <c r="K1877" s="11">
        <v>50</v>
      </c>
      <c r="L1877" s="10"/>
      <c r="M1877" s="10" t="s">
        <v>47</v>
      </c>
      <c r="N1877" s="10"/>
      <c r="O1877" s="2">
        <v>8</v>
      </c>
      <c r="P1877" s="17">
        <f>73*(1-S3/100)</f>
        <v>73</v>
      </c>
      <c r="Q1877" s="18"/>
      <c r="R1877" s="10">
        <f t="shared" si="79"/>
        <v>0</v>
      </c>
      <c r="S1877" s="19">
        <f>0.066*Q1877</f>
        <v>0</v>
      </c>
      <c r="T1877" s="20">
        <f>0.00011*Q1877</f>
        <v>0</v>
      </c>
      <c r="U1877" s="21"/>
      <c r="V1877" s="22" t="s">
        <v>7938</v>
      </c>
      <c r="W1877" s="22" t="s">
        <v>49</v>
      </c>
      <c r="X1877" s="3"/>
      <c r="Y1877" s="3" t="s">
        <v>7939</v>
      </c>
      <c r="Z1877" s="3" t="s">
        <v>52</v>
      </c>
      <c r="AA1877" s="3"/>
      <c r="AB1877" s="3"/>
      <c r="AC1877" s="3" t="str">
        <f>HYPERLINK("https://knigipp.ru/api/getInfo/image/818a8843-0659-11f0-a277-00155d82e908")</f>
        <v>https://knigipp.ru/api/getInfo/image/818a8843-0659-11f0-a277-00155d82e908</v>
      </c>
      <c r="AD1877" s="32">
        <v>16</v>
      </c>
      <c r="AE1877" s="3"/>
      <c r="AF1877" s="3" t="s">
        <v>136</v>
      </c>
      <c r="AG1877" s="3"/>
      <c r="AH1877" s="3" t="s">
        <v>56</v>
      </c>
      <c r="AI1877" s="3"/>
      <c r="AJ1877" s="3" t="s">
        <v>7933</v>
      </c>
      <c r="AK1877" s="3" t="str">
        <f>HYPERLINK("https://knigipp.ru/api/getInfo/item/818a8843-0659-11f0-a277-00155d82e908")</f>
        <v>https://knigipp.ru/api/getInfo/item/818a8843-0659-11f0-a277-00155d82e908</v>
      </c>
      <c r="AL1877" s="3" t="s">
        <v>1155</v>
      </c>
    </row>
    <row r="1878" spans="1:38" ht="21" customHeight="1" outlineLevel="4" x14ac:dyDescent="0.2">
      <c r="A1878" s="39">
        <v>1430</v>
      </c>
      <c r="B1878" s="3" t="s">
        <v>7940</v>
      </c>
      <c r="C1878" s="49" t="s">
        <v>7941</v>
      </c>
      <c r="D1878" s="49"/>
      <c r="E1878" s="49"/>
      <c r="F1878" s="49"/>
      <c r="G1878" s="4" t="s">
        <v>7942</v>
      </c>
      <c r="H1878" s="8"/>
      <c r="I1878" s="9" t="s">
        <v>7930</v>
      </c>
      <c r="J1878" s="10"/>
      <c r="K1878" s="11">
        <v>50</v>
      </c>
      <c r="L1878" s="10"/>
      <c r="M1878" s="10" t="s">
        <v>47</v>
      </c>
      <c r="N1878" s="10"/>
      <c r="O1878" s="2">
        <v>8</v>
      </c>
      <c r="P1878" s="17">
        <f>73*(1-S3/100)</f>
        <v>73</v>
      </c>
      <c r="Q1878" s="18"/>
      <c r="R1878" s="10">
        <f t="shared" si="79"/>
        <v>0</v>
      </c>
      <c r="S1878" s="19">
        <f>0.047*Q1878</f>
        <v>0</v>
      </c>
      <c r="T1878" s="20">
        <f>0.00022*Q1878</f>
        <v>0</v>
      </c>
      <c r="U1878" s="21"/>
      <c r="V1878" s="22" t="s">
        <v>7943</v>
      </c>
      <c r="W1878" s="22" t="s">
        <v>49</v>
      </c>
      <c r="X1878" s="3"/>
      <c r="Y1878" s="3" t="s">
        <v>7944</v>
      </c>
      <c r="Z1878" s="3" t="s">
        <v>52</v>
      </c>
      <c r="AA1878" s="3" t="s">
        <v>3262</v>
      </c>
      <c r="AB1878" s="3"/>
      <c r="AC1878" s="3" t="str">
        <f>HYPERLINK("https://knigipp.ru/api/getInfo/image/423d6393-1f7f-11e7-b743-5cf3fc4a2490")</f>
        <v>https://knigipp.ru/api/getInfo/image/423d6393-1f7f-11e7-b743-5cf3fc4a2490</v>
      </c>
      <c r="AD1878" s="32">
        <v>16</v>
      </c>
      <c r="AE1878" s="3"/>
      <c r="AF1878" s="3" t="s">
        <v>136</v>
      </c>
      <c r="AG1878" s="3"/>
      <c r="AH1878" s="3" t="s">
        <v>56</v>
      </c>
      <c r="AI1878" s="3"/>
      <c r="AJ1878" s="3" t="s">
        <v>7933</v>
      </c>
      <c r="AK1878" s="3" t="str">
        <f>HYPERLINK("https://knigipp.ru/api/getInfo/item/423d6393-1f7f-11e7-b743-5cf3fc4a2490")</f>
        <v>https://knigipp.ru/api/getInfo/item/423d6393-1f7f-11e7-b743-5cf3fc4a2490</v>
      </c>
      <c r="AL1878" s="3" t="s">
        <v>1155</v>
      </c>
    </row>
    <row r="1879" spans="1:38" ht="21" customHeight="1" outlineLevel="4" x14ac:dyDescent="0.2">
      <c r="A1879" s="39">
        <v>1431</v>
      </c>
      <c r="B1879" s="3" t="s">
        <v>7945</v>
      </c>
      <c r="C1879" s="49" t="s">
        <v>7946</v>
      </c>
      <c r="D1879" s="49"/>
      <c r="E1879" s="49"/>
      <c r="F1879" s="49"/>
      <c r="G1879" s="4" t="s">
        <v>7947</v>
      </c>
      <c r="H1879" s="8"/>
      <c r="I1879" s="9" t="s">
        <v>7930</v>
      </c>
      <c r="J1879" s="10"/>
      <c r="K1879" s="11">
        <v>50</v>
      </c>
      <c r="L1879" s="10"/>
      <c r="M1879" s="10" t="s">
        <v>47</v>
      </c>
      <c r="N1879" s="10"/>
      <c r="O1879" s="2">
        <v>8</v>
      </c>
      <c r="P1879" s="17">
        <f>73*(1-S3/100)</f>
        <v>73</v>
      </c>
      <c r="Q1879" s="18"/>
      <c r="R1879" s="10">
        <f t="shared" si="79"/>
        <v>0</v>
      </c>
      <c r="S1879" s="19">
        <f>0.198*Q1879</f>
        <v>0</v>
      </c>
      <c r="T1879" s="30">
        <f>0.0005*Q1879</f>
        <v>0</v>
      </c>
      <c r="U1879" s="21"/>
      <c r="V1879" s="22" t="s">
        <v>7948</v>
      </c>
      <c r="W1879" s="22" t="s">
        <v>49</v>
      </c>
      <c r="X1879" s="3"/>
      <c r="Y1879" s="3" t="s">
        <v>7949</v>
      </c>
      <c r="Z1879" s="3" t="s">
        <v>52</v>
      </c>
      <c r="AA1879" s="3"/>
      <c r="AB1879" s="3"/>
      <c r="AC1879" s="3" t="str">
        <f>HYPERLINK("https://knigipp.ru/api/getInfo/image/df752305-a17f-11ea-a248-ac1f6b442184")</f>
        <v>https://knigipp.ru/api/getInfo/image/df752305-a17f-11ea-a248-ac1f6b442184</v>
      </c>
      <c r="AD1879" s="32">
        <v>16</v>
      </c>
      <c r="AE1879" s="3"/>
      <c r="AF1879" s="3" t="s">
        <v>136</v>
      </c>
      <c r="AG1879" s="3"/>
      <c r="AH1879" s="3" t="s">
        <v>56</v>
      </c>
      <c r="AI1879" s="3"/>
      <c r="AJ1879" s="3" t="s">
        <v>7933</v>
      </c>
      <c r="AK1879" s="3" t="str">
        <f>HYPERLINK("https://knigipp.ru/api/getInfo/item/df752305-a17f-11ea-a248-ac1f6b442184")</f>
        <v>https://knigipp.ru/api/getInfo/item/df752305-a17f-11ea-a248-ac1f6b442184</v>
      </c>
      <c r="AL1879" s="3" t="s">
        <v>1155</v>
      </c>
    </row>
    <row r="1880" spans="1:38" ht="21" customHeight="1" outlineLevel="4" x14ac:dyDescent="0.2">
      <c r="A1880" s="39">
        <v>1432</v>
      </c>
      <c r="B1880" s="3" t="s">
        <v>7950</v>
      </c>
      <c r="C1880" s="49" t="s">
        <v>7951</v>
      </c>
      <c r="D1880" s="49"/>
      <c r="E1880" s="49"/>
      <c r="F1880" s="49"/>
      <c r="G1880" s="4" t="s">
        <v>7952</v>
      </c>
      <c r="H1880" s="8"/>
      <c r="I1880" s="9" t="s">
        <v>7930</v>
      </c>
      <c r="J1880" s="10"/>
      <c r="K1880" s="11">
        <v>50</v>
      </c>
      <c r="L1880" s="10"/>
      <c r="M1880" s="10" t="s">
        <v>47</v>
      </c>
      <c r="N1880" s="10"/>
      <c r="O1880" s="2">
        <v>8</v>
      </c>
      <c r="P1880" s="17">
        <f>73*(1-S3/100)</f>
        <v>73</v>
      </c>
      <c r="Q1880" s="18"/>
      <c r="R1880" s="10">
        <f t="shared" si="79"/>
        <v>0</v>
      </c>
      <c r="S1880" s="19">
        <f>0.133*Q1880</f>
        <v>0</v>
      </c>
      <c r="T1880" s="20">
        <f>0.00033*Q1880</f>
        <v>0</v>
      </c>
      <c r="U1880" s="21"/>
      <c r="V1880" s="22" t="s">
        <v>7953</v>
      </c>
      <c r="W1880" s="22" t="s">
        <v>49</v>
      </c>
      <c r="X1880" s="3"/>
      <c r="Y1880" s="3" t="s">
        <v>7954</v>
      </c>
      <c r="Z1880" s="3" t="s">
        <v>52</v>
      </c>
      <c r="AA1880" s="3" t="s">
        <v>3262</v>
      </c>
      <c r="AB1880" s="3"/>
      <c r="AC1880" s="3" t="str">
        <f>HYPERLINK("https://knigipp.ru/api/getInfo/image/2b032f12-1f7f-11e7-b743-5cf3fc4a2490")</f>
        <v>https://knigipp.ru/api/getInfo/image/2b032f12-1f7f-11e7-b743-5cf3fc4a2490</v>
      </c>
      <c r="AD1880" s="32">
        <v>16</v>
      </c>
      <c r="AE1880" s="3"/>
      <c r="AF1880" s="3" t="s">
        <v>136</v>
      </c>
      <c r="AG1880" s="3"/>
      <c r="AH1880" s="3" t="s">
        <v>56</v>
      </c>
      <c r="AI1880" s="3"/>
      <c r="AJ1880" s="3" t="s">
        <v>7933</v>
      </c>
      <c r="AK1880" s="3" t="str">
        <f>HYPERLINK("https://knigipp.ru/api/getInfo/item/2b032f12-1f7f-11e7-b743-5cf3fc4a2490")</f>
        <v>https://knigipp.ru/api/getInfo/item/2b032f12-1f7f-11e7-b743-5cf3fc4a2490</v>
      </c>
      <c r="AL1880" s="3" t="s">
        <v>1155</v>
      </c>
    </row>
    <row r="1881" spans="1:38" ht="21" customHeight="1" outlineLevel="4" x14ac:dyDescent="0.2">
      <c r="A1881" s="39">
        <v>1433</v>
      </c>
      <c r="B1881" s="3" t="s">
        <v>7955</v>
      </c>
      <c r="C1881" s="49" t="s">
        <v>7956</v>
      </c>
      <c r="D1881" s="49"/>
      <c r="E1881" s="49"/>
      <c r="F1881" s="49"/>
      <c r="G1881" s="4" t="s">
        <v>7957</v>
      </c>
      <c r="H1881" s="8"/>
      <c r="I1881" s="9" t="s">
        <v>7930</v>
      </c>
      <c r="J1881" s="10"/>
      <c r="K1881" s="11">
        <v>50</v>
      </c>
      <c r="L1881" s="10"/>
      <c r="M1881" s="10" t="s">
        <v>47</v>
      </c>
      <c r="N1881" s="10"/>
      <c r="O1881" s="2">
        <v>8</v>
      </c>
      <c r="P1881" s="17">
        <f>73*(1-S3/100)</f>
        <v>73</v>
      </c>
      <c r="Q1881" s="18"/>
      <c r="R1881" s="10">
        <f t="shared" si="79"/>
        <v>0</v>
      </c>
      <c r="S1881" s="19">
        <f>0.081*Q1881</f>
        <v>0</v>
      </c>
      <c r="T1881" s="20">
        <f>0.00022*Q1881</f>
        <v>0</v>
      </c>
      <c r="U1881" s="21"/>
      <c r="V1881" s="22" t="s">
        <v>7958</v>
      </c>
      <c r="W1881" s="22" t="s">
        <v>49</v>
      </c>
      <c r="X1881" s="3"/>
      <c r="Y1881" s="3" t="s">
        <v>7959</v>
      </c>
      <c r="Z1881" s="3" t="s">
        <v>52</v>
      </c>
      <c r="AA1881" s="3"/>
      <c r="AB1881" s="3"/>
      <c r="AC1881" s="3" t="str">
        <f>HYPERLINK("https://knigipp.ru/api/getInfo/image/f8fa5f58-a17f-11ea-a248-ac1f6b442184")</f>
        <v>https://knigipp.ru/api/getInfo/image/f8fa5f58-a17f-11ea-a248-ac1f6b442184</v>
      </c>
      <c r="AD1881" s="32">
        <v>16</v>
      </c>
      <c r="AE1881" s="3"/>
      <c r="AF1881" s="3" t="s">
        <v>136</v>
      </c>
      <c r="AG1881" s="3"/>
      <c r="AH1881" s="3" t="s">
        <v>56</v>
      </c>
      <c r="AI1881" s="3"/>
      <c r="AJ1881" s="3" t="s">
        <v>7933</v>
      </c>
      <c r="AK1881" s="3" t="str">
        <f>HYPERLINK("https://knigipp.ru/api/getInfo/item/f8fa5f58-a17f-11ea-a248-ac1f6b442184")</f>
        <v>https://knigipp.ru/api/getInfo/item/f8fa5f58-a17f-11ea-a248-ac1f6b442184</v>
      </c>
      <c r="AL1881" s="3" t="s">
        <v>1155</v>
      </c>
    </row>
    <row r="1882" spans="1:38" ht="21" customHeight="1" outlineLevel="4" x14ac:dyDescent="0.2">
      <c r="A1882" s="39">
        <v>1434</v>
      </c>
      <c r="B1882" s="3" t="s">
        <v>7960</v>
      </c>
      <c r="C1882" s="49" t="s">
        <v>7961</v>
      </c>
      <c r="D1882" s="49"/>
      <c r="E1882" s="49"/>
      <c r="F1882" s="49"/>
      <c r="G1882" s="4" t="s">
        <v>7962</v>
      </c>
      <c r="H1882" s="8"/>
      <c r="I1882" s="9" t="s">
        <v>7930</v>
      </c>
      <c r="J1882" s="10"/>
      <c r="K1882" s="11">
        <v>50</v>
      </c>
      <c r="L1882" s="10"/>
      <c r="M1882" s="10" t="s">
        <v>47</v>
      </c>
      <c r="N1882" s="10"/>
      <c r="O1882" s="2">
        <v>8</v>
      </c>
      <c r="P1882" s="17">
        <f>73*(1-S3/100)</f>
        <v>73</v>
      </c>
      <c r="Q1882" s="18"/>
      <c r="R1882" s="10">
        <f t="shared" si="79"/>
        <v>0</v>
      </c>
      <c r="S1882" s="19">
        <f>0.063*Q1882</f>
        <v>0</v>
      </c>
      <c r="T1882" s="20">
        <f>0.00028*Q1882</f>
        <v>0</v>
      </c>
      <c r="U1882" s="21"/>
      <c r="V1882" s="22" t="s">
        <v>7963</v>
      </c>
      <c r="W1882" s="22" t="s">
        <v>49</v>
      </c>
      <c r="X1882" s="3"/>
      <c r="Y1882" s="3" t="s">
        <v>7964</v>
      </c>
      <c r="Z1882" s="3" t="s">
        <v>52</v>
      </c>
      <c r="AA1882" s="3"/>
      <c r="AB1882" s="3"/>
      <c r="AC1882" s="3" t="str">
        <f>HYPERLINK("https://knigipp.ru/api/getInfo/image/30ec28f7-a180-11ea-a248-ac1f6b442184")</f>
        <v>https://knigipp.ru/api/getInfo/image/30ec28f7-a180-11ea-a248-ac1f6b442184</v>
      </c>
      <c r="AD1882" s="32">
        <v>16</v>
      </c>
      <c r="AE1882" s="3"/>
      <c r="AF1882" s="3" t="s">
        <v>136</v>
      </c>
      <c r="AG1882" s="3"/>
      <c r="AH1882" s="3" t="s">
        <v>56</v>
      </c>
      <c r="AI1882" s="3"/>
      <c r="AJ1882" s="3" t="s">
        <v>7933</v>
      </c>
      <c r="AK1882" s="3" t="str">
        <f>HYPERLINK("https://knigipp.ru/api/getInfo/item/30ec28f7-a180-11ea-a248-ac1f6b442184")</f>
        <v>https://knigipp.ru/api/getInfo/item/30ec28f7-a180-11ea-a248-ac1f6b442184</v>
      </c>
      <c r="AL1882" s="3" t="s">
        <v>1155</v>
      </c>
    </row>
    <row r="1883" spans="1:38" ht="21" customHeight="1" outlineLevel="4" x14ac:dyDescent="0.2">
      <c r="A1883" s="39">
        <v>1435</v>
      </c>
      <c r="B1883" s="3" t="s">
        <v>7965</v>
      </c>
      <c r="C1883" s="49" t="s">
        <v>7966</v>
      </c>
      <c r="D1883" s="49"/>
      <c r="E1883" s="49"/>
      <c r="F1883" s="49"/>
      <c r="G1883" s="4" t="s">
        <v>7967</v>
      </c>
      <c r="H1883" s="8"/>
      <c r="I1883" s="9" t="s">
        <v>7937</v>
      </c>
      <c r="J1883" s="10"/>
      <c r="K1883" s="11">
        <v>50</v>
      </c>
      <c r="L1883" s="10"/>
      <c r="M1883" s="10" t="s">
        <v>78</v>
      </c>
      <c r="N1883" s="10"/>
      <c r="O1883" s="2">
        <v>8</v>
      </c>
      <c r="P1883" s="17">
        <f>73*(1-S3/100)</f>
        <v>73</v>
      </c>
      <c r="Q1883" s="18"/>
      <c r="R1883" s="10">
        <f t="shared" si="79"/>
        <v>0</v>
      </c>
      <c r="S1883" s="19">
        <f>0.066*Q1883</f>
        <v>0</v>
      </c>
      <c r="T1883" s="20">
        <f>0.00011*Q1883</f>
        <v>0</v>
      </c>
      <c r="U1883" s="21"/>
      <c r="V1883" s="22" t="s">
        <v>7968</v>
      </c>
      <c r="W1883" s="22" t="s">
        <v>49</v>
      </c>
      <c r="X1883" s="3"/>
      <c r="Y1883" s="3" t="s">
        <v>7969</v>
      </c>
      <c r="Z1883" s="3" t="s">
        <v>52</v>
      </c>
      <c r="AA1883" s="3"/>
      <c r="AB1883" s="3"/>
      <c r="AC1883" s="3" t="str">
        <f>HYPERLINK("https://knigipp.ru/api/getInfo/image/fa53afad-0659-11f0-a277-00155d82e908")</f>
        <v>https://knigipp.ru/api/getInfo/image/fa53afad-0659-11f0-a277-00155d82e908</v>
      </c>
      <c r="AD1883" s="32">
        <v>16</v>
      </c>
      <c r="AE1883" s="3"/>
      <c r="AF1883" s="3" t="s">
        <v>136</v>
      </c>
      <c r="AG1883" s="3"/>
      <c r="AH1883" s="3" t="s">
        <v>56</v>
      </c>
      <c r="AI1883" s="3"/>
      <c r="AJ1883" s="3" t="s">
        <v>7933</v>
      </c>
      <c r="AK1883" s="3" t="str">
        <f>HYPERLINK("https://knigipp.ru/api/getInfo/item/fa53afad-0659-11f0-a277-00155d82e908")</f>
        <v>https://knigipp.ru/api/getInfo/item/fa53afad-0659-11f0-a277-00155d82e908</v>
      </c>
      <c r="AL1883" s="3" t="s">
        <v>1155</v>
      </c>
    </row>
    <row r="1884" spans="1:38" ht="21" customHeight="1" outlineLevel="4" x14ac:dyDescent="0.2">
      <c r="A1884" s="39">
        <v>1436</v>
      </c>
      <c r="B1884" s="3" t="s">
        <v>7970</v>
      </c>
      <c r="C1884" s="49" t="s">
        <v>7971</v>
      </c>
      <c r="D1884" s="49"/>
      <c r="E1884" s="49"/>
      <c r="F1884" s="49"/>
      <c r="G1884" s="4" t="s">
        <v>7972</v>
      </c>
      <c r="H1884" s="8"/>
      <c r="I1884" s="9" t="s">
        <v>7930</v>
      </c>
      <c r="J1884" s="10"/>
      <c r="K1884" s="11">
        <v>50</v>
      </c>
      <c r="L1884" s="10"/>
      <c r="M1884" s="10" t="s">
        <v>47</v>
      </c>
      <c r="N1884" s="10"/>
      <c r="O1884" s="2">
        <v>8</v>
      </c>
      <c r="P1884" s="17">
        <f>73*(1-S3/100)</f>
        <v>73</v>
      </c>
      <c r="Q1884" s="18"/>
      <c r="R1884" s="10">
        <f t="shared" si="79"/>
        <v>0</v>
      </c>
      <c r="S1884" s="19">
        <f>0.064*Q1884</f>
        <v>0</v>
      </c>
      <c r="T1884" s="20">
        <f>0.00028*Q1884</f>
        <v>0</v>
      </c>
      <c r="U1884" s="21"/>
      <c r="V1884" s="22" t="s">
        <v>7973</v>
      </c>
      <c r="W1884" s="22" t="s">
        <v>49</v>
      </c>
      <c r="X1884" s="3"/>
      <c r="Y1884" s="3" t="s">
        <v>7969</v>
      </c>
      <c r="Z1884" s="3" t="s">
        <v>52</v>
      </c>
      <c r="AA1884" s="3"/>
      <c r="AB1884" s="3"/>
      <c r="AC1884" s="3" t="str">
        <f>HYPERLINK("https://knigipp.ru/api/getInfo/image/15555264-a180-11ea-a248-ac1f6b442184")</f>
        <v>https://knigipp.ru/api/getInfo/image/15555264-a180-11ea-a248-ac1f6b442184</v>
      </c>
      <c r="AD1884" s="32">
        <v>16</v>
      </c>
      <c r="AE1884" s="3"/>
      <c r="AF1884" s="3" t="s">
        <v>136</v>
      </c>
      <c r="AG1884" s="3"/>
      <c r="AH1884" s="3" t="s">
        <v>56</v>
      </c>
      <c r="AI1884" s="3"/>
      <c r="AJ1884" s="3" t="s">
        <v>7933</v>
      </c>
      <c r="AK1884" s="3" t="str">
        <f>HYPERLINK("https://knigipp.ru/api/getInfo/item/15555264-a180-11ea-a248-ac1f6b442184")</f>
        <v>https://knigipp.ru/api/getInfo/item/15555264-a180-11ea-a248-ac1f6b442184</v>
      </c>
      <c r="AL1884" s="3" t="s">
        <v>1155</v>
      </c>
    </row>
    <row r="1885" spans="1:38" ht="21" customHeight="1" outlineLevel="4" x14ac:dyDescent="0.2">
      <c r="A1885" s="39">
        <v>1437</v>
      </c>
      <c r="B1885" s="3" t="s">
        <v>7974</v>
      </c>
      <c r="C1885" s="49" t="s">
        <v>7975</v>
      </c>
      <c r="D1885" s="49"/>
      <c r="E1885" s="49"/>
      <c r="F1885" s="49"/>
      <c r="G1885" s="4" t="s">
        <v>7976</v>
      </c>
      <c r="H1885" s="8"/>
      <c r="I1885" s="9" t="s">
        <v>7937</v>
      </c>
      <c r="J1885" s="10"/>
      <c r="K1885" s="11">
        <v>50</v>
      </c>
      <c r="L1885" s="10"/>
      <c r="M1885" s="10" t="s">
        <v>47</v>
      </c>
      <c r="N1885" s="10"/>
      <c r="O1885" s="2">
        <v>8</v>
      </c>
      <c r="P1885" s="17">
        <f>73*(1-S3/100)</f>
        <v>73</v>
      </c>
      <c r="Q1885" s="18"/>
      <c r="R1885" s="10">
        <f t="shared" si="79"/>
        <v>0</v>
      </c>
      <c r="S1885" s="19">
        <f>0.066*Q1885</f>
        <v>0</v>
      </c>
      <c r="T1885" s="20">
        <f>0.00011*Q1885</f>
        <v>0</v>
      </c>
      <c r="U1885" s="21"/>
      <c r="V1885" s="22" t="s">
        <v>7977</v>
      </c>
      <c r="W1885" s="22" t="s">
        <v>49</v>
      </c>
      <c r="X1885" s="3"/>
      <c r="Y1885" s="3" t="s">
        <v>7969</v>
      </c>
      <c r="Z1885" s="3" t="s">
        <v>52</v>
      </c>
      <c r="AA1885" s="3"/>
      <c r="AB1885" s="3"/>
      <c r="AC1885" s="3" t="str">
        <f>HYPERLINK("https://knigipp.ru/api/getInfo/image/d153ba0e-0659-11f0-a277-00155d82e908")</f>
        <v>https://knigipp.ru/api/getInfo/image/d153ba0e-0659-11f0-a277-00155d82e908</v>
      </c>
      <c r="AD1885" s="32">
        <v>16</v>
      </c>
      <c r="AE1885" s="3"/>
      <c r="AF1885" s="3" t="s">
        <v>136</v>
      </c>
      <c r="AG1885" s="3"/>
      <c r="AH1885" s="3" t="s">
        <v>56</v>
      </c>
      <c r="AI1885" s="3"/>
      <c r="AJ1885" s="3" t="s">
        <v>7933</v>
      </c>
      <c r="AK1885" s="3" t="str">
        <f>HYPERLINK("https://knigipp.ru/api/getInfo/item/d153ba0e-0659-11f0-a277-00155d82e908")</f>
        <v>https://knigipp.ru/api/getInfo/item/d153ba0e-0659-11f0-a277-00155d82e908</v>
      </c>
      <c r="AL1885" s="3" t="s">
        <v>1155</v>
      </c>
    </row>
    <row r="1886" spans="1:38" ht="21" customHeight="1" outlineLevel="4" x14ac:dyDescent="0.2">
      <c r="A1886" s="39">
        <v>1438</v>
      </c>
      <c r="B1886" s="3" t="s">
        <v>7978</v>
      </c>
      <c r="C1886" s="49" t="s">
        <v>7979</v>
      </c>
      <c r="D1886" s="49"/>
      <c r="E1886" s="49"/>
      <c r="F1886" s="49"/>
      <c r="G1886" s="4" t="s">
        <v>7980</v>
      </c>
      <c r="H1886" s="8"/>
      <c r="I1886" s="9" t="s">
        <v>7937</v>
      </c>
      <c r="J1886" s="10"/>
      <c r="K1886" s="11">
        <v>50</v>
      </c>
      <c r="L1886" s="10"/>
      <c r="M1886" s="10" t="s">
        <v>47</v>
      </c>
      <c r="N1886" s="10"/>
      <c r="O1886" s="2">
        <v>8</v>
      </c>
      <c r="P1886" s="17">
        <f>73*(1-S3/100)</f>
        <v>73</v>
      </c>
      <c r="Q1886" s="18"/>
      <c r="R1886" s="10">
        <f t="shared" si="79"/>
        <v>0</v>
      </c>
      <c r="S1886" s="19">
        <f>0.066*Q1886</f>
        <v>0</v>
      </c>
      <c r="T1886" s="20">
        <f>0.00011*Q1886</f>
        <v>0</v>
      </c>
      <c r="U1886" s="21"/>
      <c r="V1886" s="22" t="s">
        <v>7981</v>
      </c>
      <c r="W1886" s="22" t="s">
        <v>49</v>
      </c>
      <c r="X1886" s="3"/>
      <c r="Y1886" s="3" t="s">
        <v>7969</v>
      </c>
      <c r="Z1886" s="3" t="s">
        <v>52</v>
      </c>
      <c r="AA1886" s="3"/>
      <c r="AB1886" s="3"/>
      <c r="AC1886" s="3" t="str">
        <f>HYPERLINK("https://knigipp.ru/api/getInfo/image/a3b37938-0659-11f0-a277-00155d82e908")</f>
        <v>https://knigipp.ru/api/getInfo/image/a3b37938-0659-11f0-a277-00155d82e908</v>
      </c>
      <c r="AD1886" s="32">
        <v>16</v>
      </c>
      <c r="AE1886" s="3"/>
      <c r="AF1886" s="3" t="s">
        <v>136</v>
      </c>
      <c r="AG1886" s="3"/>
      <c r="AH1886" s="3" t="s">
        <v>56</v>
      </c>
      <c r="AI1886" s="3"/>
      <c r="AJ1886" s="3" t="s">
        <v>7933</v>
      </c>
      <c r="AK1886" s="3" t="str">
        <f>HYPERLINK("https://knigipp.ru/api/getInfo/item/a3b37938-0659-11f0-a277-00155d82e908")</f>
        <v>https://knigipp.ru/api/getInfo/item/a3b37938-0659-11f0-a277-00155d82e908</v>
      </c>
      <c r="AL1886" s="3" t="s">
        <v>1155</v>
      </c>
    </row>
    <row r="1887" spans="1:38" ht="21" customHeight="1" outlineLevel="4" x14ac:dyDescent="0.2">
      <c r="A1887" s="39">
        <v>1439</v>
      </c>
      <c r="B1887" s="3" t="s">
        <v>7982</v>
      </c>
      <c r="C1887" s="49" t="s">
        <v>7983</v>
      </c>
      <c r="D1887" s="49"/>
      <c r="E1887" s="49"/>
      <c r="F1887" s="49"/>
      <c r="G1887" s="4" t="s">
        <v>7984</v>
      </c>
      <c r="H1887" s="8"/>
      <c r="I1887" s="9" t="s">
        <v>7930</v>
      </c>
      <c r="J1887" s="10"/>
      <c r="K1887" s="11">
        <v>50</v>
      </c>
      <c r="L1887" s="10"/>
      <c r="M1887" s="10" t="s">
        <v>47</v>
      </c>
      <c r="N1887" s="10"/>
      <c r="O1887" s="2">
        <v>8</v>
      </c>
      <c r="P1887" s="17">
        <f>73*(1-S3/100)</f>
        <v>73</v>
      </c>
      <c r="Q1887" s="18"/>
      <c r="R1887" s="10">
        <f t="shared" si="79"/>
        <v>0</v>
      </c>
      <c r="S1887" s="19">
        <f>0.064*Q1887</f>
        <v>0</v>
      </c>
      <c r="T1887" s="20">
        <f>0.00028*Q1887</f>
        <v>0</v>
      </c>
      <c r="U1887" s="21"/>
      <c r="V1887" s="22" t="s">
        <v>7985</v>
      </c>
      <c r="W1887" s="22" t="s">
        <v>49</v>
      </c>
      <c r="X1887" s="3"/>
      <c r="Y1887" s="3" t="s">
        <v>7986</v>
      </c>
      <c r="Z1887" s="3" t="s">
        <v>52</v>
      </c>
      <c r="AA1887" s="3" t="s">
        <v>3262</v>
      </c>
      <c r="AB1887" s="3"/>
      <c r="AC1887" s="3" t="str">
        <f>HYPERLINK("https://knigipp.ru/api/getInfo/image/3914b55a-1f7f-11e7-b743-5cf3fc4a2490")</f>
        <v>https://knigipp.ru/api/getInfo/image/3914b55a-1f7f-11e7-b743-5cf3fc4a2490</v>
      </c>
      <c r="AD1887" s="32">
        <v>16</v>
      </c>
      <c r="AE1887" s="3"/>
      <c r="AF1887" s="3" t="s">
        <v>136</v>
      </c>
      <c r="AG1887" s="3"/>
      <c r="AH1887" s="3" t="s">
        <v>56</v>
      </c>
      <c r="AI1887" s="3"/>
      <c r="AJ1887" s="3" t="s">
        <v>7933</v>
      </c>
      <c r="AK1887" s="3" t="str">
        <f>HYPERLINK("https://knigipp.ru/api/getInfo/item/3914b55a-1f7f-11e7-b743-5cf3fc4a2490")</f>
        <v>https://knigipp.ru/api/getInfo/item/3914b55a-1f7f-11e7-b743-5cf3fc4a2490</v>
      </c>
      <c r="AL1887" s="3" t="s">
        <v>1155</v>
      </c>
    </row>
    <row r="1888" spans="1:38" ht="23.1" customHeight="1" outlineLevel="3" x14ac:dyDescent="0.2">
      <c r="A1888" s="48" t="s">
        <v>7987</v>
      </c>
      <c r="B1888" s="48"/>
      <c r="C1888" s="48"/>
      <c r="D1888" s="48"/>
      <c r="E1888" s="48"/>
      <c r="F1888" s="48"/>
    </row>
    <row r="1889" spans="1:38" ht="21" customHeight="1" outlineLevel="4" x14ac:dyDescent="0.2">
      <c r="A1889" s="39">
        <v>1440</v>
      </c>
      <c r="B1889" s="3" t="s">
        <v>7988</v>
      </c>
      <c r="C1889" s="49" t="s">
        <v>7989</v>
      </c>
      <c r="D1889" s="49"/>
      <c r="E1889" s="49"/>
      <c r="F1889" s="49"/>
      <c r="G1889" s="4" t="s">
        <v>7990</v>
      </c>
      <c r="H1889" s="8"/>
      <c r="I1889" s="9" t="s">
        <v>7991</v>
      </c>
      <c r="J1889" s="10"/>
      <c r="K1889" s="11">
        <v>50</v>
      </c>
      <c r="L1889" s="10"/>
      <c r="M1889" s="10" t="s">
        <v>47</v>
      </c>
      <c r="N1889" s="10"/>
      <c r="O1889" s="2">
        <v>12</v>
      </c>
      <c r="P1889" s="17">
        <f>47*(1-S3/100)</f>
        <v>47</v>
      </c>
      <c r="Q1889" s="18"/>
      <c r="R1889" s="10">
        <f>P1889*Q1889</f>
        <v>0</v>
      </c>
      <c r="S1889" s="19">
        <f>0.133*Q1889</f>
        <v>0</v>
      </c>
      <c r="T1889" s="20">
        <f>0.00033*Q1889</f>
        <v>0</v>
      </c>
      <c r="U1889" s="21"/>
      <c r="V1889" s="22" t="s">
        <v>7992</v>
      </c>
      <c r="W1889" s="22" t="s">
        <v>49</v>
      </c>
      <c r="X1889" s="3"/>
      <c r="Y1889" s="3" t="s">
        <v>7993</v>
      </c>
      <c r="Z1889" s="3" t="s">
        <v>52</v>
      </c>
      <c r="AA1889" s="3"/>
      <c r="AB1889" s="3"/>
      <c r="AC1889" s="3" t="str">
        <f>HYPERLINK("https://knigipp.ru/api/getInfo/image/79ed44fc-5098-11ee-a244-00155d82e902")</f>
        <v>https://knigipp.ru/api/getInfo/image/79ed44fc-5098-11ee-a244-00155d82e902</v>
      </c>
      <c r="AD1889" s="32">
        <v>12</v>
      </c>
      <c r="AE1889" s="3"/>
      <c r="AF1889" s="3" t="s">
        <v>136</v>
      </c>
      <c r="AG1889" s="3"/>
      <c r="AH1889" s="3" t="s">
        <v>56</v>
      </c>
      <c r="AI1889" s="3"/>
      <c r="AJ1889" s="3"/>
      <c r="AK1889" s="3" t="str">
        <f>HYPERLINK("https://knigipp.ru/api/getInfo/item/79ed44fc-5098-11ee-a244-00155d82e902")</f>
        <v>https://knigipp.ru/api/getInfo/item/79ed44fc-5098-11ee-a244-00155d82e902</v>
      </c>
      <c r="AL1889" s="3" t="s">
        <v>4571</v>
      </c>
    </row>
    <row r="1890" spans="1:38" ht="21" customHeight="1" outlineLevel="4" x14ac:dyDescent="0.2">
      <c r="A1890" s="39">
        <v>1441</v>
      </c>
      <c r="B1890" s="3" t="s">
        <v>7994</v>
      </c>
      <c r="C1890" s="49" t="s">
        <v>7995</v>
      </c>
      <c r="D1890" s="49"/>
      <c r="E1890" s="49"/>
      <c r="F1890" s="49"/>
      <c r="G1890" s="4" t="s">
        <v>7996</v>
      </c>
      <c r="H1890" s="8"/>
      <c r="I1890" s="9" t="s">
        <v>7991</v>
      </c>
      <c r="J1890" s="10"/>
      <c r="K1890" s="11">
        <v>50</v>
      </c>
      <c r="L1890" s="10"/>
      <c r="M1890" s="10" t="s">
        <v>78</v>
      </c>
      <c r="N1890" s="10"/>
      <c r="O1890" s="2">
        <v>12</v>
      </c>
      <c r="P1890" s="17">
        <f>47*(1-S3/100)</f>
        <v>47</v>
      </c>
      <c r="Q1890" s="18"/>
      <c r="R1890" s="10">
        <f>P1890*Q1890</f>
        <v>0</v>
      </c>
      <c r="S1890" s="19">
        <f>0.041*Q1890</f>
        <v>0</v>
      </c>
      <c r="T1890" s="20">
        <f>0.00033*Q1890</f>
        <v>0</v>
      </c>
      <c r="U1890" s="21"/>
      <c r="V1890" s="22" t="s">
        <v>7997</v>
      </c>
      <c r="W1890" s="22" t="s">
        <v>49</v>
      </c>
      <c r="X1890" s="3"/>
      <c r="Y1890" s="3" t="s">
        <v>7993</v>
      </c>
      <c r="Z1890" s="3" t="s">
        <v>52</v>
      </c>
      <c r="AA1890" s="3"/>
      <c r="AB1890" s="3"/>
      <c r="AC1890" s="3" t="str">
        <f>HYPERLINK("https://knigipp.ru/api/getInfo/image/417aa15e-5098-11ee-a244-00155d82e902")</f>
        <v>https://knigipp.ru/api/getInfo/image/417aa15e-5098-11ee-a244-00155d82e902</v>
      </c>
      <c r="AD1890" s="32">
        <v>12</v>
      </c>
      <c r="AE1890" s="3"/>
      <c r="AF1890" s="3" t="s">
        <v>136</v>
      </c>
      <c r="AG1890" s="3"/>
      <c r="AH1890" s="3" t="s">
        <v>56</v>
      </c>
      <c r="AI1890" s="3"/>
      <c r="AJ1890" s="3"/>
      <c r="AK1890" s="3" t="str">
        <f>HYPERLINK("https://knigipp.ru/api/getInfo/item/417aa15e-5098-11ee-a244-00155d82e902")</f>
        <v>https://knigipp.ru/api/getInfo/item/417aa15e-5098-11ee-a244-00155d82e902</v>
      </c>
      <c r="AL1890" s="3" t="s">
        <v>4571</v>
      </c>
    </row>
    <row r="1891" spans="1:38" ht="21" customHeight="1" outlineLevel="4" x14ac:dyDescent="0.2">
      <c r="A1891" s="39">
        <v>1442</v>
      </c>
      <c r="B1891" s="3" t="s">
        <v>7998</v>
      </c>
      <c r="C1891" s="49" t="s">
        <v>7983</v>
      </c>
      <c r="D1891" s="49"/>
      <c r="E1891" s="49"/>
      <c r="F1891" s="49"/>
      <c r="G1891" s="4" t="s">
        <v>7999</v>
      </c>
      <c r="H1891" s="8"/>
      <c r="I1891" s="9" t="s">
        <v>7991</v>
      </c>
      <c r="J1891" s="10"/>
      <c r="K1891" s="11">
        <v>50</v>
      </c>
      <c r="L1891" s="10"/>
      <c r="M1891" s="10" t="s">
        <v>47</v>
      </c>
      <c r="N1891" s="10"/>
      <c r="O1891" s="2">
        <v>12</v>
      </c>
      <c r="P1891" s="17">
        <f>47*(1-S3/100)</f>
        <v>47</v>
      </c>
      <c r="Q1891" s="18"/>
      <c r="R1891" s="10">
        <f>P1891*Q1891</f>
        <v>0</v>
      </c>
      <c r="S1891" s="19">
        <f>0.064*Q1891</f>
        <v>0</v>
      </c>
      <c r="T1891" s="20">
        <f>0.00028*Q1891</f>
        <v>0</v>
      </c>
      <c r="U1891" s="21"/>
      <c r="V1891" s="22" t="s">
        <v>8000</v>
      </c>
      <c r="W1891" s="22" t="s">
        <v>49</v>
      </c>
      <c r="X1891" s="3"/>
      <c r="Y1891" s="3" t="s">
        <v>7993</v>
      </c>
      <c r="Z1891" s="3" t="s">
        <v>52</v>
      </c>
      <c r="AA1891" s="3"/>
      <c r="AB1891" s="3"/>
      <c r="AC1891" s="3" t="str">
        <f>HYPERLINK("https://knigipp.ru/api/getInfo/image/1a10a0b1-5098-11ee-a244-00155d82e902")</f>
        <v>https://knigipp.ru/api/getInfo/image/1a10a0b1-5098-11ee-a244-00155d82e902</v>
      </c>
      <c r="AD1891" s="32">
        <v>12</v>
      </c>
      <c r="AE1891" s="3"/>
      <c r="AF1891" s="3" t="s">
        <v>136</v>
      </c>
      <c r="AG1891" s="3"/>
      <c r="AH1891" s="3" t="s">
        <v>56</v>
      </c>
      <c r="AI1891" s="3"/>
      <c r="AJ1891" s="3"/>
      <c r="AK1891" s="3" t="str">
        <f>HYPERLINK("https://knigipp.ru/api/getInfo/item/1a10a0b1-5098-11ee-a244-00155d82e902")</f>
        <v>https://knigipp.ru/api/getInfo/item/1a10a0b1-5098-11ee-a244-00155d82e902</v>
      </c>
      <c r="AL1891" s="3" t="s">
        <v>4571</v>
      </c>
    </row>
    <row r="1892" spans="1:38" ht="21" customHeight="1" outlineLevel="4" x14ac:dyDescent="0.2">
      <c r="A1892" s="39">
        <v>1443</v>
      </c>
      <c r="B1892" s="3" t="s">
        <v>8001</v>
      </c>
      <c r="C1892" s="49" t="s">
        <v>8002</v>
      </c>
      <c r="D1892" s="49"/>
      <c r="E1892" s="49"/>
      <c r="F1892" s="49"/>
      <c r="G1892" s="4" t="s">
        <v>8003</v>
      </c>
      <c r="H1892" s="8"/>
      <c r="I1892" s="9" t="s">
        <v>7991</v>
      </c>
      <c r="J1892" s="10"/>
      <c r="K1892" s="11">
        <v>50</v>
      </c>
      <c r="L1892" s="10"/>
      <c r="M1892" s="10" t="s">
        <v>78</v>
      </c>
      <c r="N1892" s="10"/>
      <c r="O1892" s="2">
        <v>12</v>
      </c>
      <c r="P1892" s="17">
        <f>47*(1-S3/100)</f>
        <v>47</v>
      </c>
      <c r="Q1892" s="18"/>
      <c r="R1892" s="10">
        <f>P1892*Q1892</f>
        <v>0</v>
      </c>
      <c r="S1892" s="19">
        <f>0.059*Q1892</f>
        <v>0</v>
      </c>
      <c r="T1892" s="20">
        <f>0.00017*Q1892</f>
        <v>0</v>
      </c>
      <c r="U1892" s="21"/>
      <c r="V1892" s="22" t="s">
        <v>8004</v>
      </c>
      <c r="W1892" s="22" t="s">
        <v>49</v>
      </c>
      <c r="X1892" s="3"/>
      <c r="Y1892" s="3" t="s">
        <v>7993</v>
      </c>
      <c r="Z1892" s="3" t="s">
        <v>52</v>
      </c>
      <c r="AA1892" s="3"/>
      <c r="AB1892" s="3"/>
      <c r="AC1892" s="3" t="str">
        <f>HYPERLINK("https://knigipp.ru/api/getInfo/image/5aba3d50-5098-11ee-a244-00155d82e902")</f>
        <v>https://knigipp.ru/api/getInfo/image/5aba3d50-5098-11ee-a244-00155d82e902</v>
      </c>
      <c r="AD1892" s="32">
        <v>12</v>
      </c>
      <c r="AE1892" s="3"/>
      <c r="AF1892" s="3" t="s">
        <v>136</v>
      </c>
      <c r="AG1892" s="3"/>
      <c r="AH1892" s="3" t="s">
        <v>56</v>
      </c>
      <c r="AI1892" s="3"/>
      <c r="AJ1892" s="3"/>
      <c r="AK1892" s="3" t="str">
        <f>HYPERLINK("https://knigipp.ru/api/getInfo/item/5aba3d50-5098-11ee-a244-00155d82e902")</f>
        <v>https://knigipp.ru/api/getInfo/item/5aba3d50-5098-11ee-a244-00155d82e902</v>
      </c>
      <c r="AL1892" s="3" t="s">
        <v>4571</v>
      </c>
    </row>
    <row r="1893" spans="1:38" ht="23.1" customHeight="1" outlineLevel="3" x14ac:dyDescent="0.2">
      <c r="A1893" s="48" t="s">
        <v>8005</v>
      </c>
      <c r="B1893" s="48"/>
      <c r="C1893" s="48"/>
      <c r="D1893" s="48"/>
      <c r="E1893" s="48"/>
      <c r="F1893" s="48"/>
    </row>
    <row r="1894" spans="1:38" ht="21" customHeight="1" outlineLevel="4" x14ac:dyDescent="0.2">
      <c r="A1894" s="39">
        <v>1444</v>
      </c>
      <c r="B1894" s="3" t="s">
        <v>8006</v>
      </c>
      <c r="C1894" s="49" t="s">
        <v>8007</v>
      </c>
      <c r="D1894" s="49"/>
      <c r="E1894" s="49"/>
      <c r="F1894" s="49"/>
      <c r="G1894" s="4" t="s">
        <v>8008</v>
      </c>
      <c r="H1894" s="8"/>
      <c r="I1894" s="9" t="s">
        <v>8009</v>
      </c>
      <c r="J1894" s="10"/>
      <c r="K1894" s="11">
        <v>20</v>
      </c>
      <c r="L1894" s="10"/>
      <c r="M1894" s="10" t="s">
        <v>47</v>
      </c>
      <c r="N1894" s="10"/>
      <c r="O1894" s="2">
        <v>4</v>
      </c>
      <c r="P1894" s="17">
        <f>147*(1-S3/100)</f>
        <v>147</v>
      </c>
      <c r="Q1894" s="18"/>
      <c r="R1894" s="10">
        <f>P1894*Q1894</f>
        <v>0</v>
      </c>
      <c r="S1894" s="19">
        <f>0.068*Q1894</f>
        <v>0</v>
      </c>
      <c r="T1894" s="20">
        <f>0.00041*Q1894</f>
        <v>0</v>
      </c>
      <c r="U1894" s="21"/>
      <c r="V1894" s="22" t="s">
        <v>8010</v>
      </c>
      <c r="W1894" s="22" t="s">
        <v>49</v>
      </c>
      <c r="X1894" s="3"/>
      <c r="Y1894" s="3" t="s">
        <v>8011</v>
      </c>
      <c r="Z1894" s="3" t="s">
        <v>52</v>
      </c>
      <c r="AA1894" s="3"/>
      <c r="AB1894" s="3"/>
      <c r="AC1894" s="3" t="str">
        <f>HYPERLINK("https://knigipp.ru/api/getInfo/image/d7c663c3-2ab0-11ed-a216-ac1f6b442185")</f>
        <v>https://knigipp.ru/api/getInfo/image/d7c663c3-2ab0-11ed-a216-ac1f6b442185</v>
      </c>
      <c r="AD1894" s="32">
        <v>16</v>
      </c>
      <c r="AE1894" s="3" t="s">
        <v>54</v>
      </c>
      <c r="AF1894" s="3" t="s">
        <v>136</v>
      </c>
      <c r="AG1894" s="3"/>
      <c r="AH1894" s="3" t="s">
        <v>56</v>
      </c>
      <c r="AI1894" s="3"/>
      <c r="AJ1894" s="3"/>
      <c r="AK1894" s="3" t="str">
        <f>HYPERLINK("https://knigipp.ru/api/getInfo/item/d7c663c3-2ab0-11ed-a216-ac1f6b442185")</f>
        <v>https://knigipp.ru/api/getInfo/item/d7c663c3-2ab0-11ed-a216-ac1f6b442185</v>
      </c>
      <c r="AL1894" s="3" t="s">
        <v>8012</v>
      </c>
    </row>
    <row r="1895" spans="1:38" ht="21" customHeight="1" outlineLevel="4" x14ac:dyDescent="0.2">
      <c r="A1895" s="39">
        <v>1445</v>
      </c>
      <c r="B1895" s="3" t="s">
        <v>8013</v>
      </c>
      <c r="C1895" s="49" t="s">
        <v>8014</v>
      </c>
      <c r="D1895" s="49"/>
      <c r="E1895" s="49"/>
      <c r="F1895" s="49"/>
      <c r="G1895" s="4" t="s">
        <v>8015</v>
      </c>
      <c r="H1895" s="8"/>
      <c r="I1895" s="9" t="s">
        <v>8009</v>
      </c>
      <c r="J1895" s="10"/>
      <c r="K1895" s="11">
        <v>20</v>
      </c>
      <c r="L1895" s="10"/>
      <c r="M1895" s="10" t="s">
        <v>47</v>
      </c>
      <c r="N1895" s="10"/>
      <c r="O1895" s="2">
        <v>4</v>
      </c>
      <c r="P1895" s="17">
        <f>147*(1-S3/100)</f>
        <v>147</v>
      </c>
      <c r="Q1895" s="18"/>
      <c r="R1895" s="10">
        <f>P1895*Q1895</f>
        <v>0</v>
      </c>
      <c r="S1895" s="19">
        <f>0.065*Q1895</f>
        <v>0</v>
      </c>
      <c r="T1895" s="20">
        <f>0.00122*Q1895</f>
        <v>0</v>
      </c>
      <c r="U1895" s="21"/>
      <c r="V1895" s="22" t="s">
        <v>8016</v>
      </c>
      <c r="W1895" s="22" t="s">
        <v>49</v>
      </c>
      <c r="X1895" s="3"/>
      <c r="Y1895" s="3" t="s">
        <v>8017</v>
      </c>
      <c r="Z1895" s="3" t="s">
        <v>52</v>
      </c>
      <c r="AA1895" s="3"/>
      <c r="AB1895" s="3"/>
      <c r="AC1895" s="3" t="str">
        <f>HYPERLINK("https://knigipp.ru/api/getInfo/image/1183632b-2ab1-11ed-a216-ac1f6b442185")</f>
        <v>https://knigipp.ru/api/getInfo/image/1183632b-2ab1-11ed-a216-ac1f6b442185</v>
      </c>
      <c r="AD1895" s="32">
        <v>16</v>
      </c>
      <c r="AE1895" s="3" t="s">
        <v>54</v>
      </c>
      <c r="AF1895" s="3" t="s">
        <v>136</v>
      </c>
      <c r="AG1895" s="3"/>
      <c r="AH1895" s="3" t="s">
        <v>56</v>
      </c>
      <c r="AI1895" s="3"/>
      <c r="AJ1895" s="3"/>
      <c r="AK1895" s="3" t="str">
        <f>HYPERLINK("https://knigipp.ru/api/getInfo/item/1183632b-2ab1-11ed-a216-ac1f6b442185")</f>
        <v>https://knigipp.ru/api/getInfo/item/1183632b-2ab1-11ed-a216-ac1f6b442185</v>
      </c>
      <c r="AL1895" s="3" t="s">
        <v>8012</v>
      </c>
    </row>
    <row r="1896" spans="1:38" ht="21" customHeight="1" outlineLevel="4" x14ac:dyDescent="0.2">
      <c r="A1896" s="39">
        <v>1446</v>
      </c>
      <c r="B1896" s="3" t="s">
        <v>8018</v>
      </c>
      <c r="C1896" s="49" t="s">
        <v>8019</v>
      </c>
      <c r="D1896" s="49"/>
      <c r="E1896" s="49"/>
      <c r="F1896" s="49"/>
      <c r="G1896" s="4" t="s">
        <v>8020</v>
      </c>
      <c r="H1896" s="8"/>
      <c r="I1896" s="9" t="s">
        <v>8009</v>
      </c>
      <c r="J1896" s="10"/>
      <c r="K1896" s="11">
        <v>20</v>
      </c>
      <c r="L1896" s="10"/>
      <c r="M1896" s="10" t="s">
        <v>47</v>
      </c>
      <c r="N1896" s="10"/>
      <c r="O1896" s="2">
        <v>4</v>
      </c>
      <c r="P1896" s="17">
        <f>147*(1-S3/100)</f>
        <v>147</v>
      </c>
      <c r="Q1896" s="18"/>
      <c r="R1896" s="10">
        <f>P1896*Q1896</f>
        <v>0</v>
      </c>
      <c r="S1896" s="28">
        <f>0.07*Q1896</f>
        <v>0</v>
      </c>
      <c r="T1896" s="20">
        <f>0.00084*Q1896</f>
        <v>0</v>
      </c>
      <c r="U1896" s="21"/>
      <c r="V1896" s="22" t="s">
        <v>8021</v>
      </c>
      <c r="W1896" s="22" t="s">
        <v>49</v>
      </c>
      <c r="X1896" s="3"/>
      <c r="Y1896" s="3" t="s">
        <v>8022</v>
      </c>
      <c r="Z1896" s="3" t="s">
        <v>52</v>
      </c>
      <c r="AA1896" s="3"/>
      <c r="AB1896" s="3"/>
      <c r="AC1896" s="3" t="str">
        <f>HYPERLINK("https://knigipp.ru/api/getInfo/image/656eebfb-2ab1-11ed-a216-ac1f6b442185")</f>
        <v>https://knigipp.ru/api/getInfo/image/656eebfb-2ab1-11ed-a216-ac1f6b442185</v>
      </c>
      <c r="AD1896" s="32">
        <v>16</v>
      </c>
      <c r="AE1896" s="3" t="s">
        <v>54</v>
      </c>
      <c r="AF1896" s="3" t="s">
        <v>136</v>
      </c>
      <c r="AG1896" s="3"/>
      <c r="AH1896" s="3" t="s">
        <v>56</v>
      </c>
      <c r="AI1896" s="3"/>
      <c r="AJ1896" s="3"/>
      <c r="AK1896" s="3" t="str">
        <f>HYPERLINK("https://knigipp.ru/api/getInfo/item/656eebfb-2ab1-11ed-a216-ac1f6b442185")</f>
        <v>https://knigipp.ru/api/getInfo/item/656eebfb-2ab1-11ed-a216-ac1f6b442185</v>
      </c>
      <c r="AL1896" s="3" t="s">
        <v>8012</v>
      </c>
    </row>
    <row r="1897" spans="1:38" ht="21" customHeight="1" outlineLevel="4" x14ac:dyDescent="0.2">
      <c r="A1897" s="39">
        <v>1447</v>
      </c>
      <c r="B1897" s="3" t="s">
        <v>8023</v>
      </c>
      <c r="C1897" s="49" t="s">
        <v>8024</v>
      </c>
      <c r="D1897" s="49"/>
      <c r="E1897" s="49"/>
      <c r="F1897" s="49"/>
      <c r="G1897" s="4" t="s">
        <v>8025</v>
      </c>
      <c r="H1897" s="8"/>
      <c r="I1897" s="9" t="s">
        <v>8009</v>
      </c>
      <c r="J1897" s="10"/>
      <c r="K1897" s="11">
        <v>20</v>
      </c>
      <c r="L1897" s="10"/>
      <c r="M1897" s="10" t="s">
        <v>47</v>
      </c>
      <c r="N1897" s="10"/>
      <c r="O1897" s="2">
        <v>4</v>
      </c>
      <c r="P1897" s="17">
        <f>147*(1-S3/100)</f>
        <v>147</v>
      </c>
      <c r="Q1897" s="18"/>
      <c r="R1897" s="10">
        <f>P1897*Q1897</f>
        <v>0</v>
      </c>
      <c r="S1897" s="19">
        <f>0.067*Q1897</f>
        <v>0</v>
      </c>
      <c r="T1897" s="30">
        <f>0.0006*Q1897</f>
        <v>0</v>
      </c>
      <c r="U1897" s="21"/>
      <c r="V1897" s="22" t="s">
        <v>8026</v>
      </c>
      <c r="W1897" s="22" t="s">
        <v>49</v>
      </c>
      <c r="X1897" s="3"/>
      <c r="Y1897" s="3" t="s">
        <v>8027</v>
      </c>
      <c r="Z1897" s="3" t="s">
        <v>52</v>
      </c>
      <c r="AA1897" s="3"/>
      <c r="AB1897" s="3"/>
      <c r="AC1897" s="3" t="str">
        <f>HYPERLINK("https://knigipp.ru/api/getInfo/image/928d0396-2ab1-11ed-a216-ac1f6b442185")</f>
        <v>https://knigipp.ru/api/getInfo/image/928d0396-2ab1-11ed-a216-ac1f6b442185</v>
      </c>
      <c r="AD1897" s="32">
        <v>16</v>
      </c>
      <c r="AE1897" s="3" t="s">
        <v>54</v>
      </c>
      <c r="AF1897" s="3" t="s">
        <v>136</v>
      </c>
      <c r="AG1897" s="3"/>
      <c r="AH1897" s="3" t="s">
        <v>56</v>
      </c>
      <c r="AI1897" s="3"/>
      <c r="AJ1897" s="3"/>
      <c r="AK1897" s="3" t="str">
        <f>HYPERLINK("https://knigipp.ru/api/getInfo/item/928d0396-2ab1-11ed-a216-ac1f6b442185")</f>
        <v>https://knigipp.ru/api/getInfo/item/928d0396-2ab1-11ed-a216-ac1f6b442185</v>
      </c>
      <c r="AL1897" s="3" t="s">
        <v>8012</v>
      </c>
    </row>
    <row r="1898" spans="1:38" ht="23.1" customHeight="1" outlineLevel="3" x14ac:dyDescent="0.2">
      <c r="A1898" s="48" t="s">
        <v>8028</v>
      </c>
      <c r="B1898" s="48"/>
      <c r="C1898" s="48"/>
      <c r="D1898" s="48"/>
      <c r="E1898" s="48"/>
      <c r="F1898" s="48"/>
    </row>
    <row r="1899" spans="1:38" ht="21" customHeight="1" outlineLevel="4" x14ac:dyDescent="0.2">
      <c r="A1899" s="39">
        <v>1448</v>
      </c>
      <c r="B1899" s="3" t="s">
        <v>8029</v>
      </c>
      <c r="C1899" s="49" t="s">
        <v>8030</v>
      </c>
      <c r="D1899" s="49"/>
      <c r="E1899" s="49"/>
      <c r="F1899" s="49"/>
      <c r="G1899" s="4" t="s">
        <v>8031</v>
      </c>
      <c r="H1899" s="8"/>
      <c r="I1899" s="9" t="s">
        <v>8032</v>
      </c>
      <c r="J1899" s="10"/>
      <c r="K1899" s="11">
        <v>30</v>
      </c>
      <c r="L1899" s="10"/>
      <c r="M1899" s="10" t="s">
        <v>78</v>
      </c>
      <c r="N1899" s="10"/>
      <c r="O1899" s="2">
        <v>10</v>
      </c>
      <c r="P1899" s="17">
        <f>79.58*(1-S3/100)</f>
        <v>79.58</v>
      </c>
      <c r="Q1899" s="18"/>
      <c r="R1899" s="10">
        <f>P1899*Q1899</f>
        <v>0</v>
      </c>
      <c r="S1899" s="19">
        <f>0.116*Q1899</f>
        <v>0</v>
      </c>
      <c r="T1899" s="20">
        <f>0.00014*Q1899</f>
        <v>0</v>
      </c>
      <c r="U1899" s="21"/>
      <c r="V1899" s="22" t="s">
        <v>8033</v>
      </c>
      <c r="W1899" s="22" t="s">
        <v>49</v>
      </c>
      <c r="X1899" s="3"/>
      <c r="Y1899" s="3"/>
      <c r="Z1899" s="3" t="s">
        <v>52</v>
      </c>
      <c r="AA1899" s="3"/>
      <c r="AB1899" s="3"/>
      <c r="AC1899" s="3" t="str">
        <f>HYPERLINK("https://knigipp.ru/api/getInfo/image/c5fb98d7-5226-11e9-a222-ac1f6b442184")</f>
        <v>https://knigipp.ru/api/getInfo/image/c5fb98d7-5226-11e9-a222-ac1f6b442184</v>
      </c>
      <c r="AD1899" s="32">
        <v>32</v>
      </c>
      <c r="AE1899" s="3"/>
      <c r="AF1899" s="3" t="s">
        <v>55</v>
      </c>
      <c r="AG1899" s="3"/>
      <c r="AH1899" s="3" t="s">
        <v>56</v>
      </c>
      <c r="AI1899" s="3"/>
      <c r="AJ1899" s="3"/>
      <c r="AK1899" s="3" t="str">
        <f>HYPERLINK("https://knigipp.ru/api/getInfo/item/c5fb98d7-5226-11e9-a222-ac1f6b442184")</f>
        <v>https://knigipp.ru/api/getInfo/item/c5fb98d7-5226-11e9-a222-ac1f6b442184</v>
      </c>
      <c r="AL1899" s="3" t="s">
        <v>4615</v>
      </c>
    </row>
    <row r="1900" spans="1:38" ht="23.1" customHeight="1" outlineLevel="3" x14ac:dyDescent="0.2">
      <c r="A1900" s="48" t="s">
        <v>8034</v>
      </c>
      <c r="B1900" s="48"/>
      <c r="C1900" s="48"/>
      <c r="D1900" s="48"/>
      <c r="E1900" s="48"/>
      <c r="F1900" s="48"/>
    </row>
    <row r="1901" spans="1:38" ht="21" customHeight="1" outlineLevel="4" x14ac:dyDescent="0.2">
      <c r="A1901" s="39">
        <v>1449</v>
      </c>
      <c r="B1901" s="3" t="s">
        <v>8035</v>
      </c>
      <c r="C1901" s="49" t="s">
        <v>8036</v>
      </c>
      <c r="D1901" s="49"/>
      <c r="E1901" s="49"/>
      <c r="F1901" s="49"/>
      <c r="G1901" s="4" t="s">
        <v>8037</v>
      </c>
      <c r="H1901" s="8"/>
      <c r="I1901" s="9" t="s">
        <v>8038</v>
      </c>
      <c r="J1901" s="10"/>
      <c r="K1901" s="11">
        <v>30</v>
      </c>
      <c r="L1901" s="10"/>
      <c r="M1901" s="10" t="s">
        <v>47</v>
      </c>
      <c r="N1901" s="10"/>
      <c r="O1901" s="2">
        <v>7</v>
      </c>
      <c r="P1901" s="17">
        <f>97*(1-S3/100)</f>
        <v>97</v>
      </c>
      <c r="Q1901" s="18"/>
      <c r="R1901" s="10">
        <f>P1901*Q1901</f>
        <v>0</v>
      </c>
      <c r="S1901" s="19">
        <f>0.115*Q1901</f>
        <v>0</v>
      </c>
      <c r="T1901" s="20">
        <f>0.00053*Q1901</f>
        <v>0</v>
      </c>
      <c r="U1901" s="21"/>
      <c r="V1901" s="22" t="s">
        <v>8039</v>
      </c>
      <c r="W1901" s="22" t="s">
        <v>49</v>
      </c>
      <c r="X1901" s="3"/>
      <c r="Y1901" s="3"/>
      <c r="Z1901" s="3" t="s">
        <v>52</v>
      </c>
      <c r="AA1901" s="3"/>
      <c r="AB1901" s="3"/>
      <c r="AC1901" s="3" t="str">
        <f>HYPERLINK("https://knigipp.ru/api/getInfo/image/530595b7-8b35-11ec-a211-ac1f6b442185")</f>
        <v>https://knigipp.ru/api/getInfo/image/530595b7-8b35-11ec-a211-ac1f6b442185</v>
      </c>
      <c r="AD1901" s="32">
        <v>16</v>
      </c>
      <c r="AE1901" s="3"/>
      <c r="AF1901" s="3" t="s">
        <v>136</v>
      </c>
      <c r="AG1901" s="3"/>
      <c r="AH1901" s="3" t="s">
        <v>56</v>
      </c>
      <c r="AI1901" s="3"/>
      <c r="AJ1901" s="3"/>
      <c r="AK1901" s="3" t="str">
        <f>HYPERLINK("https://knigipp.ru/api/getInfo/item/530595b7-8b35-11ec-a211-ac1f6b442185")</f>
        <v>https://knigipp.ru/api/getInfo/item/530595b7-8b35-11ec-a211-ac1f6b442185</v>
      </c>
      <c r="AL1901" s="3" t="s">
        <v>8040</v>
      </c>
    </row>
    <row r="1902" spans="1:38" ht="21" customHeight="1" outlineLevel="4" x14ac:dyDescent="0.2">
      <c r="A1902" s="39">
        <v>1450</v>
      </c>
      <c r="B1902" s="3" t="s">
        <v>8041</v>
      </c>
      <c r="C1902" s="49" t="s">
        <v>8042</v>
      </c>
      <c r="D1902" s="49"/>
      <c r="E1902" s="49"/>
      <c r="F1902" s="49"/>
      <c r="G1902" s="4" t="s">
        <v>8043</v>
      </c>
      <c r="H1902" s="8"/>
      <c r="I1902" s="9" t="s">
        <v>8038</v>
      </c>
      <c r="J1902" s="10"/>
      <c r="K1902" s="11">
        <v>30</v>
      </c>
      <c r="L1902" s="10"/>
      <c r="M1902" s="10" t="s">
        <v>47</v>
      </c>
      <c r="N1902" s="10"/>
      <c r="O1902" s="2">
        <v>7</v>
      </c>
      <c r="P1902" s="17">
        <f>97*(1-S3/100)</f>
        <v>97</v>
      </c>
      <c r="Q1902" s="18"/>
      <c r="R1902" s="10">
        <f>P1902*Q1902</f>
        <v>0</v>
      </c>
      <c r="S1902" s="19">
        <f>0.111*Q1902</f>
        <v>0</v>
      </c>
      <c r="T1902" s="20">
        <f>0.00039*Q1902</f>
        <v>0</v>
      </c>
      <c r="U1902" s="21"/>
      <c r="V1902" s="22" t="s">
        <v>8044</v>
      </c>
      <c r="W1902" s="22" t="s">
        <v>49</v>
      </c>
      <c r="X1902" s="3"/>
      <c r="Y1902" s="3"/>
      <c r="Z1902" s="3" t="s">
        <v>52</v>
      </c>
      <c r="AA1902" s="3"/>
      <c r="AB1902" s="3"/>
      <c r="AC1902" s="3" t="str">
        <f>HYPERLINK("https://knigipp.ru/api/getInfo/image/90dbaeaf-8b35-11ec-a211-ac1f6b442185")</f>
        <v>https://knigipp.ru/api/getInfo/image/90dbaeaf-8b35-11ec-a211-ac1f6b442185</v>
      </c>
      <c r="AD1902" s="32">
        <v>16</v>
      </c>
      <c r="AE1902" s="3"/>
      <c r="AF1902" s="3" t="s">
        <v>136</v>
      </c>
      <c r="AG1902" s="3"/>
      <c r="AH1902" s="3" t="s">
        <v>56</v>
      </c>
      <c r="AI1902" s="3"/>
      <c r="AJ1902" s="3"/>
      <c r="AK1902" s="3" t="str">
        <f>HYPERLINK("https://knigipp.ru/api/getInfo/item/90dbaeaf-8b35-11ec-a211-ac1f6b442185")</f>
        <v>https://knigipp.ru/api/getInfo/item/90dbaeaf-8b35-11ec-a211-ac1f6b442185</v>
      </c>
      <c r="AL1902" s="3" t="s">
        <v>8040</v>
      </c>
    </row>
    <row r="1903" spans="1:38" ht="21" customHeight="1" outlineLevel="4" x14ac:dyDescent="0.2">
      <c r="A1903" s="39">
        <v>1451</v>
      </c>
      <c r="B1903" s="3" t="s">
        <v>8045</v>
      </c>
      <c r="C1903" s="49" t="s">
        <v>8046</v>
      </c>
      <c r="D1903" s="49"/>
      <c r="E1903" s="49"/>
      <c r="F1903" s="49"/>
      <c r="G1903" s="4" t="s">
        <v>8047</v>
      </c>
      <c r="H1903" s="8"/>
      <c r="I1903" s="9" t="s">
        <v>8038</v>
      </c>
      <c r="J1903" s="10"/>
      <c r="K1903" s="11">
        <v>30</v>
      </c>
      <c r="L1903" s="10"/>
      <c r="M1903" s="10" t="s">
        <v>47</v>
      </c>
      <c r="N1903" s="10"/>
      <c r="O1903" s="2">
        <v>7</v>
      </c>
      <c r="P1903" s="17">
        <f>97*(1-S3/100)</f>
        <v>97</v>
      </c>
      <c r="Q1903" s="18"/>
      <c r="R1903" s="10">
        <f>P1903*Q1903</f>
        <v>0</v>
      </c>
      <c r="S1903" s="28">
        <f>0.11*Q1903</f>
        <v>0</v>
      </c>
      <c r="T1903" s="20">
        <f>0.00034*Q1903</f>
        <v>0</v>
      </c>
      <c r="U1903" s="21"/>
      <c r="V1903" s="22" t="s">
        <v>8048</v>
      </c>
      <c r="W1903" s="22" t="s">
        <v>49</v>
      </c>
      <c r="X1903" s="3"/>
      <c r="Y1903" s="3"/>
      <c r="Z1903" s="3" t="s">
        <v>52</v>
      </c>
      <c r="AA1903" s="3"/>
      <c r="AB1903" s="3"/>
      <c r="AC1903" s="3" t="str">
        <f>HYPERLINK("https://knigipp.ru/api/getInfo/image/b59ef2d4-8b35-11ec-a211-ac1f6b442185")</f>
        <v>https://knigipp.ru/api/getInfo/image/b59ef2d4-8b35-11ec-a211-ac1f6b442185</v>
      </c>
      <c r="AD1903" s="32">
        <v>16</v>
      </c>
      <c r="AE1903" s="3"/>
      <c r="AF1903" s="3" t="s">
        <v>136</v>
      </c>
      <c r="AG1903" s="3"/>
      <c r="AH1903" s="3" t="s">
        <v>56</v>
      </c>
      <c r="AI1903" s="3"/>
      <c r="AJ1903" s="3"/>
      <c r="AK1903" s="3" t="str">
        <f>HYPERLINK("https://knigipp.ru/api/getInfo/item/b59ef2d4-8b35-11ec-a211-ac1f6b442185")</f>
        <v>https://knigipp.ru/api/getInfo/item/b59ef2d4-8b35-11ec-a211-ac1f6b442185</v>
      </c>
      <c r="AL1903" s="3" t="s">
        <v>8040</v>
      </c>
    </row>
    <row r="1904" spans="1:38" ht="21" customHeight="1" outlineLevel="4" x14ac:dyDescent="0.2">
      <c r="A1904" s="39">
        <v>1452</v>
      </c>
      <c r="B1904" s="3" t="s">
        <v>8049</v>
      </c>
      <c r="C1904" s="49" t="s">
        <v>8050</v>
      </c>
      <c r="D1904" s="49"/>
      <c r="E1904" s="49"/>
      <c r="F1904" s="49"/>
      <c r="G1904" s="4" t="s">
        <v>8051</v>
      </c>
      <c r="H1904" s="8"/>
      <c r="I1904" s="9" t="s">
        <v>8038</v>
      </c>
      <c r="J1904" s="10"/>
      <c r="K1904" s="11">
        <v>30</v>
      </c>
      <c r="L1904" s="10"/>
      <c r="M1904" s="10" t="s">
        <v>47</v>
      </c>
      <c r="N1904" s="10"/>
      <c r="O1904" s="2">
        <v>7</v>
      </c>
      <c r="P1904" s="17">
        <f>97*(1-S3/100)</f>
        <v>97</v>
      </c>
      <c r="Q1904" s="18"/>
      <c r="R1904" s="10">
        <f>P1904*Q1904</f>
        <v>0</v>
      </c>
      <c r="S1904" s="19">
        <f>0.117*Q1904</f>
        <v>0</v>
      </c>
      <c r="T1904" s="20">
        <f>0.00056*Q1904</f>
        <v>0</v>
      </c>
      <c r="U1904" s="21"/>
      <c r="V1904" s="22" t="s">
        <v>8052</v>
      </c>
      <c r="W1904" s="22" t="s">
        <v>49</v>
      </c>
      <c r="X1904" s="3"/>
      <c r="Y1904" s="3"/>
      <c r="Z1904" s="3" t="s">
        <v>52</v>
      </c>
      <c r="AA1904" s="3"/>
      <c r="AB1904" s="3"/>
      <c r="AC1904" s="3" t="str">
        <f>HYPERLINK("https://knigipp.ru/api/getInfo/image/e7201788-8b35-11ec-a211-ac1f6b442185")</f>
        <v>https://knigipp.ru/api/getInfo/image/e7201788-8b35-11ec-a211-ac1f6b442185</v>
      </c>
      <c r="AD1904" s="32">
        <v>16</v>
      </c>
      <c r="AE1904" s="3"/>
      <c r="AF1904" s="3" t="s">
        <v>136</v>
      </c>
      <c r="AG1904" s="3"/>
      <c r="AH1904" s="3" t="s">
        <v>56</v>
      </c>
      <c r="AI1904" s="3"/>
      <c r="AJ1904" s="3"/>
      <c r="AK1904" s="3" t="str">
        <f>HYPERLINK("https://knigipp.ru/api/getInfo/item/e7201788-8b35-11ec-a211-ac1f6b442185")</f>
        <v>https://knigipp.ru/api/getInfo/item/e7201788-8b35-11ec-a211-ac1f6b442185</v>
      </c>
      <c r="AL1904" s="3" t="s">
        <v>8040</v>
      </c>
    </row>
    <row r="1905" spans="1:38" ht="23.1" customHeight="1" outlineLevel="3" x14ac:dyDescent="0.2">
      <c r="A1905" s="48" t="s">
        <v>8053</v>
      </c>
      <c r="B1905" s="48"/>
      <c r="C1905" s="48"/>
      <c r="D1905" s="48"/>
      <c r="E1905" s="48"/>
      <c r="F1905" s="48"/>
    </row>
    <row r="1906" spans="1:38" ht="21" customHeight="1" outlineLevel="4" x14ac:dyDescent="0.2">
      <c r="A1906" s="39">
        <v>1453</v>
      </c>
      <c r="B1906" s="3" t="s">
        <v>8054</v>
      </c>
      <c r="C1906" s="49" t="s">
        <v>8055</v>
      </c>
      <c r="D1906" s="49"/>
      <c r="E1906" s="49"/>
      <c r="F1906" s="49"/>
      <c r="G1906" s="4" t="s">
        <v>8056</v>
      </c>
      <c r="H1906" s="8"/>
      <c r="I1906" s="9" t="s">
        <v>8057</v>
      </c>
      <c r="J1906" s="10"/>
      <c r="K1906" s="11">
        <v>30</v>
      </c>
      <c r="L1906" s="10"/>
      <c r="M1906" s="10" t="s">
        <v>47</v>
      </c>
      <c r="N1906" s="10"/>
      <c r="O1906" s="2">
        <v>2</v>
      </c>
      <c r="P1906" s="17">
        <f>337*(1-S3/100)</f>
        <v>337</v>
      </c>
      <c r="Q1906" s="18"/>
      <c r="R1906" s="10">
        <f>P1906*Q1906</f>
        <v>0</v>
      </c>
      <c r="S1906" s="28">
        <f>0.11*Q1906</f>
        <v>0</v>
      </c>
      <c r="T1906" s="20">
        <f>0.00133*Q1906</f>
        <v>0</v>
      </c>
      <c r="U1906" s="21"/>
      <c r="V1906" s="22" t="s">
        <v>8058</v>
      </c>
      <c r="W1906" s="22" t="s">
        <v>49</v>
      </c>
      <c r="X1906" s="3"/>
      <c r="Y1906" s="3" t="s">
        <v>8059</v>
      </c>
      <c r="Z1906" s="3" t="s">
        <v>52</v>
      </c>
      <c r="AA1906" s="3"/>
      <c r="AB1906" s="3"/>
      <c r="AC1906" s="3" t="str">
        <f>HYPERLINK("https://knigipp.ru/api/getInfo/image/5cf82b32-edc1-11ee-a25b-00155d82e908")</f>
        <v>https://knigipp.ru/api/getInfo/image/5cf82b32-edc1-11ee-a25b-00155d82e908</v>
      </c>
      <c r="AD1906" s="32">
        <v>16</v>
      </c>
      <c r="AE1906" s="3" t="s">
        <v>54</v>
      </c>
      <c r="AF1906" s="3" t="s">
        <v>136</v>
      </c>
      <c r="AG1906" s="3"/>
      <c r="AH1906" s="3" t="s">
        <v>56</v>
      </c>
      <c r="AI1906" s="3"/>
      <c r="AJ1906" s="3"/>
      <c r="AK1906" s="3" t="str">
        <f>HYPERLINK("https://knigipp.ru/api/getInfo/item/5cf82b32-edc1-11ee-a25b-00155d82e908")</f>
        <v>https://knigipp.ru/api/getInfo/item/5cf82b32-edc1-11ee-a25b-00155d82e908</v>
      </c>
      <c r="AL1906" s="3" t="s">
        <v>8060</v>
      </c>
    </row>
    <row r="1907" spans="1:38" ht="21" customHeight="1" outlineLevel="4" x14ac:dyDescent="0.2">
      <c r="A1907" s="39">
        <v>1454</v>
      </c>
      <c r="B1907" s="3" t="s">
        <v>8061</v>
      </c>
      <c r="C1907" s="49" t="s">
        <v>8062</v>
      </c>
      <c r="D1907" s="49"/>
      <c r="E1907" s="49"/>
      <c r="F1907" s="49"/>
      <c r="G1907" s="4" t="s">
        <v>8063</v>
      </c>
      <c r="H1907" s="8"/>
      <c r="I1907" s="9" t="s">
        <v>8057</v>
      </c>
      <c r="J1907" s="10"/>
      <c r="K1907" s="11">
        <v>30</v>
      </c>
      <c r="L1907" s="10"/>
      <c r="M1907" s="10" t="s">
        <v>47</v>
      </c>
      <c r="N1907" s="10"/>
      <c r="O1907" s="2">
        <v>2</v>
      </c>
      <c r="P1907" s="17">
        <f>337*(1-S3/100)</f>
        <v>337</v>
      </c>
      <c r="Q1907" s="18"/>
      <c r="R1907" s="10">
        <f>P1907*Q1907</f>
        <v>0</v>
      </c>
      <c r="S1907" s="28">
        <f>0.11*Q1907</f>
        <v>0</v>
      </c>
      <c r="T1907" s="20">
        <f>0.00133*Q1907</f>
        <v>0</v>
      </c>
      <c r="U1907" s="21"/>
      <c r="V1907" s="22" t="s">
        <v>8064</v>
      </c>
      <c r="W1907" s="22" t="s">
        <v>49</v>
      </c>
      <c r="X1907" s="3"/>
      <c r="Y1907" s="3" t="s">
        <v>8065</v>
      </c>
      <c r="Z1907" s="3" t="s">
        <v>52</v>
      </c>
      <c r="AA1907" s="3"/>
      <c r="AB1907" s="3"/>
      <c r="AC1907" s="3" t="str">
        <f>HYPERLINK("https://knigipp.ru/api/getInfo/image/03df9c2e-edc2-11ee-a25b-00155d82e908")</f>
        <v>https://knigipp.ru/api/getInfo/image/03df9c2e-edc2-11ee-a25b-00155d82e908</v>
      </c>
      <c r="AD1907" s="32">
        <v>16</v>
      </c>
      <c r="AE1907" s="3" t="s">
        <v>54</v>
      </c>
      <c r="AF1907" s="3" t="s">
        <v>136</v>
      </c>
      <c r="AG1907" s="3"/>
      <c r="AH1907" s="3" t="s">
        <v>56</v>
      </c>
      <c r="AI1907" s="3"/>
      <c r="AJ1907" s="3"/>
      <c r="AK1907" s="3" t="str">
        <f>HYPERLINK("https://knigipp.ru/api/getInfo/item/03df9c2e-edc2-11ee-a25b-00155d82e908")</f>
        <v>https://knigipp.ru/api/getInfo/item/03df9c2e-edc2-11ee-a25b-00155d82e908</v>
      </c>
      <c r="AL1907" s="3" t="s">
        <v>8060</v>
      </c>
    </row>
    <row r="1908" spans="1:38" ht="21" customHeight="1" outlineLevel="4" x14ac:dyDescent="0.2">
      <c r="A1908" s="39">
        <v>1455</v>
      </c>
      <c r="B1908" s="3" t="s">
        <v>8066</v>
      </c>
      <c r="C1908" s="49" t="s">
        <v>8067</v>
      </c>
      <c r="D1908" s="49"/>
      <c r="E1908" s="49"/>
      <c r="F1908" s="49"/>
      <c r="G1908" s="4" t="s">
        <v>8068</v>
      </c>
      <c r="H1908" s="8"/>
      <c r="I1908" s="9" t="s">
        <v>8057</v>
      </c>
      <c r="J1908" s="10"/>
      <c r="K1908" s="11">
        <v>30</v>
      </c>
      <c r="L1908" s="10"/>
      <c r="M1908" s="10" t="s">
        <v>47</v>
      </c>
      <c r="N1908" s="10"/>
      <c r="O1908" s="2">
        <v>2</v>
      </c>
      <c r="P1908" s="17">
        <f>337*(1-S3/100)</f>
        <v>337</v>
      </c>
      <c r="Q1908" s="18"/>
      <c r="R1908" s="10">
        <f>P1908*Q1908</f>
        <v>0</v>
      </c>
      <c r="S1908" s="28">
        <f>0.11*Q1908</f>
        <v>0</v>
      </c>
      <c r="T1908" s="20">
        <f>0.00133*Q1908</f>
        <v>0</v>
      </c>
      <c r="U1908" s="21"/>
      <c r="V1908" s="22" t="s">
        <v>8069</v>
      </c>
      <c r="W1908" s="22" t="s">
        <v>49</v>
      </c>
      <c r="X1908" s="3"/>
      <c r="Y1908" s="3" t="s">
        <v>8070</v>
      </c>
      <c r="Z1908" s="3" t="s">
        <v>52</v>
      </c>
      <c r="AA1908" s="3"/>
      <c r="AB1908" s="3"/>
      <c r="AC1908" s="3" t="str">
        <f>HYPERLINK("https://knigipp.ru/api/getInfo/image/be788764-edc1-11ee-a25b-00155d82e908")</f>
        <v>https://knigipp.ru/api/getInfo/image/be788764-edc1-11ee-a25b-00155d82e908</v>
      </c>
      <c r="AD1908" s="32">
        <v>16</v>
      </c>
      <c r="AE1908" s="3" t="s">
        <v>54</v>
      </c>
      <c r="AF1908" s="3" t="s">
        <v>136</v>
      </c>
      <c r="AG1908" s="3"/>
      <c r="AH1908" s="3" t="s">
        <v>56</v>
      </c>
      <c r="AI1908" s="3"/>
      <c r="AJ1908" s="3"/>
      <c r="AK1908" s="3" t="str">
        <f>HYPERLINK("https://knigipp.ru/api/getInfo/item/be788764-edc1-11ee-a25b-00155d82e908")</f>
        <v>https://knigipp.ru/api/getInfo/item/be788764-edc1-11ee-a25b-00155d82e908</v>
      </c>
      <c r="AL1908" s="3" t="s">
        <v>8060</v>
      </c>
    </row>
    <row r="1909" spans="1:38" ht="21" customHeight="1" outlineLevel="4" x14ac:dyDescent="0.2">
      <c r="A1909" s="39">
        <v>1456</v>
      </c>
      <c r="B1909" s="3" t="s">
        <v>8071</v>
      </c>
      <c r="C1909" s="49" t="s">
        <v>8072</v>
      </c>
      <c r="D1909" s="49"/>
      <c r="E1909" s="49"/>
      <c r="F1909" s="49"/>
      <c r="G1909" s="4" t="s">
        <v>8073</v>
      </c>
      <c r="H1909" s="8"/>
      <c r="I1909" s="9" t="s">
        <v>8057</v>
      </c>
      <c r="J1909" s="10"/>
      <c r="K1909" s="11">
        <v>30</v>
      </c>
      <c r="L1909" s="10"/>
      <c r="M1909" s="10" t="s">
        <v>47</v>
      </c>
      <c r="N1909" s="10"/>
      <c r="O1909" s="2">
        <v>2</v>
      </c>
      <c r="P1909" s="17">
        <f>337*(1-S3/100)</f>
        <v>337</v>
      </c>
      <c r="Q1909" s="18"/>
      <c r="R1909" s="10">
        <f>P1909*Q1909</f>
        <v>0</v>
      </c>
      <c r="S1909" s="28">
        <f>0.11*Q1909</f>
        <v>0</v>
      </c>
      <c r="T1909" s="20">
        <f>0.00133*Q1909</f>
        <v>0</v>
      </c>
      <c r="U1909" s="21"/>
      <c r="V1909" s="22" t="s">
        <v>8074</v>
      </c>
      <c r="W1909" s="22" t="s">
        <v>49</v>
      </c>
      <c r="X1909" s="3"/>
      <c r="Y1909" s="3" t="s">
        <v>8075</v>
      </c>
      <c r="Z1909" s="3" t="s">
        <v>52</v>
      </c>
      <c r="AA1909" s="3"/>
      <c r="AB1909" s="3"/>
      <c r="AC1909" s="3" t="str">
        <f>HYPERLINK("https://knigipp.ru/api/getInfo/image/e97ac8e7-edc1-11ee-a25b-00155d82e908")</f>
        <v>https://knigipp.ru/api/getInfo/image/e97ac8e7-edc1-11ee-a25b-00155d82e908</v>
      </c>
      <c r="AD1909" s="32">
        <v>16</v>
      </c>
      <c r="AE1909" s="3" t="s">
        <v>54</v>
      </c>
      <c r="AF1909" s="3" t="s">
        <v>136</v>
      </c>
      <c r="AG1909" s="3"/>
      <c r="AH1909" s="3" t="s">
        <v>56</v>
      </c>
      <c r="AI1909" s="3"/>
      <c r="AJ1909" s="3"/>
      <c r="AK1909" s="3" t="str">
        <f>HYPERLINK("https://knigipp.ru/api/getInfo/item/e97ac8e7-edc1-11ee-a25b-00155d82e908")</f>
        <v>https://knigipp.ru/api/getInfo/item/e97ac8e7-edc1-11ee-a25b-00155d82e908</v>
      </c>
      <c r="AL1909" s="3" t="s">
        <v>8060</v>
      </c>
    </row>
    <row r="1910" spans="1:38" ht="23.1" customHeight="1" outlineLevel="3" x14ac:dyDescent="0.2">
      <c r="A1910" s="48" t="s">
        <v>8076</v>
      </c>
      <c r="B1910" s="48"/>
      <c r="C1910" s="48"/>
      <c r="D1910" s="48"/>
      <c r="E1910" s="48"/>
      <c r="F1910" s="48"/>
    </row>
    <row r="1911" spans="1:38" ht="21" customHeight="1" outlineLevel="4" x14ac:dyDescent="0.2">
      <c r="A1911" s="39">
        <v>1457</v>
      </c>
      <c r="B1911" s="3" t="s">
        <v>8077</v>
      </c>
      <c r="C1911" s="49" t="s">
        <v>8078</v>
      </c>
      <c r="D1911" s="49"/>
      <c r="E1911" s="49"/>
      <c r="F1911" s="49"/>
      <c r="G1911" s="4" t="s">
        <v>8079</v>
      </c>
      <c r="H1911" s="8"/>
      <c r="I1911" s="9" t="s">
        <v>8080</v>
      </c>
      <c r="J1911" s="10"/>
      <c r="K1911" s="11">
        <v>20</v>
      </c>
      <c r="L1911" s="10"/>
      <c r="M1911" s="10" t="s">
        <v>47</v>
      </c>
      <c r="N1911" s="10"/>
      <c r="O1911" s="2">
        <v>5</v>
      </c>
      <c r="P1911" s="17">
        <f>139*(1-S3/100)</f>
        <v>139</v>
      </c>
      <c r="Q1911" s="18"/>
      <c r="R1911" s="10">
        <f t="shared" ref="R1911:R1918" si="80">P1911*Q1911</f>
        <v>0</v>
      </c>
      <c r="S1911" s="28">
        <f>0.08*Q1911</f>
        <v>0</v>
      </c>
      <c r="T1911" s="20">
        <f>0.00055*Q1911</f>
        <v>0</v>
      </c>
      <c r="U1911" s="21"/>
      <c r="V1911" s="22" t="s">
        <v>8081</v>
      </c>
      <c r="W1911" s="22" t="s">
        <v>49</v>
      </c>
      <c r="X1911" s="3"/>
      <c r="Y1911" s="3" t="s">
        <v>8082</v>
      </c>
      <c r="Z1911" s="3" t="s">
        <v>384</v>
      </c>
      <c r="AA1911" s="3"/>
      <c r="AB1911" s="3"/>
      <c r="AC1911" s="3" t="str">
        <f>HYPERLINK("https://knigipp.ru/api/getInfo/image/6635a9b4-f3da-11ed-a237-00155d82e902")</f>
        <v>https://knigipp.ru/api/getInfo/image/6635a9b4-f3da-11ed-a237-00155d82e902</v>
      </c>
      <c r="AD1911" s="32">
        <v>16</v>
      </c>
      <c r="AE1911" s="3" t="s">
        <v>54</v>
      </c>
      <c r="AF1911" s="3" t="s">
        <v>136</v>
      </c>
      <c r="AG1911" s="3"/>
      <c r="AH1911" s="3" t="s">
        <v>56</v>
      </c>
      <c r="AI1911" s="3"/>
      <c r="AJ1911" s="3"/>
      <c r="AK1911" s="3" t="str">
        <f>HYPERLINK("https://knigipp.ru/api/getInfo/item/6635a9b4-f3da-11ed-a237-00155d82e902")</f>
        <v>https://knigipp.ru/api/getInfo/item/6635a9b4-f3da-11ed-a237-00155d82e902</v>
      </c>
      <c r="AL1911" s="3" t="s">
        <v>8083</v>
      </c>
    </row>
    <row r="1912" spans="1:38" ht="21" customHeight="1" outlineLevel="4" x14ac:dyDescent="0.2">
      <c r="A1912" s="39">
        <v>1458</v>
      </c>
      <c r="B1912" s="3" t="s">
        <v>8084</v>
      </c>
      <c r="C1912" s="49" t="s">
        <v>8085</v>
      </c>
      <c r="D1912" s="49"/>
      <c r="E1912" s="49"/>
      <c r="F1912" s="49"/>
      <c r="G1912" s="4" t="s">
        <v>8086</v>
      </c>
      <c r="H1912" s="8"/>
      <c r="I1912" s="9" t="s">
        <v>8087</v>
      </c>
      <c r="J1912" s="10"/>
      <c r="K1912" s="11">
        <v>20</v>
      </c>
      <c r="L1912" s="10"/>
      <c r="M1912" s="10" t="s">
        <v>47</v>
      </c>
      <c r="N1912" s="10"/>
      <c r="O1912" s="2">
        <v>5</v>
      </c>
      <c r="P1912" s="17">
        <f>139*(1-S3/100)</f>
        <v>139</v>
      </c>
      <c r="Q1912" s="18"/>
      <c r="R1912" s="10">
        <f t="shared" si="80"/>
        <v>0</v>
      </c>
      <c r="S1912" s="19">
        <f>0.075*Q1912</f>
        <v>0</v>
      </c>
      <c r="T1912" s="20">
        <f>0.00087*Q1912</f>
        <v>0</v>
      </c>
      <c r="U1912" s="21"/>
      <c r="V1912" s="22" t="s">
        <v>8088</v>
      </c>
      <c r="W1912" s="22" t="s">
        <v>49</v>
      </c>
      <c r="X1912" s="3"/>
      <c r="Y1912" s="3" t="s">
        <v>8089</v>
      </c>
      <c r="Z1912" s="3" t="s">
        <v>384</v>
      </c>
      <c r="AA1912" s="3"/>
      <c r="AB1912" s="3"/>
      <c r="AC1912" s="3" t="str">
        <f>HYPERLINK("https://knigipp.ru/api/getInfo/image/a29edcfd-5139-11ed-a21d-ac1f6b442185")</f>
        <v>https://knigipp.ru/api/getInfo/image/a29edcfd-5139-11ed-a21d-ac1f6b442185</v>
      </c>
      <c r="AD1912" s="32">
        <v>16</v>
      </c>
      <c r="AE1912" s="3" t="s">
        <v>54</v>
      </c>
      <c r="AF1912" s="3" t="s">
        <v>136</v>
      </c>
      <c r="AG1912" s="3"/>
      <c r="AH1912" s="3" t="s">
        <v>56</v>
      </c>
      <c r="AI1912" s="3"/>
      <c r="AJ1912" s="3"/>
      <c r="AK1912" s="3" t="str">
        <f>HYPERLINK("https://knigipp.ru/api/getInfo/item/a29edcfd-5139-11ed-a21d-ac1f6b442185")</f>
        <v>https://knigipp.ru/api/getInfo/item/a29edcfd-5139-11ed-a21d-ac1f6b442185</v>
      </c>
      <c r="AL1912" s="3" t="s">
        <v>8083</v>
      </c>
    </row>
    <row r="1913" spans="1:38" ht="21" customHeight="1" outlineLevel="4" x14ac:dyDescent="0.2">
      <c r="A1913" s="39">
        <v>1459</v>
      </c>
      <c r="B1913" s="3" t="s">
        <v>8090</v>
      </c>
      <c r="C1913" s="49" t="s">
        <v>8091</v>
      </c>
      <c r="D1913" s="49"/>
      <c r="E1913" s="49"/>
      <c r="F1913" s="49"/>
      <c r="G1913" s="4" t="s">
        <v>8092</v>
      </c>
      <c r="H1913" s="8"/>
      <c r="I1913" s="9" t="s">
        <v>8087</v>
      </c>
      <c r="J1913" s="10"/>
      <c r="K1913" s="11">
        <v>20</v>
      </c>
      <c r="L1913" s="10"/>
      <c r="M1913" s="10" t="s">
        <v>47</v>
      </c>
      <c r="N1913" s="10"/>
      <c r="O1913" s="2">
        <v>5</v>
      </c>
      <c r="P1913" s="17">
        <f>139*(1-S3/100)</f>
        <v>139</v>
      </c>
      <c r="Q1913" s="18"/>
      <c r="R1913" s="10">
        <f t="shared" si="80"/>
        <v>0</v>
      </c>
      <c r="S1913" s="19">
        <f>0.075*Q1913</f>
        <v>0</v>
      </c>
      <c r="T1913" s="30">
        <f>0.0023*Q1913</f>
        <v>0</v>
      </c>
      <c r="U1913" s="21"/>
      <c r="V1913" s="22" t="s">
        <v>8093</v>
      </c>
      <c r="W1913" s="22" t="s">
        <v>49</v>
      </c>
      <c r="X1913" s="3"/>
      <c r="Y1913" s="3" t="s">
        <v>8094</v>
      </c>
      <c r="Z1913" s="3" t="s">
        <v>52</v>
      </c>
      <c r="AA1913" s="3"/>
      <c r="AB1913" s="3"/>
      <c r="AC1913" s="3" t="str">
        <f>HYPERLINK("https://knigipp.ru/api/getInfo/image/c94260d1-5139-11ed-a21d-ac1f6b442185")</f>
        <v>https://knigipp.ru/api/getInfo/image/c94260d1-5139-11ed-a21d-ac1f6b442185</v>
      </c>
      <c r="AD1913" s="32">
        <v>16</v>
      </c>
      <c r="AE1913" s="3" t="s">
        <v>54</v>
      </c>
      <c r="AF1913" s="3" t="s">
        <v>136</v>
      </c>
      <c r="AG1913" s="3"/>
      <c r="AH1913" s="3" t="s">
        <v>56</v>
      </c>
      <c r="AI1913" s="3"/>
      <c r="AJ1913" s="3"/>
      <c r="AK1913" s="3" t="str">
        <f>HYPERLINK("https://knigipp.ru/api/getInfo/item/c94260d1-5139-11ed-a21d-ac1f6b442185")</f>
        <v>https://knigipp.ru/api/getInfo/item/c94260d1-5139-11ed-a21d-ac1f6b442185</v>
      </c>
      <c r="AL1913" s="3" t="s">
        <v>8083</v>
      </c>
    </row>
    <row r="1914" spans="1:38" ht="21" customHeight="1" outlineLevel="4" x14ac:dyDescent="0.2">
      <c r="A1914" s="39">
        <v>1460</v>
      </c>
      <c r="B1914" s="3" t="s">
        <v>8095</v>
      </c>
      <c r="C1914" s="49" t="s">
        <v>8096</v>
      </c>
      <c r="D1914" s="49"/>
      <c r="E1914" s="49"/>
      <c r="F1914" s="49"/>
      <c r="G1914" s="4" t="s">
        <v>8097</v>
      </c>
      <c r="H1914" s="8"/>
      <c r="I1914" s="9" t="s">
        <v>8087</v>
      </c>
      <c r="J1914" s="10"/>
      <c r="K1914" s="11">
        <v>20</v>
      </c>
      <c r="L1914" s="10"/>
      <c r="M1914" s="10" t="s">
        <v>47</v>
      </c>
      <c r="N1914" s="10"/>
      <c r="O1914" s="2">
        <v>5</v>
      </c>
      <c r="P1914" s="17">
        <f>139*(1-S3/100)</f>
        <v>139</v>
      </c>
      <c r="Q1914" s="18"/>
      <c r="R1914" s="10">
        <f t="shared" si="80"/>
        <v>0</v>
      </c>
      <c r="S1914" s="19">
        <f>0.072*Q1914</f>
        <v>0</v>
      </c>
      <c r="T1914" s="20">
        <f>0.00056*Q1914</f>
        <v>0</v>
      </c>
      <c r="U1914" s="21"/>
      <c r="V1914" s="22" t="s">
        <v>8098</v>
      </c>
      <c r="W1914" s="22" t="s">
        <v>49</v>
      </c>
      <c r="X1914" s="3"/>
      <c r="Y1914" s="3" t="s">
        <v>8099</v>
      </c>
      <c r="Z1914" s="3" t="s">
        <v>384</v>
      </c>
      <c r="AA1914" s="3"/>
      <c r="AB1914" s="3"/>
      <c r="AC1914" s="3" t="str">
        <f>HYPERLINK("https://knigipp.ru/api/getInfo/image/bb19a865-f3da-11ed-a237-00155d82e902")</f>
        <v>https://knigipp.ru/api/getInfo/image/bb19a865-f3da-11ed-a237-00155d82e902</v>
      </c>
      <c r="AD1914" s="32">
        <v>16</v>
      </c>
      <c r="AE1914" s="3" t="s">
        <v>54</v>
      </c>
      <c r="AF1914" s="3" t="s">
        <v>136</v>
      </c>
      <c r="AG1914" s="3"/>
      <c r="AH1914" s="3" t="s">
        <v>56</v>
      </c>
      <c r="AI1914" s="3"/>
      <c r="AJ1914" s="3"/>
      <c r="AK1914" s="3" t="str">
        <f>HYPERLINK("https://knigipp.ru/api/getInfo/item/bb19a865-f3da-11ed-a237-00155d82e902")</f>
        <v>https://knigipp.ru/api/getInfo/item/bb19a865-f3da-11ed-a237-00155d82e902</v>
      </c>
      <c r="AL1914" s="3" t="s">
        <v>8083</v>
      </c>
    </row>
    <row r="1915" spans="1:38" ht="21" customHeight="1" outlineLevel="4" x14ac:dyDescent="0.2">
      <c r="A1915" s="39">
        <v>1461</v>
      </c>
      <c r="B1915" s="3" t="s">
        <v>8100</v>
      </c>
      <c r="C1915" s="49" t="s">
        <v>8101</v>
      </c>
      <c r="D1915" s="49"/>
      <c r="E1915" s="49"/>
      <c r="F1915" s="49"/>
      <c r="G1915" s="4" t="s">
        <v>8102</v>
      </c>
      <c r="H1915" s="8"/>
      <c r="I1915" s="9" t="s">
        <v>8087</v>
      </c>
      <c r="J1915" s="10"/>
      <c r="K1915" s="11">
        <v>20</v>
      </c>
      <c r="L1915" s="10"/>
      <c r="M1915" s="10" t="s">
        <v>47</v>
      </c>
      <c r="N1915" s="10"/>
      <c r="O1915" s="2">
        <v>5</v>
      </c>
      <c r="P1915" s="17">
        <f>139*(1-S3/100)</f>
        <v>139</v>
      </c>
      <c r="Q1915" s="18"/>
      <c r="R1915" s="10">
        <f t="shared" si="80"/>
        <v>0</v>
      </c>
      <c r="S1915" s="19">
        <f>0.074*Q1915</f>
        <v>0</v>
      </c>
      <c r="T1915" s="20">
        <f>0.00081*Q1915</f>
        <v>0</v>
      </c>
      <c r="U1915" s="21"/>
      <c r="V1915" s="22" t="s">
        <v>8103</v>
      </c>
      <c r="W1915" s="22" t="s">
        <v>49</v>
      </c>
      <c r="X1915" s="3"/>
      <c r="Y1915" s="3" t="s">
        <v>8104</v>
      </c>
      <c r="Z1915" s="3" t="s">
        <v>384</v>
      </c>
      <c r="AA1915" s="3"/>
      <c r="AB1915" s="3"/>
      <c r="AC1915" s="3" t="str">
        <f>HYPERLINK("https://knigipp.ru/api/getInfo/image/46989f53-5139-11ed-a21d-ac1f6b442185")</f>
        <v>https://knigipp.ru/api/getInfo/image/46989f53-5139-11ed-a21d-ac1f6b442185</v>
      </c>
      <c r="AD1915" s="32">
        <v>16</v>
      </c>
      <c r="AE1915" s="3" t="s">
        <v>54</v>
      </c>
      <c r="AF1915" s="3" t="s">
        <v>136</v>
      </c>
      <c r="AG1915" s="3"/>
      <c r="AH1915" s="3" t="s">
        <v>56</v>
      </c>
      <c r="AI1915" s="3"/>
      <c r="AJ1915" s="3"/>
      <c r="AK1915" s="3" t="str">
        <f>HYPERLINK("https://knigipp.ru/api/getInfo/item/46989f53-5139-11ed-a21d-ac1f6b442185")</f>
        <v>https://knigipp.ru/api/getInfo/item/46989f53-5139-11ed-a21d-ac1f6b442185</v>
      </c>
      <c r="AL1915" s="3" t="s">
        <v>8083</v>
      </c>
    </row>
    <row r="1916" spans="1:38" ht="21" customHeight="1" outlineLevel="4" x14ac:dyDescent="0.2">
      <c r="A1916" s="39">
        <v>1462</v>
      </c>
      <c r="B1916" s="3" t="s">
        <v>8105</v>
      </c>
      <c r="C1916" s="49" t="s">
        <v>8106</v>
      </c>
      <c r="D1916" s="49"/>
      <c r="E1916" s="49"/>
      <c r="F1916" s="49"/>
      <c r="G1916" s="4" t="s">
        <v>8107</v>
      </c>
      <c r="H1916" s="8"/>
      <c r="I1916" s="9" t="s">
        <v>8080</v>
      </c>
      <c r="J1916" s="10"/>
      <c r="K1916" s="11">
        <v>20</v>
      </c>
      <c r="L1916" s="10"/>
      <c r="M1916" s="10" t="s">
        <v>47</v>
      </c>
      <c r="N1916" s="10"/>
      <c r="O1916" s="2">
        <v>5</v>
      </c>
      <c r="P1916" s="17">
        <f>139*(1-S3/100)</f>
        <v>139</v>
      </c>
      <c r="Q1916" s="18"/>
      <c r="R1916" s="10">
        <f t="shared" si="80"/>
        <v>0</v>
      </c>
      <c r="S1916" s="28">
        <f>0.08*Q1916</f>
        <v>0</v>
      </c>
      <c r="T1916" s="20">
        <f>0.00016*Q1916</f>
        <v>0</v>
      </c>
      <c r="U1916" s="21"/>
      <c r="V1916" s="22" t="s">
        <v>8108</v>
      </c>
      <c r="W1916" s="22" t="s">
        <v>49</v>
      </c>
      <c r="X1916" s="3"/>
      <c r="Y1916" s="3" t="s">
        <v>8109</v>
      </c>
      <c r="Z1916" s="3" t="s">
        <v>384</v>
      </c>
      <c r="AA1916" s="3"/>
      <c r="AB1916" s="3"/>
      <c r="AC1916" s="3" t="str">
        <f>HYPERLINK("https://knigipp.ru/api/getInfo/image/da4a5840-f3da-11ed-a237-00155d82e902")</f>
        <v>https://knigipp.ru/api/getInfo/image/da4a5840-f3da-11ed-a237-00155d82e902</v>
      </c>
      <c r="AD1916" s="32">
        <v>16</v>
      </c>
      <c r="AE1916" s="3" t="s">
        <v>54</v>
      </c>
      <c r="AF1916" s="3" t="s">
        <v>136</v>
      </c>
      <c r="AG1916" s="3"/>
      <c r="AH1916" s="3" t="s">
        <v>56</v>
      </c>
      <c r="AI1916" s="3"/>
      <c r="AJ1916" s="3"/>
      <c r="AK1916" s="3" t="str">
        <f>HYPERLINK("https://knigipp.ru/api/getInfo/item/da4a5840-f3da-11ed-a237-00155d82e902")</f>
        <v>https://knigipp.ru/api/getInfo/item/da4a5840-f3da-11ed-a237-00155d82e902</v>
      </c>
      <c r="AL1916" s="3" t="s">
        <v>8083</v>
      </c>
    </row>
    <row r="1917" spans="1:38" ht="21" customHeight="1" outlineLevel="4" x14ac:dyDescent="0.2">
      <c r="A1917" s="39">
        <v>1463</v>
      </c>
      <c r="B1917" s="3" t="s">
        <v>8110</v>
      </c>
      <c r="C1917" s="49" t="s">
        <v>8111</v>
      </c>
      <c r="D1917" s="49"/>
      <c r="E1917" s="49"/>
      <c r="F1917" s="49"/>
      <c r="G1917" s="4" t="s">
        <v>8112</v>
      </c>
      <c r="H1917" s="8"/>
      <c r="I1917" s="9" t="s">
        <v>8080</v>
      </c>
      <c r="J1917" s="10"/>
      <c r="K1917" s="11">
        <v>20</v>
      </c>
      <c r="L1917" s="10"/>
      <c r="M1917" s="10" t="s">
        <v>47</v>
      </c>
      <c r="N1917" s="10"/>
      <c r="O1917" s="2">
        <v>5</v>
      </c>
      <c r="P1917" s="17">
        <f>139*(1-S3/100)</f>
        <v>139</v>
      </c>
      <c r="Q1917" s="18"/>
      <c r="R1917" s="10">
        <f t="shared" si="80"/>
        <v>0</v>
      </c>
      <c r="S1917" s="28">
        <f>0.07*Q1917</f>
        <v>0</v>
      </c>
      <c r="T1917" s="30">
        <f>0.0014*Q1917</f>
        <v>0</v>
      </c>
      <c r="U1917" s="21"/>
      <c r="V1917" s="22" t="s">
        <v>8113</v>
      </c>
      <c r="W1917" s="22" t="s">
        <v>49</v>
      </c>
      <c r="X1917" s="3"/>
      <c r="Y1917" s="3" t="s">
        <v>8114</v>
      </c>
      <c r="Z1917" s="3" t="s">
        <v>384</v>
      </c>
      <c r="AA1917" s="3"/>
      <c r="AB1917" s="3"/>
      <c r="AC1917" s="3" t="str">
        <f>HYPERLINK("https://knigipp.ru/api/getInfo/image/06d85d3f-f3db-11ed-a237-00155d82e902")</f>
        <v>https://knigipp.ru/api/getInfo/image/06d85d3f-f3db-11ed-a237-00155d82e902</v>
      </c>
      <c r="AD1917" s="32">
        <v>16</v>
      </c>
      <c r="AE1917" s="3" t="s">
        <v>54</v>
      </c>
      <c r="AF1917" s="3" t="s">
        <v>136</v>
      </c>
      <c r="AG1917" s="3"/>
      <c r="AH1917" s="3" t="s">
        <v>56</v>
      </c>
      <c r="AI1917" s="3"/>
      <c r="AJ1917" s="3"/>
      <c r="AK1917" s="3" t="str">
        <f>HYPERLINK("https://knigipp.ru/api/getInfo/item/06d85d3f-f3db-11ed-a237-00155d82e902")</f>
        <v>https://knigipp.ru/api/getInfo/item/06d85d3f-f3db-11ed-a237-00155d82e902</v>
      </c>
      <c r="AL1917" s="3" t="s">
        <v>8083</v>
      </c>
    </row>
    <row r="1918" spans="1:38" ht="21" customHeight="1" outlineLevel="4" x14ac:dyDescent="0.2">
      <c r="A1918" s="39">
        <v>1464</v>
      </c>
      <c r="B1918" s="3" t="s">
        <v>8115</v>
      </c>
      <c r="C1918" s="49" t="s">
        <v>8116</v>
      </c>
      <c r="D1918" s="49"/>
      <c r="E1918" s="49"/>
      <c r="F1918" s="49"/>
      <c r="G1918" s="4" t="s">
        <v>8117</v>
      </c>
      <c r="H1918" s="8"/>
      <c r="I1918" s="9" t="s">
        <v>8087</v>
      </c>
      <c r="J1918" s="10"/>
      <c r="K1918" s="11">
        <v>20</v>
      </c>
      <c r="L1918" s="10"/>
      <c r="M1918" s="10" t="s">
        <v>47</v>
      </c>
      <c r="N1918" s="10"/>
      <c r="O1918" s="2">
        <v>5</v>
      </c>
      <c r="P1918" s="17">
        <f>139*(1-S3/100)</f>
        <v>139</v>
      </c>
      <c r="Q1918" s="18"/>
      <c r="R1918" s="10">
        <f t="shared" si="80"/>
        <v>0</v>
      </c>
      <c r="S1918" s="28">
        <f>0.07*Q1918</f>
        <v>0</v>
      </c>
      <c r="T1918" s="20">
        <f>0.00108*Q1918</f>
        <v>0</v>
      </c>
      <c r="U1918" s="21"/>
      <c r="V1918" s="22" t="s">
        <v>8118</v>
      </c>
      <c r="W1918" s="22" t="s">
        <v>49</v>
      </c>
      <c r="X1918" s="3"/>
      <c r="Y1918" s="3" t="s">
        <v>8119</v>
      </c>
      <c r="Z1918" s="3" t="s">
        <v>384</v>
      </c>
      <c r="AA1918" s="3"/>
      <c r="AB1918" s="3"/>
      <c r="AC1918" s="3" t="str">
        <f>HYPERLINK("https://knigipp.ru/api/getInfo/image/2126041f-5139-11ed-a21d-ac1f6b442185")</f>
        <v>https://knigipp.ru/api/getInfo/image/2126041f-5139-11ed-a21d-ac1f6b442185</v>
      </c>
      <c r="AD1918" s="32">
        <v>16</v>
      </c>
      <c r="AE1918" s="3" t="s">
        <v>54</v>
      </c>
      <c r="AF1918" s="3" t="s">
        <v>136</v>
      </c>
      <c r="AG1918" s="3"/>
      <c r="AH1918" s="3" t="s">
        <v>56</v>
      </c>
      <c r="AI1918" s="3"/>
      <c r="AJ1918" s="3"/>
      <c r="AK1918" s="3" t="str">
        <f>HYPERLINK("https://knigipp.ru/api/getInfo/item/2126041f-5139-11ed-a21d-ac1f6b442185")</f>
        <v>https://knigipp.ru/api/getInfo/item/2126041f-5139-11ed-a21d-ac1f6b442185</v>
      </c>
      <c r="AL1918" s="3" t="s">
        <v>8083</v>
      </c>
    </row>
    <row r="1919" spans="1:38" ht="23.1" customHeight="1" outlineLevel="3" x14ac:dyDescent="0.2">
      <c r="A1919" s="48" t="s">
        <v>8120</v>
      </c>
      <c r="B1919" s="48"/>
      <c r="C1919" s="48"/>
      <c r="D1919" s="48"/>
      <c r="E1919" s="48"/>
      <c r="F1919" s="48"/>
    </row>
    <row r="1920" spans="1:38" ht="21" customHeight="1" outlineLevel="4" x14ac:dyDescent="0.2">
      <c r="A1920" s="39">
        <v>1465</v>
      </c>
      <c r="B1920" s="3" t="s">
        <v>8121</v>
      </c>
      <c r="C1920" s="49" t="s">
        <v>8122</v>
      </c>
      <c r="D1920" s="49"/>
      <c r="E1920" s="49"/>
      <c r="F1920" s="49"/>
      <c r="G1920" s="4" t="s">
        <v>8123</v>
      </c>
      <c r="H1920" s="8"/>
      <c r="I1920" s="9" t="s">
        <v>8124</v>
      </c>
      <c r="J1920" s="10"/>
      <c r="K1920" s="11">
        <v>30</v>
      </c>
      <c r="L1920" s="10"/>
      <c r="M1920" s="10" t="s">
        <v>47</v>
      </c>
      <c r="N1920" s="10"/>
      <c r="O1920" s="2">
        <v>8</v>
      </c>
      <c r="P1920" s="17">
        <f>75.15*(1-S3/100)</f>
        <v>75.150000000000006</v>
      </c>
      <c r="Q1920" s="18"/>
      <c r="R1920" s="10">
        <f t="shared" ref="R1920:R1925" si="81">P1920*Q1920</f>
        <v>0</v>
      </c>
      <c r="S1920" s="19">
        <f>0.079*Q1920</f>
        <v>0</v>
      </c>
      <c r="T1920" s="20">
        <f>0.00007*Q1920</f>
        <v>0</v>
      </c>
      <c r="U1920" s="21"/>
      <c r="V1920" s="22" t="s">
        <v>8125</v>
      </c>
      <c r="W1920" s="22" t="s">
        <v>49</v>
      </c>
      <c r="X1920" s="3"/>
      <c r="Y1920" s="3" t="s">
        <v>8126</v>
      </c>
      <c r="Z1920" s="3" t="s">
        <v>52</v>
      </c>
      <c r="AA1920" s="3"/>
      <c r="AB1920" s="3"/>
      <c r="AC1920" s="3" t="str">
        <f>HYPERLINK("https://knigipp.ru/api/getInfo/image/c34ec2b7-6705-11ec-a20f-ac1f6b442185")</f>
        <v>https://knigipp.ru/api/getInfo/image/c34ec2b7-6705-11ec-a20f-ac1f6b442185</v>
      </c>
      <c r="AD1920" s="32">
        <v>16</v>
      </c>
      <c r="AE1920" s="3"/>
      <c r="AF1920" s="3" t="s">
        <v>136</v>
      </c>
      <c r="AG1920" s="3"/>
      <c r="AH1920" s="3" t="s">
        <v>56</v>
      </c>
      <c r="AI1920" s="3"/>
      <c r="AJ1920" s="3"/>
      <c r="AK1920" s="3" t="str">
        <f>HYPERLINK("https://knigipp.ru/api/getInfo/item/c34ec2b7-6705-11ec-a20f-ac1f6b442185")</f>
        <v>https://knigipp.ru/api/getInfo/item/c34ec2b7-6705-11ec-a20f-ac1f6b442185</v>
      </c>
      <c r="AL1920" s="3" t="s">
        <v>8127</v>
      </c>
    </row>
    <row r="1921" spans="1:38" ht="21" customHeight="1" outlineLevel="4" x14ac:dyDescent="0.2">
      <c r="A1921" s="39">
        <v>1466</v>
      </c>
      <c r="B1921" s="3" t="s">
        <v>8128</v>
      </c>
      <c r="C1921" s="49" t="s">
        <v>8129</v>
      </c>
      <c r="D1921" s="49"/>
      <c r="E1921" s="49"/>
      <c r="F1921" s="49"/>
      <c r="G1921" s="4" t="s">
        <v>8130</v>
      </c>
      <c r="H1921" s="8"/>
      <c r="I1921" s="9" t="s">
        <v>8131</v>
      </c>
      <c r="J1921" s="10"/>
      <c r="K1921" s="11">
        <v>30</v>
      </c>
      <c r="L1921" s="10"/>
      <c r="M1921" s="10" t="s">
        <v>47</v>
      </c>
      <c r="N1921" s="10"/>
      <c r="O1921" s="2">
        <v>8</v>
      </c>
      <c r="P1921" s="17">
        <f>75.15*(1-S3/100)</f>
        <v>75.150000000000006</v>
      </c>
      <c r="Q1921" s="18"/>
      <c r="R1921" s="10">
        <f t="shared" si="81"/>
        <v>0</v>
      </c>
      <c r="S1921" s="19">
        <f>0.078*Q1921</f>
        <v>0</v>
      </c>
      <c r="T1921" s="20">
        <f>0.00017*Q1921</f>
        <v>0</v>
      </c>
      <c r="U1921" s="21"/>
      <c r="V1921" s="22" t="s">
        <v>8132</v>
      </c>
      <c r="W1921" s="22" t="s">
        <v>49</v>
      </c>
      <c r="X1921" s="3"/>
      <c r="Y1921" s="3" t="s">
        <v>8126</v>
      </c>
      <c r="Z1921" s="3" t="s">
        <v>52</v>
      </c>
      <c r="AA1921" s="3"/>
      <c r="AB1921" s="3"/>
      <c r="AC1921" s="3" t="str">
        <f>HYPERLINK("https://knigipp.ru/api/getInfo/image/5ec5b5a6-85e1-11ed-a22a-00155d82e902")</f>
        <v>https://knigipp.ru/api/getInfo/image/5ec5b5a6-85e1-11ed-a22a-00155d82e902</v>
      </c>
      <c r="AD1921" s="32">
        <v>16</v>
      </c>
      <c r="AE1921" s="3" t="s">
        <v>54</v>
      </c>
      <c r="AF1921" s="3" t="s">
        <v>136</v>
      </c>
      <c r="AG1921" s="3"/>
      <c r="AH1921" s="3" t="s">
        <v>56</v>
      </c>
      <c r="AI1921" s="3"/>
      <c r="AJ1921" s="3"/>
      <c r="AK1921" s="3" t="str">
        <f>HYPERLINK("https://knigipp.ru/api/getInfo/item/5ec5b5a6-85e1-11ed-a22a-00155d82e902")</f>
        <v>https://knigipp.ru/api/getInfo/item/5ec5b5a6-85e1-11ed-a22a-00155d82e902</v>
      </c>
      <c r="AL1921" s="3" t="s">
        <v>8127</v>
      </c>
    </row>
    <row r="1922" spans="1:38" ht="21" customHeight="1" outlineLevel="4" x14ac:dyDescent="0.2">
      <c r="A1922" s="39">
        <v>1467</v>
      </c>
      <c r="B1922" s="3" t="s">
        <v>8133</v>
      </c>
      <c r="C1922" s="49" t="s">
        <v>8134</v>
      </c>
      <c r="D1922" s="49"/>
      <c r="E1922" s="49"/>
      <c r="F1922" s="49"/>
      <c r="G1922" s="4" t="s">
        <v>8135</v>
      </c>
      <c r="H1922" s="8"/>
      <c r="I1922" s="9" t="s">
        <v>8131</v>
      </c>
      <c r="J1922" s="10"/>
      <c r="K1922" s="11">
        <v>30</v>
      </c>
      <c r="L1922" s="10"/>
      <c r="M1922" s="10" t="s">
        <v>47</v>
      </c>
      <c r="N1922" s="10"/>
      <c r="O1922" s="2">
        <v>8</v>
      </c>
      <c r="P1922" s="17">
        <f>75.15*(1-S3/100)</f>
        <v>75.150000000000006</v>
      </c>
      <c r="Q1922" s="18"/>
      <c r="R1922" s="10">
        <f t="shared" si="81"/>
        <v>0</v>
      </c>
      <c r="S1922" s="19">
        <f>0.084*Q1922</f>
        <v>0</v>
      </c>
      <c r="T1922" s="20">
        <f>0.00016*Q1922</f>
        <v>0</v>
      </c>
      <c r="U1922" s="21"/>
      <c r="V1922" s="22" t="s">
        <v>8136</v>
      </c>
      <c r="W1922" s="22" t="s">
        <v>49</v>
      </c>
      <c r="X1922" s="3"/>
      <c r="Y1922" s="3" t="s">
        <v>8126</v>
      </c>
      <c r="Z1922" s="3" t="s">
        <v>52</v>
      </c>
      <c r="AA1922" s="3"/>
      <c r="AB1922" s="3"/>
      <c r="AC1922" s="3" t="str">
        <f>HYPERLINK("https://knigipp.ru/api/getInfo/image/3c9ffed1-85e1-11ed-a22a-00155d82e902")</f>
        <v>https://knigipp.ru/api/getInfo/image/3c9ffed1-85e1-11ed-a22a-00155d82e902</v>
      </c>
      <c r="AD1922" s="32">
        <v>16</v>
      </c>
      <c r="AE1922" s="3"/>
      <c r="AF1922" s="3" t="s">
        <v>136</v>
      </c>
      <c r="AG1922" s="3"/>
      <c r="AH1922" s="3" t="s">
        <v>56</v>
      </c>
      <c r="AI1922" s="3"/>
      <c r="AJ1922" s="3"/>
      <c r="AK1922" s="3" t="str">
        <f>HYPERLINK("https://knigipp.ru/api/getInfo/item/3c9ffed1-85e1-11ed-a22a-00155d82e902")</f>
        <v>https://knigipp.ru/api/getInfo/item/3c9ffed1-85e1-11ed-a22a-00155d82e902</v>
      </c>
      <c r="AL1922" s="3" t="s">
        <v>8127</v>
      </c>
    </row>
    <row r="1923" spans="1:38" ht="21" customHeight="1" outlineLevel="4" x14ac:dyDescent="0.2">
      <c r="A1923" s="39">
        <v>1468</v>
      </c>
      <c r="B1923" s="3" t="s">
        <v>8137</v>
      </c>
      <c r="C1923" s="49" t="s">
        <v>8138</v>
      </c>
      <c r="D1923" s="49"/>
      <c r="E1923" s="49"/>
      <c r="F1923" s="49"/>
      <c r="G1923" s="4" t="s">
        <v>8139</v>
      </c>
      <c r="H1923" s="8"/>
      <c r="I1923" s="9" t="s">
        <v>8131</v>
      </c>
      <c r="J1923" s="10"/>
      <c r="K1923" s="11">
        <v>30</v>
      </c>
      <c r="L1923" s="10"/>
      <c r="M1923" s="10" t="s">
        <v>47</v>
      </c>
      <c r="N1923" s="10"/>
      <c r="O1923" s="2">
        <v>8</v>
      </c>
      <c r="P1923" s="17">
        <f>75.15*(1-S3/100)</f>
        <v>75.150000000000006</v>
      </c>
      <c r="Q1923" s="18"/>
      <c r="R1923" s="10">
        <f t="shared" si="81"/>
        <v>0</v>
      </c>
      <c r="S1923" s="19">
        <f>0.077*Q1923</f>
        <v>0</v>
      </c>
      <c r="T1923" s="20">
        <f>0.00092*Q1923</f>
        <v>0</v>
      </c>
      <c r="U1923" s="21"/>
      <c r="V1923" s="22" t="s">
        <v>8140</v>
      </c>
      <c r="W1923" s="22" t="s">
        <v>49</v>
      </c>
      <c r="X1923" s="3"/>
      <c r="Y1923" s="3" t="s">
        <v>8126</v>
      </c>
      <c r="Z1923" s="3" t="s">
        <v>52</v>
      </c>
      <c r="AA1923" s="3"/>
      <c r="AB1923" s="3"/>
      <c r="AC1923" s="3" t="str">
        <f>HYPERLINK("https://knigipp.ru/api/getInfo/image/8583fcd9-85e1-11ed-a22a-00155d82e902")</f>
        <v>https://knigipp.ru/api/getInfo/image/8583fcd9-85e1-11ed-a22a-00155d82e902</v>
      </c>
      <c r="AD1923" s="32">
        <v>16</v>
      </c>
      <c r="AE1923" s="3" t="s">
        <v>54</v>
      </c>
      <c r="AF1923" s="3" t="s">
        <v>136</v>
      </c>
      <c r="AG1923" s="3"/>
      <c r="AH1923" s="3" t="s">
        <v>56</v>
      </c>
      <c r="AI1923" s="3"/>
      <c r="AJ1923" s="3"/>
      <c r="AK1923" s="3" t="str">
        <f>HYPERLINK("https://knigipp.ru/api/getInfo/item/8583fcd9-85e1-11ed-a22a-00155d82e902")</f>
        <v>https://knigipp.ru/api/getInfo/item/8583fcd9-85e1-11ed-a22a-00155d82e902</v>
      </c>
      <c r="AL1923" s="3" t="s">
        <v>8127</v>
      </c>
    </row>
    <row r="1924" spans="1:38" ht="21" customHeight="1" outlineLevel="4" x14ac:dyDescent="0.2">
      <c r="A1924" s="39">
        <v>1469</v>
      </c>
      <c r="B1924" s="3" t="s">
        <v>8141</v>
      </c>
      <c r="C1924" s="49" t="s">
        <v>8142</v>
      </c>
      <c r="D1924" s="49"/>
      <c r="E1924" s="49"/>
      <c r="F1924" s="49"/>
      <c r="G1924" s="4" t="s">
        <v>8143</v>
      </c>
      <c r="H1924" s="8"/>
      <c r="I1924" s="9" t="s">
        <v>8124</v>
      </c>
      <c r="J1924" s="10"/>
      <c r="K1924" s="11">
        <v>30</v>
      </c>
      <c r="L1924" s="10"/>
      <c r="M1924" s="10" t="s">
        <v>47</v>
      </c>
      <c r="N1924" s="10"/>
      <c r="O1924" s="2">
        <v>8</v>
      </c>
      <c r="P1924" s="17">
        <f>75.15*(1-S3/100)</f>
        <v>75.150000000000006</v>
      </c>
      <c r="Q1924" s="18"/>
      <c r="R1924" s="10">
        <f t="shared" si="81"/>
        <v>0</v>
      </c>
      <c r="S1924" s="19">
        <f>0.079*Q1924</f>
        <v>0</v>
      </c>
      <c r="T1924" s="20">
        <f>0.00102*Q1924</f>
        <v>0</v>
      </c>
      <c r="U1924" s="21"/>
      <c r="V1924" s="22" t="s">
        <v>8144</v>
      </c>
      <c r="W1924" s="22" t="s">
        <v>49</v>
      </c>
      <c r="X1924" s="3"/>
      <c r="Y1924" s="3" t="s">
        <v>8126</v>
      </c>
      <c r="Z1924" s="3" t="s">
        <v>52</v>
      </c>
      <c r="AA1924" s="3"/>
      <c r="AB1924" s="3"/>
      <c r="AC1924" s="3" t="str">
        <f>HYPERLINK("https://knigipp.ru/api/getInfo/image/44b8edc1-6706-11ec-a20f-ac1f6b442185")</f>
        <v>https://knigipp.ru/api/getInfo/image/44b8edc1-6706-11ec-a20f-ac1f6b442185</v>
      </c>
      <c r="AD1924" s="32">
        <v>16</v>
      </c>
      <c r="AE1924" s="3"/>
      <c r="AF1924" s="3" t="s">
        <v>136</v>
      </c>
      <c r="AG1924" s="3"/>
      <c r="AH1924" s="3" t="s">
        <v>56</v>
      </c>
      <c r="AI1924" s="3"/>
      <c r="AJ1924" s="3"/>
      <c r="AK1924" s="3" t="str">
        <f>HYPERLINK("https://knigipp.ru/api/getInfo/item/44b8edc1-6706-11ec-a20f-ac1f6b442185")</f>
        <v>https://knigipp.ru/api/getInfo/item/44b8edc1-6706-11ec-a20f-ac1f6b442185</v>
      </c>
      <c r="AL1924" s="3" t="s">
        <v>8127</v>
      </c>
    </row>
    <row r="1925" spans="1:38" ht="21" customHeight="1" outlineLevel="4" x14ac:dyDescent="0.2">
      <c r="A1925" s="39">
        <v>1470</v>
      </c>
      <c r="B1925" s="3" t="s">
        <v>8145</v>
      </c>
      <c r="C1925" s="49" t="s">
        <v>8146</v>
      </c>
      <c r="D1925" s="49"/>
      <c r="E1925" s="49"/>
      <c r="F1925" s="49"/>
      <c r="G1925" s="4" t="s">
        <v>8147</v>
      </c>
      <c r="H1925" s="8"/>
      <c r="I1925" s="9" t="s">
        <v>8131</v>
      </c>
      <c r="J1925" s="10"/>
      <c r="K1925" s="11">
        <v>30</v>
      </c>
      <c r="L1925" s="10"/>
      <c r="M1925" s="10" t="s">
        <v>47</v>
      </c>
      <c r="N1925" s="10"/>
      <c r="O1925" s="2">
        <v>8</v>
      </c>
      <c r="P1925" s="17">
        <f>75.15*(1-S3/100)</f>
        <v>75.150000000000006</v>
      </c>
      <c r="Q1925" s="18"/>
      <c r="R1925" s="10">
        <f t="shared" si="81"/>
        <v>0</v>
      </c>
      <c r="S1925" s="19">
        <f>0.075*Q1925</f>
        <v>0</v>
      </c>
      <c r="T1925" s="20">
        <f>0.00088*Q1925</f>
        <v>0</v>
      </c>
      <c r="U1925" s="21"/>
      <c r="V1925" s="22" t="s">
        <v>8148</v>
      </c>
      <c r="W1925" s="22" t="s">
        <v>49</v>
      </c>
      <c r="X1925" s="3"/>
      <c r="Y1925" s="3" t="s">
        <v>8126</v>
      </c>
      <c r="Z1925" s="3" t="s">
        <v>52</v>
      </c>
      <c r="AA1925" s="3"/>
      <c r="AB1925" s="3"/>
      <c r="AC1925" s="3" t="str">
        <f>HYPERLINK("https://knigipp.ru/api/getInfo/image/ac6605dc-85e1-11ed-a22a-00155d82e902")</f>
        <v>https://knigipp.ru/api/getInfo/image/ac6605dc-85e1-11ed-a22a-00155d82e902</v>
      </c>
      <c r="AD1925" s="32">
        <v>16</v>
      </c>
      <c r="AE1925" s="3" t="s">
        <v>54</v>
      </c>
      <c r="AF1925" s="3" t="s">
        <v>136</v>
      </c>
      <c r="AG1925" s="3"/>
      <c r="AH1925" s="3" t="s">
        <v>56</v>
      </c>
      <c r="AI1925" s="3"/>
      <c r="AJ1925" s="3"/>
      <c r="AK1925" s="3" t="str">
        <f>HYPERLINK("https://knigipp.ru/api/getInfo/item/ac6605dc-85e1-11ed-a22a-00155d82e902")</f>
        <v>https://knigipp.ru/api/getInfo/item/ac6605dc-85e1-11ed-a22a-00155d82e902</v>
      </c>
      <c r="AL1925" s="3" t="s">
        <v>8127</v>
      </c>
    </row>
    <row r="1926" spans="1:38" ht="23.1" customHeight="1" outlineLevel="3" x14ac:dyDescent="0.2">
      <c r="A1926" s="48" t="s">
        <v>8149</v>
      </c>
      <c r="B1926" s="48"/>
      <c r="C1926" s="48"/>
      <c r="D1926" s="48"/>
      <c r="E1926" s="48"/>
      <c r="F1926" s="48"/>
    </row>
    <row r="1927" spans="1:38" ht="21" customHeight="1" outlineLevel="4" x14ac:dyDescent="0.2">
      <c r="A1927" s="39">
        <v>1471</v>
      </c>
      <c r="B1927" s="3" t="s">
        <v>8150</v>
      </c>
      <c r="C1927" s="49" t="s">
        <v>8151</v>
      </c>
      <c r="D1927" s="49"/>
      <c r="E1927" s="49"/>
      <c r="F1927" s="49"/>
      <c r="G1927" s="4" t="s">
        <v>8152</v>
      </c>
      <c r="H1927" s="8"/>
      <c r="I1927" s="9" t="s">
        <v>8153</v>
      </c>
      <c r="J1927" s="10"/>
      <c r="K1927" s="11">
        <v>30</v>
      </c>
      <c r="L1927" s="10"/>
      <c r="M1927" s="10" t="s">
        <v>47</v>
      </c>
      <c r="N1927" s="10"/>
      <c r="O1927" s="2">
        <v>5</v>
      </c>
      <c r="P1927" s="17">
        <f>127*(1-S3/100)</f>
        <v>127</v>
      </c>
      <c r="Q1927" s="18"/>
      <c r="R1927" s="10">
        <f>P1927*Q1927</f>
        <v>0</v>
      </c>
      <c r="S1927" s="19">
        <f>0.126*Q1927</f>
        <v>0</v>
      </c>
      <c r="T1927" s="20">
        <f>0.00166*Q1927</f>
        <v>0</v>
      </c>
      <c r="U1927" s="21"/>
      <c r="V1927" s="22" t="s">
        <v>8154</v>
      </c>
      <c r="W1927" s="22" t="s">
        <v>49</v>
      </c>
      <c r="X1927" s="3"/>
      <c r="Y1927" s="3" t="s">
        <v>8155</v>
      </c>
      <c r="Z1927" s="3" t="s">
        <v>52</v>
      </c>
      <c r="AA1927" s="3"/>
      <c r="AB1927" s="3"/>
      <c r="AC1927" s="3" t="str">
        <f>HYPERLINK("https://knigipp.ru/api/getInfo/image/f4a12076-9051-11ee-a250-00155d82e908")</f>
        <v>https://knigipp.ru/api/getInfo/image/f4a12076-9051-11ee-a250-00155d82e908</v>
      </c>
      <c r="AD1927" s="32">
        <v>16</v>
      </c>
      <c r="AE1927" s="3" t="s">
        <v>54</v>
      </c>
      <c r="AF1927" s="3" t="s">
        <v>136</v>
      </c>
      <c r="AG1927" s="3"/>
      <c r="AH1927" s="3" t="s">
        <v>56</v>
      </c>
      <c r="AI1927" s="3"/>
      <c r="AJ1927" s="3"/>
      <c r="AK1927" s="3" t="str">
        <f>HYPERLINK("https://knigipp.ru/api/getInfo/item/f4a12076-9051-11ee-a250-00155d82e908")</f>
        <v>https://knigipp.ru/api/getInfo/item/f4a12076-9051-11ee-a250-00155d82e908</v>
      </c>
      <c r="AL1927" s="3" t="s">
        <v>621</v>
      </c>
    </row>
    <row r="1928" spans="1:38" ht="21" customHeight="1" outlineLevel="4" x14ac:dyDescent="0.2">
      <c r="A1928" s="39">
        <v>1472</v>
      </c>
      <c r="B1928" s="3" t="s">
        <v>8156</v>
      </c>
      <c r="C1928" s="49" t="s">
        <v>8157</v>
      </c>
      <c r="D1928" s="49"/>
      <c r="E1928" s="49"/>
      <c r="F1928" s="49"/>
      <c r="G1928" s="4" t="s">
        <v>8158</v>
      </c>
      <c r="H1928" s="8"/>
      <c r="I1928" s="9" t="s">
        <v>8153</v>
      </c>
      <c r="J1928" s="10"/>
      <c r="K1928" s="11">
        <v>30</v>
      </c>
      <c r="L1928" s="10"/>
      <c r="M1928" s="10" t="s">
        <v>47</v>
      </c>
      <c r="N1928" s="10"/>
      <c r="O1928" s="2">
        <v>5</v>
      </c>
      <c r="P1928" s="17">
        <f>127*(1-S3/100)</f>
        <v>127</v>
      </c>
      <c r="Q1928" s="18"/>
      <c r="R1928" s="10">
        <f>P1928*Q1928</f>
        <v>0</v>
      </c>
      <c r="S1928" s="19">
        <f>0.126*Q1928</f>
        <v>0</v>
      </c>
      <c r="T1928" s="20">
        <f>0.00023*Q1928</f>
        <v>0</v>
      </c>
      <c r="U1928" s="21"/>
      <c r="V1928" s="22" t="s">
        <v>8159</v>
      </c>
      <c r="W1928" s="22" t="s">
        <v>49</v>
      </c>
      <c r="X1928" s="3"/>
      <c r="Y1928" s="3" t="s">
        <v>8160</v>
      </c>
      <c r="Z1928" s="3" t="s">
        <v>52</v>
      </c>
      <c r="AA1928" s="3"/>
      <c r="AB1928" s="3"/>
      <c r="AC1928" s="3" t="str">
        <f>HYPERLINK("https://knigipp.ru/api/getInfo/image/c6a8a21d-9051-11ee-a250-00155d82e908")</f>
        <v>https://knigipp.ru/api/getInfo/image/c6a8a21d-9051-11ee-a250-00155d82e908</v>
      </c>
      <c r="AD1928" s="32">
        <v>16</v>
      </c>
      <c r="AE1928" s="3" t="s">
        <v>54</v>
      </c>
      <c r="AF1928" s="3" t="s">
        <v>136</v>
      </c>
      <c r="AG1928" s="3"/>
      <c r="AH1928" s="3" t="s">
        <v>56</v>
      </c>
      <c r="AI1928" s="3"/>
      <c r="AJ1928" s="3"/>
      <c r="AK1928" s="3" t="str">
        <f>HYPERLINK("https://knigipp.ru/api/getInfo/item/c6a8a21d-9051-11ee-a250-00155d82e908")</f>
        <v>https://knigipp.ru/api/getInfo/item/c6a8a21d-9051-11ee-a250-00155d82e908</v>
      </c>
      <c r="AL1928" s="3" t="s">
        <v>621</v>
      </c>
    </row>
    <row r="1929" spans="1:38" ht="21" customHeight="1" outlineLevel="4" x14ac:dyDescent="0.2">
      <c r="A1929" s="39">
        <v>1473</v>
      </c>
      <c r="B1929" s="3" t="s">
        <v>8161</v>
      </c>
      <c r="C1929" s="49" t="s">
        <v>8162</v>
      </c>
      <c r="D1929" s="49"/>
      <c r="E1929" s="49"/>
      <c r="F1929" s="49"/>
      <c r="G1929" s="4" t="s">
        <v>8163</v>
      </c>
      <c r="H1929" s="8"/>
      <c r="I1929" s="9" t="s">
        <v>8153</v>
      </c>
      <c r="J1929" s="10"/>
      <c r="K1929" s="11">
        <v>30</v>
      </c>
      <c r="L1929" s="10"/>
      <c r="M1929" s="10" t="s">
        <v>47</v>
      </c>
      <c r="N1929" s="10"/>
      <c r="O1929" s="2">
        <v>5</v>
      </c>
      <c r="P1929" s="17">
        <f>127*(1-S3/100)</f>
        <v>127</v>
      </c>
      <c r="Q1929" s="18"/>
      <c r="R1929" s="10">
        <f>P1929*Q1929</f>
        <v>0</v>
      </c>
      <c r="S1929" s="19">
        <f>0.126*Q1929</f>
        <v>0</v>
      </c>
      <c r="T1929" s="20">
        <f>0.00023*Q1929</f>
        <v>0</v>
      </c>
      <c r="U1929" s="21"/>
      <c r="V1929" s="22" t="s">
        <v>8164</v>
      </c>
      <c r="W1929" s="22" t="s">
        <v>49</v>
      </c>
      <c r="X1929" s="3"/>
      <c r="Y1929" s="3" t="s">
        <v>8165</v>
      </c>
      <c r="Z1929" s="3" t="s">
        <v>52</v>
      </c>
      <c r="AA1929" s="3"/>
      <c r="AB1929" s="3"/>
      <c r="AC1929" s="3" t="str">
        <f>HYPERLINK("https://knigipp.ru/api/getInfo/image/966a6496-9051-11ee-a250-00155d82e908")</f>
        <v>https://knigipp.ru/api/getInfo/image/966a6496-9051-11ee-a250-00155d82e908</v>
      </c>
      <c r="AD1929" s="32">
        <v>16</v>
      </c>
      <c r="AE1929" s="3" t="s">
        <v>54</v>
      </c>
      <c r="AF1929" s="3" t="s">
        <v>136</v>
      </c>
      <c r="AG1929" s="3"/>
      <c r="AH1929" s="3" t="s">
        <v>56</v>
      </c>
      <c r="AI1929" s="3"/>
      <c r="AJ1929" s="3"/>
      <c r="AK1929" s="3" t="str">
        <f>HYPERLINK("https://knigipp.ru/api/getInfo/item/966a6496-9051-11ee-a250-00155d82e908")</f>
        <v>https://knigipp.ru/api/getInfo/item/966a6496-9051-11ee-a250-00155d82e908</v>
      </c>
      <c r="AL1929" s="3" t="s">
        <v>621</v>
      </c>
    </row>
    <row r="1930" spans="1:38" ht="21" customHeight="1" outlineLevel="4" x14ac:dyDescent="0.2">
      <c r="A1930" s="39">
        <v>1474</v>
      </c>
      <c r="B1930" s="3" t="s">
        <v>8166</v>
      </c>
      <c r="C1930" s="49" t="s">
        <v>8167</v>
      </c>
      <c r="D1930" s="49"/>
      <c r="E1930" s="49"/>
      <c r="F1930" s="49"/>
      <c r="G1930" s="4" t="s">
        <v>8168</v>
      </c>
      <c r="H1930" s="8"/>
      <c r="I1930" s="9" t="s">
        <v>8153</v>
      </c>
      <c r="J1930" s="10"/>
      <c r="K1930" s="11">
        <v>30</v>
      </c>
      <c r="L1930" s="10"/>
      <c r="M1930" s="10" t="s">
        <v>47</v>
      </c>
      <c r="N1930" s="10"/>
      <c r="O1930" s="2">
        <v>5</v>
      </c>
      <c r="P1930" s="17">
        <f>127*(1-S3/100)</f>
        <v>127</v>
      </c>
      <c r="Q1930" s="18"/>
      <c r="R1930" s="10">
        <f>P1930*Q1930</f>
        <v>0</v>
      </c>
      <c r="S1930" s="19">
        <f>0.126*Q1930</f>
        <v>0</v>
      </c>
      <c r="T1930" s="20">
        <f>0.00023*Q1930</f>
        <v>0</v>
      </c>
      <c r="U1930" s="21"/>
      <c r="V1930" s="22" t="s">
        <v>8169</v>
      </c>
      <c r="W1930" s="22" t="s">
        <v>49</v>
      </c>
      <c r="X1930" s="3"/>
      <c r="Y1930" s="3" t="s">
        <v>8170</v>
      </c>
      <c r="Z1930" s="3" t="s">
        <v>52</v>
      </c>
      <c r="AA1930" s="3"/>
      <c r="AB1930" s="3"/>
      <c r="AC1930" s="3" t="str">
        <f>HYPERLINK("https://knigipp.ru/api/getInfo/image/3d90f7cd-9051-11ee-a250-00155d82e908")</f>
        <v>https://knigipp.ru/api/getInfo/image/3d90f7cd-9051-11ee-a250-00155d82e908</v>
      </c>
      <c r="AD1930" s="32">
        <v>16</v>
      </c>
      <c r="AE1930" s="3" t="s">
        <v>54</v>
      </c>
      <c r="AF1930" s="3" t="s">
        <v>136</v>
      </c>
      <c r="AG1930" s="3"/>
      <c r="AH1930" s="3" t="s">
        <v>56</v>
      </c>
      <c r="AI1930" s="3"/>
      <c r="AJ1930" s="3"/>
      <c r="AK1930" s="3" t="str">
        <f>HYPERLINK("https://knigipp.ru/api/getInfo/item/3d90f7cd-9051-11ee-a250-00155d82e908")</f>
        <v>https://knigipp.ru/api/getInfo/item/3d90f7cd-9051-11ee-a250-00155d82e908</v>
      </c>
      <c r="AL1930" s="3" t="s">
        <v>621</v>
      </c>
    </row>
    <row r="1931" spans="1:38" ht="23.1" customHeight="1" outlineLevel="3" x14ac:dyDescent="0.2">
      <c r="A1931" s="48" t="s">
        <v>8171</v>
      </c>
      <c r="B1931" s="48"/>
      <c r="C1931" s="48"/>
      <c r="D1931" s="48"/>
      <c r="E1931" s="48"/>
      <c r="F1931" s="48"/>
    </row>
    <row r="1932" spans="1:38" ht="21" customHeight="1" outlineLevel="4" x14ac:dyDescent="0.2">
      <c r="A1932" s="39">
        <v>1475</v>
      </c>
      <c r="B1932" s="3" t="s">
        <v>8172</v>
      </c>
      <c r="C1932" s="49" t="s">
        <v>8173</v>
      </c>
      <c r="D1932" s="49"/>
      <c r="E1932" s="49"/>
      <c r="F1932" s="49"/>
      <c r="G1932" s="4" t="s">
        <v>8174</v>
      </c>
      <c r="H1932" s="8"/>
      <c r="I1932" s="9" t="s">
        <v>8175</v>
      </c>
      <c r="J1932" s="10"/>
      <c r="K1932" s="11">
        <v>50</v>
      </c>
      <c r="L1932" s="10"/>
      <c r="M1932" s="10" t="s">
        <v>78</v>
      </c>
      <c r="N1932" s="10"/>
      <c r="O1932" s="2">
        <v>12</v>
      </c>
      <c r="P1932" s="17">
        <f>53.5*(1-S3/100)</f>
        <v>53.5</v>
      </c>
      <c r="Q1932" s="18"/>
      <c r="R1932" s="10">
        <f>P1932*Q1932</f>
        <v>0</v>
      </c>
      <c r="S1932" s="19">
        <f>0.048*Q1932</f>
        <v>0</v>
      </c>
      <c r="T1932" s="20">
        <f>0.00011*Q1932</f>
        <v>0</v>
      </c>
      <c r="U1932" s="21"/>
      <c r="V1932" s="22" t="s">
        <v>8176</v>
      </c>
      <c r="W1932" s="22" t="s">
        <v>49</v>
      </c>
      <c r="X1932" s="3"/>
      <c r="Y1932" s="3"/>
      <c r="Z1932" s="3" t="s">
        <v>52</v>
      </c>
      <c r="AA1932" s="3" t="s">
        <v>8177</v>
      </c>
      <c r="AB1932" s="3"/>
      <c r="AC1932" s="3" t="str">
        <f>HYPERLINK("https://knigipp.ru/api/getInfo/image/c5a2ed27-4a75-11eb-a25e-ac1f6b442184")</f>
        <v>https://knigipp.ru/api/getInfo/image/c5a2ed27-4a75-11eb-a25e-ac1f6b442184</v>
      </c>
      <c r="AD1932" s="32">
        <v>16</v>
      </c>
      <c r="AE1932" s="3"/>
      <c r="AF1932" s="3" t="s">
        <v>136</v>
      </c>
      <c r="AG1932" s="3"/>
      <c r="AH1932" s="3" t="s">
        <v>56</v>
      </c>
      <c r="AI1932" s="3"/>
      <c r="AJ1932" s="3"/>
      <c r="AK1932" s="3" t="str">
        <f>HYPERLINK("https://knigipp.ru/api/getInfo/item/c5a2ed27-4a75-11eb-a25e-ac1f6b442184")</f>
        <v>https://knigipp.ru/api/getInfo/item/c5a2ed27-4a75-11eb-a25e-ac1f6b442184</v>
      </c>
      <c r="AL1932" s="3" t="s">
        <v>1155</v>
      </c>
    </row>
    <row r="1933" spans="1:38" ht="23.1" customHeight="1" outlineLevel="3" x14ac:dyDescent="0.2">
      <c r="A1933" s="48" t="s">
        <v>8178</v>
      </c>
      <c r="B1933" s="48"/>
      <c r="C1933" s="48"/>
      <c r="D1933" s="48"/>
      <c r="E1933" s="48"/>
      <c r="F1933" s="48"/>
    </row>
    <row r="1934" spans="1:38" ht="21" customHeight="1" outlineLevel="4" x14ac:dyDescent="0.2">
      <c r="A1934" s="39">
        <v>1476</v>
      </c>
      <c r="B1934" s="3" t="s">
        <v>8179</v>
      </c>
      <c r="C1934" s="49" t="s">
        <v>8180</v>
      </c>
      <c r="D1934" s="49"/>
      <c r="E1934" s="49"/>
      <c r="F1934" s="49"/>
      <c r="G1934" s="4" t="s">
        <v>8181</v>
      </c>
      <c r="H1934" s="8"/>
      <c r="I1934" s="9" t="s">
        <v>8182</v>
      </c>
      <c r="J1934" s="10"/>
      <c r="K1934" s="11">
        <v>30</v>
      </c>
      <c r="L1934" s="10"/>
      <c r="M1934" s="10" t="s">
        <v>47</v>
      </c>
      <c r="N1934" s="10"/>
      <c r="O1934" s="2">
        <v>3</v>
      </c>
      <c r="P1934" s="17">
        <f>217*(1-S3/100)</f>
        <v>217</v>
      </c>
      <c r="Q1934" s="18"/>
      <c r="R1934" s="10">
        <f>P1934*Q1934</f>
        <v>0</v>
      </c>
      <c r="S1934" s="19">
        <f>0.115*Q1934</f>
        <v>0</v>
      </c>
      <c r="T1934" s="30">
        <f>0.0018*Q1934</f>
        <v>0</v>
      </c>
      <c r="U1934" s="21"/>
      <c r="V1934" s="22" t="s">
        <v>8183</v>
      </c>
      <c r="W1934" s="22" t="s">
        <v>49</v>
      </c>
      <c r="X1934" s="3"/>
      <c r="Y1934" s="3" t="s">
        <v>8184</v>
      </c>
      <c r="Z1934" s="3" t="s">
        <v>52</v>
      </c>
      <c r="AA1934" s="3"/>
      <c r="AB1934" s="3"/>
      <c r="AC1934" s="3" t="str">
        <f>HYPERLINK("https://knigipp.ru/api/getInfo/image/f7cc4669-1f4b-11ef-a25f-00155d82e908")</f>
        <v>https://knigipp.ru/api/getInfo/image/f7cc4669-1f4b-11ef-a25f-00155d82e908</v>
      </c>
      <c r="AD1934" s="32">
        <v>16</v>
      </c>
      <c r="AE1934" s="3" t="s">
        <v>54</v>
      </c>
      <c r="AF1934" s="3" t="s">
        <v>136</v>
      </c>
      <c r="AG1934" s="3"/>
      <c r="AH1934" s="3" t="s">
        <v>56</v>
      </c>
      <c r="AI1934" s="3"/>
      <c r="AJ1934" s="3"/>
      <c r="AK1934" s="3" t="str">
        <f>HYPERLINK("https://knigipp.ru/api/getInfo/item/f7cc4669-1f4b-11ef-a25f-00155d82e908")</f>
        <v>https://knigipp.ru/api/getInfo/item/f7cc4669-1f4b-11ef-a25f-00155d82e908</v>
      </c>
      <c r="AL1934" s="3" t="s">
        <v>8185</v>
      </c>
    </row>
    <row r="1935" spans="1:38" ht="21" customHeight="1" outlineLevel="4" x14ac:dyDescent="0.2">
      <c r="A1935" s="39">
        <v>1477</v>
      </c>
      <c r="B1935" s="3" t="s">
        <v>8186</v>
      </c>
      <c r="C1935" s="49" t="s">
        <v>8187</v>
      </c>
      <c r="D1935" s="49"/>
      <c r="E1935" s="49"/>
      <c r="F1935" s="49"/>
      <c r="G1935" s="4" t="s">
        <v>8188</v>
      </c>
      <c r="H1935" s="8"/>
      <c r="I1935" s="9" t="s">
        <v>8182</v>
      </c>
      <c r="J1935" s="10"/>
      <c r="K1935" s="11">
        <v>30</v>
      </c>
      <c r="L1935" s="10"/>
      <c r="M1935" s="10" t="s">
        <v>47</v>
      </c>
      <c r="N1935" s="10"/>
      <c r="O1935" s="2">
        <v>3</v>
      </c>
      <c r="P1935" s="17">
        <f>217*(1-S3/100)</f>
        <v>217</v>
      </c>
      <c r="Q1935" s="18"/>
      <c r="R1935" s="10">
        <f>P1935*Q1935</f>
        <v>0</v>
      </c>
      <c r="S1935" s="19">
        <f>0.117*Q1935</f>
        <v>0</v>
      </c>
      <c r="T1935" s="20">
        <f>0.00196*Q1935</f>
        <v>0</v>
      </c>
      <c r="U1935" s="21"/>
      <c r="V1935" s="22" t="s">
        <v>8189</v>
      </c>
      <c r="W1935" s="22" t="s">
        <v>49</v>
      </c>
      <c r="X1935" s="3"/>
      <c r="Y1935" s="3" t="s">
        <v>8190</v>
      </c>
      <c r="Z1935" s="3" t="s">
        <v>52</v>
      </c>
      <c r="AA1935" s="3"/>
      <c r="AB1935" s="3"/>
      <c r="AC1935" s="3" t="str">
        <f>HYPERLINK("https://knigipp.ru/api/getInfo/image/9db5e643-1f4b-11ef-a25f-00155d82e908")</f>
        <v>https://knigipp.ru/api/getInfo/image/9db5e643-1f4b-11ef-a25f-00155d82e908</v>
      </c>
      <c r="AD1935" s="32">
        <v>16</v>
      </c>
      <c r="AE1935" s="3" t="s">
        <v>54</v>
      </c>
      <c r="AF1935" s="3" t="s">
        <v>136</v>
      </c>
      <c r="AG1935" s="3"/>
      <c r="AH1935" s="3" t="s">
        <v>56</v>
      </c>
      <c r="AI1935" s="3"/>
      <c r="AJ1935" s="3"/>
      <c r="AK1935" s="3" t="str">
        <f>HYPERLINK("https://knigipp.ru/api/getInfo/item/9db5e643-1f4b-11ef-a25f-00155d82e908")</f>
        <v>https://knigipp.ru/api/getInfo/item/9db5e643-1f4b-11ef-a25f-00155d82e908</v>
      </c>
      <c r="AL1935" s="3" t="s">
        <v>8185</v>
      </c>
    </row>
    <row r="1936" spans="1:38" ht="21" customHeight="1" outlineLevel="4" x14ac:dyDescent="0.2">
      <c r="A1936" s="39">
        <v>1478</v>
      </c>
      <c r="B1936" s="3" t="s">
        <v>8191</v>
      </c>
      <c r="C1936" s="49" t="s">
        <v>8192</v>
      </c>
      <c r="D1936" s="49"/>
      <c r="E1936" s="49"/>
      <c r="F1936" s="49"/>
      <c r="G1936" s="4" t="s">
        <v>8193</v>
      </c>
      <c r="H1936" s="8"/>
      <c r="I1936" s="9" t="s">
        <v>8182</v>
      </c>
      <c r="J1936" s="10"/>
      <c r="K1936" s="11">
        <v>30</v>
      </c>
      <c r="L1936" s="10"/>
      <c r="M1936" s="10" t="s">
        <v>47</v>
      </c>
      <c r="N1936" s="10"/>
      <c r="O1936" s="2">
        <v>3</v>
      </c>
      <c r="P1936" s="17">
        <f>217*(1-S3/100)</f>
        <v>217</v>
      </c>
      <c r="Q1936" s="18"/>
      <c r="R1936" s="10">
        <f>P1936*Q1936</f>
        <v>0</v>
      </c>
      <c r="S1936" s="28">
        <f>0.12*Q1936</f>
        <v>0</v>
      </c>
      <c r="T1936" s="20">
        <f>0.00265*Q1936</f>
        <v>0</v>
      </c>
      <c r="U1936" s="21"/>
      <c r="V1936" s="22" t="s">
        <v>8194</v>
      </c>
      <c r="W1936" s="22" t="s">
        <v>49</v>
      </c>
      <c r="X1936" s="3"/>
      <c r="Y1936" s="3" t="s">
        <v>8195</v>
      </c>
      <c r="Z1936" s="3" t="s">
        <v>52</v>
      </c>
      <c r="AA1936" s="3"/>
      <c r="AB1936" s="3"/>
      <c r="AC1936" s="3" t="str">
        <f>HYPERLINK("https://knigipp.ru/api/getInfo/image/14852665-1f4c-11ef-a25f-00155d82e908")</f>
        <v>https://knigipp.ru/api/getInfo/image/14852665-1f4c-11ef-a25f-00155d82e908</v>
      </c>
      <c r="AD1936" s="32">
        <v>16</v>
      </c>
      <c r="AE1936" s="3" t="s">
        <v>54</v>
      </c>
      <c r="AF1936" s="3" t="s">
        <v>136</v>
      </c>
      <c r="AG1936" s="3"/>
      <c r="AH1936" s="3" t="s">
        <v>56</v>
      </c>
      <c r="AI1936" s="3"/>
      <c r="AJ1936" s="3"/>
      <c r="AK1936" s="3" t="str">
        <f>HYPERLINK("https://knigipp.ru/api/getInfo/item/14852665-1f4c-11ef-a25f-00155d82e908")</f>
        <v>https://knigipp.ru/api/getInfo/item/14852665-1f4c-11ef-a25f-00155d82e908</v>
      </c>
      <c r="AL1936" s="3" t="s">
        <v>8185</v>
      </c>
    </row>
    <row r="1937" spans="1:38" ht="21" customHeight="1" outlineLevel="4" x14ac:dyDescent="0.2">
      <c r="A1937" s="39">
        <v>1479</v>
      </c>
      <c r="B1937" s="3" t="s">
        <v>8196</v>
      </c>
      <c r="C1937" s="49" t="s">
        <v>8197</v>
      </c>
      <c r="D1937" s="49"/>
      <c r="E1937" s="49"/>
      <c r="F1937" s="49"/>
      <c r="G1937" s="4" t="s">
        <v>8198</v>
      </c>
      <c r="H1937" s="8"/>
      <c r="I1937" s="9" t="s">
        <v>8182</v>
      </c>
      <c r="J1937" s="10"/>
      <c r="K1937" s="11">
        <v>30</v>
      </c>
      <c r="L1937" s="10"/>
      <c r="M1937" s="10" t="s">
        <v>47</v>
      </c>
      <c r="N1937" s="10"/>
      <c r="O1937" s="2">
        <v>3</v>
      </c>
      <c r="P1937" s="17">
        <f>217*(1-S3/100)</f>
        <v>217</v>
      </c>
      <c r="Q1937" s="18"/>
      <c r="R1937" s="10">
        <f>P1937*Q1937</f>
        <v>0</v>
      </c>
      <c r="S1937" s="19">
        <f>0.121*Q1937</f>
        <v>0</v>
      </c>
      <c r="T1937" s="20">
        <f>0.00257*Q1937</f>
        <v>0</v>
      </c>
      <c r="U1937" s="21"/>
      <c r="V1937" s="22" t="s">
        <v>8199</v>
      </c>
      <c r="W1937" s="22" t="s">
        <v>49</v>
      </c>
      <c r="X1937" s="3"/>
      <c r="Y1937" s="3" t="s">
        <v>8200</v>
      </c>
      <c r="Z1937" s="3" t="s">
        <v>52</v>
      </c>
      <c r="AA1937" s="3"/>
      <c r="AB1937" s="3"/>
      <c r="AC1937" s="3" t="str">
        <f>HYPERLINK("https://knigipp.ru/api/getInfo/image/d95a5282-1f4b-11ef-a25f-00155d82e908")</f>
        <v>https://knigipp.ru/api/getInfo/image/d95a5282-1f4b-11ef-a25f-00155d82e908</v>
      </c>
      <c r="AD1937" s="32">
        <v>16</v>
      </c>
      <c r="AE1937" s="3" t="s">
        <v>54</v>
      </c>
      <c r="AF1937" s="3" t="s">
        <v>136</v>
      </c>
      <c r="AG1937" s="3"/>
      <c r="AH1937" s="3" t="s">
        <v>56</v>
      </c>
      <c r="AI1937" s="3"/>
      <c r="AJ1937" s="3"/>
      <c r="AK1937" s="3" t="str">
        <f>HYPERLINK("https://knigipp.ru/api/getInfo/item/d95a5282-1f4b-11ef-a25f-00155d82e908")</f>
        <v>https://knigipp.ru/api/getInfo/item/d95a5282-1f4b-11ef-a25f-00155d82e908</v>
      </c>
      <c r="AL1937" s="3" t="s">
        <v>8185</v>
      </c>
    </row>
    <row r="1938" spans="1:38" ht="23.1" customHeight="1" outlineLevel="3" x14ac:dyDescent="0.2">
      <c r="A1938" s="48" t="s">
        <v>8201</v>
      </c>
      <c r="B1938" s="48"/>
      <c r="C1938" s="48"/>
      <c r="D1938" s="48"/>
      <c r="E1938" s="48"/>
      <c r="F1938" s="48"/>
    </row>
    <row r="1939" spans="1:38" ht="21" customHeight="1" outlineLevel="4" x14ac:dyDescent="0.2">
      <c r="A1939" s="39">
        <v>1480</v>
      </c>
      <c r="B1939" s="3" t="s">
        <v>8202</v>
      </c>
      <c r="C1939" s="49" t="s">
        <v>8203</v>
      </c>
      <c r="D1939" s="49"/>
      <c r="E1939" s="49"/>
      <c r="F1939" s="49"/>
      <c r="G1939" s="4" t="s">
        <v>8204</v>
      </c>
      <c r="H1939" s="8"/>
      <c r="I1939" s="9" t="s">
        <v>8205</v>
      </c>
      <c r="J1939" s="10"/>
      <c r="K1939" s="11">
        <v>20</v>
      </c>
      <c r="L1939" s="10"/>
      <c r="M1939" s="10" t="s">
        <v>47</v>
      </c>
      <c r="N1939" s="10"/>
      <c r="O1939" s="2">
        <v>2</v>
      </c>
      <c r="P1939" s="17">
        <f>297*(1-S3/100)</f>
        <v>297</v>
      </c>
      <c r="Q1939" s="18"/>
      <c r="R1939" s="10">
        <f>P1939*Q1939</f>
        <v>0</v>
      </c>
      <c r="S1939" s="19">
        <f>0.086*Q1939</f>
        <v>0</v>
      </c>
      <c r="T1939" s="20">
        <f>0.00098*Q1939</f>
        <v>0</v>
      </c>
      <c r="U1939" s="21"/>
      <c r="V1939" s="22" t="s">
        <v>8206</v>
      </c>
      <c r="W1939" s="22" t="s">
        <v>49</v>
      </c>
      <c r="X1939" s="3"/>
      <c r="Y1939" s="3"/>
      <c r="Z1939" s="3" t="s">
        <v>52</v>
      </c>
      <c r="AA1939" s="3"/>
      <c r="AB1939" s="3"/>
      <c r="AC1939" s="3" t="str">
        <f>HYPERLINK("https://knigipp.ru/api/getInfo/image/1466a9c8-efe8-11ee-a25b-00155d82e908")</f>
        <v>https://knigipp.ru/api/getInfo/image/1466a9c8-efe8-11ee-a25b-00155d82e908</v>
      </c>
      <c r="AD1939" s="32">
        <v>16</v>
      </c>
      <c r="AE1939" s="3" t="s">
        <v>54</v>
      </c>
      <c r="AF1939" s="3" t="s">
        <v>136</v>
      </c>
      <c r="AG1939" s="3"/>
      <c r="AH1939" s="3" t="s">
        <v>56</v>
      </c>
      <c r="AI1939" s="3"/>
      <c r="AJ1939" s="3"/>
      <c r="AK1939" s="3" t="str">
        <f>HYPERLINK("https://knigipp.ru/api/getInfo/item/1466a9c8-efe8-11ee-a25b-00155d82e908")</f>
        <v>https://knigipp.ru/api/getInfo/item/1466a9c8-efe8-11ee-a25b-00155d82e908</v>
      </c>
      <c r="AL1939" s="3" t="s">
        <v>8207</v>
      </c>
    </row>
    <row r="1940" spans="1:38" ht="21" customHeight="1" outlineLevel="4" x14ac:dyDescent="0.2">
      <c r="A1940" s="39">
        <v>1481</v>
      </c>
      <c r="B1940" s="3" t="s">
        <v>8208</v>
      </c>
      <c r="C1940" s="49" t="s">
        <v>8209</v>
      </c>
      <c r="D1940" s="49"/>
      <c r="E1940" s="49"/>
      <c r="F1940" s="49"/>
      <c r="G1940" s="4" t="s">
        <v>8210</v>
      </c>
      <c r="H1940" s="8"/>
      <c r="I1940" s="9" t="s">
        <v>8205</v>
      </c>
      <c r="J1940" s="10"/>
      <c r="K1940" s="11">
        <v>20</v>
      </c>
      <c r="L1940" s="10"/>
      <c r="M1940" s="10" t="s">
        <v>47</v>
      </c>
      <c r="N1940" s="10"/>
      <c r="O1940" s="2">
        <v>2</v>
      </c>
      <c r="P1940" s="17">
        <f>297*(1-S3/100)</f>
        <v>297</v>
      </c>
      <c r="Q1940" s="18"/>
      <c r="R1940" s="10">
        <f>P1940*Q1940</f>
        <v>0</v>
      </c>
      <c r="S1940" s="19">
        <f>0.087*Q1940</f>
        <v>0</v>
      </c>
      <c r="T1940" s="20">
        <f>0.00163*Q1940</f>
        <v>0</v>
      </c>
      <c r="U1940" s="21"/>
      <c r="V1940" s="22" t="s">
        <v>8211</v>
      </c>
      <c r="W1940" s="22" t="s">
        <v>49</v>
      </c>
      <c r="X1940" s="3"/>
      <c r="Y1940" s="3"/>
      <c r="Z1940" s="3" t="s">
        <v>52</v>
      </c>
      <c r="AA1940" s="3"/>
      <c r="AB1940" s="3"/>
      <c r="AC1940" s="3" t="str">
        <f>HYPERLINK("https://knigipp.ru/api/getInfo/image/e61acccd-efe7-11ee-a25b-00155d82e908")</f>
        <v>https://knigipp.ru/api/getInfo/image/e61acccd-efe7-11ee-a25b-00155d82e908</v>
      </c>
      <c r="AD1940" s="32">
        <v>16</v>
      </c>
      <c r="AE1940" s="3" t="s">
        <v>54</v>
      </c>
      <c r="AF1940" s="3" t="s">
        <v>136</v>
      </c>
      <c r="AG1940" s="3"/>
      <c r="AH1940" s="3" t="s">
        <v>56</v>
      </c>
      <c r="AI1940" s="3"/>
      <c r="AJ1940" s="3"/>
      <c r="AK1940" s="3" t="str">
        <f>HYPERLINK("https://knigipp.ru/api/getInfo/item/e61acccd-efe7-11ee-a25b-00155d82e908")</f>
        <v>https://knigipp.ru/api/getInfo/item/e61acccd-efe7-11ee-a25b-00155d82e908</v>
      </c>
      <c r="AL1940" s="3" t="s">
        <v>8207</v>
      </c>
    </row>
    <row r="1941" spans="1:38" ht="21" customHeight="1" outlineLevel="4" x14ac:dyDescent="0.2">
      <c r="A1941" s="39">
        <v>1482</v>
      </c>
      <c r="B1941" s="3" t="s">
        <v>8212</v>
      </c>
      <c r="C1941" s="49" t="s">
        <v>8213</v>
      </c>
      <c r="D1941" s="49"/>
      <c r="E1941" s="49"/>
      <c r="F1941" s="49"/>
      <c r="G1941" s="4" t="s">
        <v>8214</v>
      </c>
      <c r="H1941" s="8"/>
      <c r="I1941" s="9" t="s">
        <v>8205</v>
      </c>
      <c r="J1941" s="10"/>
      <c r="K1941" s="11">
        <v>20</v>
      </c>
      <c r="L1941" s="10"/>
      <c r="M1941" s="10" t="s">
        <v>47</v>
      </c>
      <c r="N1941" s="10"/>
      <c r="O1941" s="2">
        <v>2</v>
      </c>
      <c r="P1941" s="17">
        <f>297*(1-S3/100)</f>
        <v>297</v>
      </c>
      <c r="Q1941" s="18"/>
      <c r="R1941" s="10">
        <f>P1941*Q1941</f>
        <v>0</v>
      </c>
      <c r="S1941" s="19">
        <f>0.077*Q1941</f>
        <v>0</v>
      </c>
      <c r="T1941" s="20">
        <f>0.00121*Q1941</f>
        <v>0</v>
      </c>
      <c r="U1941" s="21"/>
      <c r="V1941" s="22" t="s">
        <v>8215</v>
      </c>
      <c r="W1941" s="22" t="s">
        <v>49</v>
      </c>
      <c r="X1941" s="3"/>
      <c r="Y1941" s="3"/>
      <c r="Z1941" s="3" t="s">
        <v>52</v>
      </c>
      <c r="AA1941" s="3"/>
      <c r="AB1941" s="3"/>
      <c r="AC1941" s="3" t="str">
        <f>HYPERLINK("https://knigipp.ru/api/getInfo/image/4022dfd1-efe8-11ee-a25b-00155d82e908")</f>
        <v>https://knigipp.ru/api/getInfo/image/4022dfd1-efe8-11ee-a25b-00155d82e908</v>
      </c>
      <c r="AD1941" s="32">
        <v>16</v>
      </c>
      <c r="AE1941" s="3" t="s">
        <v>54</v>
      </c>
      <c r="AF1941" s="3" t="s">
        <v>136</v>
      </c>
      <c r="AG1941" s="3"/>
      <c r="AH1941" s="3" t="s">
        <v>56</v>
      </c>
      <c r="AI1941" s="3"/>
      <c r="AJ1941" s="3"/>
      <c r="AK1941" s="3" t="str">
        <f>HYPERLINK("https://knigipp.ru/api/getInfo/item/4022dfd1-efe8-11ee-a25b-00155d82e908")</f>
        <v>https://knigipp.ru/api/getInfo/item/4022dfd1-efe8-11ee-a25b-00155d82e908</v>
      </c>
      <c r="AL1941" s="3" t="s">
        <v>8207</v>
      </c>
    </row>
    <row r="1942" spans="1:38" ht="21" customHeight="1" outlineLevel="4" x14ac:dyDescent="0.2">
      <c r="A1942" s="39">
        <v>1483</v>
      </c>
      <c r="B1942" s="3" t="s">
        <v>8216</v>
      </c>
      <c r="C1942" s="49" t="s">
        <v>8217</v>
      </c>
      <c r="D1942" s="49"/>
      <c r="E1942" s="49"/>
      <c r="F1942" s="49"/>
      <c r="G1942" s="4" t="s">
        <v>8218</v>
      </c>
      <c r="H1942" s="8"/>
      <c r="I1942" s="9" t="s">
        <v>8205</v>
      </c>
      <c r="J1942" s="10"/>
      <c r="K1942" s="11">
        <v>20</v>
      </c>
      <c r="L1942" s="10"/>
      <c r="M1942" s="10" t="s">
        <v>47</v>
      </c>
      <c r="N1942" s="10"/>
      <c r="O1942" s="2">
        <v>2</v>
      </c>
      <c r="P1942" s="17">
        <f>297*(1-S3/100)</f>
        <v>297</v>
      </c>
      <c r="Q1942" s="18"/>
      <c r="R1942" s="10">
        <f>P1942*Q1942</f>
        <v>0</v>
      </c>
      <c r="S1942" s="19">
        <f>0.084*Q1942</f>
        <v>0</v>
      </c>
      <c r="T1942" s="20">
        <f>0.00172*Q1942</f>
        <v>0</v>
      </c>
      <c r="U1942" s="21"/>
      <c r="V1942" s="22" t="s">
        <v>8219</v>
      </c>
      <c r="W1942" s="22" t="s">
        <v>49</v>
      </c>
      <c r="X1942" s="3"/>
      <c r="Y1942" s="3"/>
      <c r="Z1942" s="3" t="s">
        <v>52</v>
      </c>
      <c r="AA1942" s="3"/>
      <c r="AB1942" s="3"/>
      <c r="AC1942" s="3" t="str">
        <f>HYPERLINK("https://knigipp.ru/api/getInfo/image/983c7ec6-efe7-11ee-a25b-00155d82e908")</f>
        <v>https://knigipp.ru/api/getInfo/image/983c7ec6-efe7-11ee-a25b-00155d82e908</v>
      </c>
      <c r="AD1942" s="32">
        <v>16</v>
      </c>
      <c r="AE1942" s="3" t="s">
        <v>54</v>
      </c>
      <c r="AF1942" s="3" t="s">
        <v>136</v>
      </c>
      <c r="AG1942" s="3"/>
      <c r="AH1942" s="3" t="s">
        <v>56</v>
      </c>
      <c r="AI1942" s="3"/>
      <c r="AJ1942" s="3"/>
      <c r="AK1942" s="3" t="str">
        <f>HYPERLINK("https://knigipp.ru/api/getInfo/item/983c7ec6-efe7-11ee-a25b-00155d82e908")</f>
        <v>https://knigipp.ru/api/getInfo/item/983c7ec6-efe7-11ee-a25b-00155d82e908</v>
      </c>
      <c r="AL1942" s="3" t="s">
        <v>8207</v>
      </c>
    </row>
    <row r="1943" spans="1:38" ht="23.1" customHeight="1" outlineLevel="3" x14ac:dyDescent="0.2">
      <c r="A1943" s="48" t="s">
        <v>8220</v>
      </c>
      <c r="B1943" s="48"/>
      <c r="C1943" s="48"/>
      <c r="D1943" s="48"/>
      <c r="E1943" s="48"/>
      <c r="F1943" s="48"/>
    </row>
    <row r="1944" spans="1:38" ht="21" customHeight="1" outlineLevel="4" x14ac:dyDescent="0.2">
      <c r="A1944" s="39">
        <v>1484</v>
      </c>
      <c r="B1944" s="3" t="s">
        <v>8221</v>
      </c>
      <c r="C1944" s="49" t="s">
        <v>8222</v>
      </c>
      <c r="D1944" s="49"/>
      <c r="E1944" s="49"/>
      <c r="F1944" s="49"/>
      <c r="G1944" s="4" t="s">
        <v>8223</v>
      </c>
      <c r="H1944" s="8"/>
      <c r="I1944" s="9" t="s">
        <v>8224</v>
      </c>
      <c r="J1944" s="10"/>
      <c r="K1944" s="11">
        <v>30</v>
      </c>
      <c r="L1944" s="10"/>
      <c r="M1944" s="10" t="s">
        <v>304</v>
      </c>
      <c r="N1944" s="10"/>
      <c r="O1944" s="2">
        <v>3</v>
      </c>
      <c r="P1944" s="17">
        <f>247*(1-S3/100)</f>
        <v>247</v>
      </c>
      <c r="Q1944" s="18"/>
      <c r="R1944" s="10">
        <f>P1944*Q1944</f>
        <v>0</v>
      </c>
      <c r="S1944" s="28">
        <f>0.11*Q1944</f>
        <v>0</v>
      </c>
      <c r="T1944" s="20">
        <f>0.00013*Q1944</f>
        <v>0</v>
      </c>
      <c r="U1944" s="21"/>
      <c r="V1944" s="22" t="s">
        <v>8225</v>
      </c>
      <c r="W1944" s="22" t="s">
        <v>49</v>
      </c>
      <c r="X1944" s="3"/>
      <c r="Y1944" s="3"/>
      <c r="Z1944" s="3" t="s">
        <v>52</v>
      </c>
      <c r="AA1944" s="3"/>
      <c r="AB1944" s="3"/>
      <c r="AC1944" s="3" t="str">
        <f>HYPERLINK("https://knigipp.ru/api/getInfo/image/83d53742-edc3-11ee-a25b-00155d82e908")</f>
        <v>https://knigipp.ru/api/getInfo/image/83d53742-edc3-11ee-a25b-00155d82e908</v>
      </c>
      <c r="AD1944" s="32">
        <v>16</v>
      </c>
      <c r="AE1944" s="3" t="s">
        <v>54</v>
      </c>
      <c r="AF1944" s="3" t="s">
        <v>136</v>
      </c>
      <c r="AG1944" s="3"/>
      <c r="AH1944" s="3" t="s">
        <v>56</v>
      </c>
      <c r="AI1944" s="3"/>
      <c r="AJ1944" s="3"/>
      <c r="AK1944" s="3" t="str">
        <f>HYPERLINK("https://knigipp.ru/api/getInfo/item/83d53742-edc3-11ee-a25b-00155d82e908")</f>
        <v>https://knigipp.ru/api/getInfo/item/83d53742-edc3-11ee-a25b-00155d82e908</v>
      </c>
      <c r="AL1944" s="3" t="s">
        <v>8226</v>
      </c>
    </row>
    <row r="1945" spans="1:38" ht="21" customHeight="1" outlineLevel="4" x14ac:dyDescent="0.2">
      <c r="A1945" s="39">
        <v>1485</v>
      </c>
      <c r="B1945" s="3" t="s">
        <v>8227</v>
      </c>
      <c r="C1945" s="49" t="s">
        <v>8228</v>
      </c>
      <c r="D1945" s="49"/>
      <c r="E1945" s="49"/>
      <c r="F1945" s="49"/>
      <c r="G1945" s="4" t="s">
        <v>8229</v>
      </c>
      <c r="H1945" s="8"/>
      <c r="I1945" s="9" t="s">
        <v>8224</v>
      </c>
      <c r="J1945" s="10"/>
      <c r="K1945" s="11">
        <v>30</v>
      </c>
      <c r="L1945" s="10"/>
      <c r="M1945" s="10" t="s">
        <v>304</v>
      </c>
      <c r="N1945" s="10"/>
      <c r="O1945" s="2">
        <v>3</v>
      </c>
      <c r="P1945" s="17">
        <f>247*(1-S3/100)</f>
        <v>247</v>
      </c>
      <c r="Q1945" s="18"/>
      <c r="R1945" s="10">
        <f>P1945*Q1945</f>
        <v>0</v>
      </c>
      <c r="S1945" s="28">
        <f>0.11*Q1945</f>
        <v>0</v>
      </c>
      <c r="T1945" s="20">
        <f>0.00013*Q1945</f>
        <v>0</v>
      </c>
      <c r="U1945" s="21"/>
      <c r="V1945" s="22" t="s">
        <v>8230</v>
      </c>
      <c r="W1945" s="22" t="s">
        <v>49</v>
      </c>
      <c r="X1945" s="3"/>
      <c r="Y1945" s="3"/>
      <c r="Z1945" s="3" t="s">
        <v>52</v>
      </c>
      <c r="AA1945" s="3"/>
      <c r="AB1945" s="3"/>
      <c r="AC1945" s="3" t="str">
        <f>HYPERLINK("https://knigipp.ru/api/getInfo/image/bffcdec5-edc3-11ee-a25b-00155d82e908")</f>
        <v>https://knigipp.ru/api/getInfo/image/bffcdec5-edc3-11ee-a25b-00155d82e908</v>
      </c>
      <c r="AD1945" s="32">
        <v>16</v>
      </c>
      <c r="AE1945" s="3" t="s">
        <v>54</v>
      </c>
      <c r="AF1945" s="3" t="s">
        <v>136</v>
      </c>
      <c r="AG1945" s="3"/>
      <c r="AH1945" s="3" t="s">
        <v>56</v>
      </c>
      <c r="AI1945" s="3"/>
      <c r="AJ1945" s="3"/>
      <c r="AK1945" s="3" t="str">
        <f>HYPERLINK("https://knigipp.ru/api/getInfo/item/bffcdec5-edc3-11ee-a25b-00155d82e908")</f>
        <v>https://knigipp.ru/api/getInfo/item/bffcdec5-edc3-11ee-a25b-00155d82e908</v>
      </c>
      <c r="AL1945" s="3" t="s">
        <v>8226</v>
      </c>
    </row>
    <row r="1946" spans="1:38" ht="23.1" customHeight="1" outlineLevel="3" x14ac:dyDescent="0.2">
      <c r="A1946" s="48" t="s">
        <v>8231</v>
      </c>
      <c r="B1946" s="48"/>
      <c r="C1946" s="48"/>
      <c r="D1946" s="48"/>
      <c r="E1946" s="48"/>
      <c r="F1946" s="48"/>
    </row>
    <row r="1947" spans="1:38" ht="21" customHeight="1" outlineLevel="4" x14ac:dyDescent="0.2">
      <c r="A1947" s="39">
        <v>1486</v>
      </c>
      <c r="B1947" s="3" t="s">
        <v>8232</v>
      </c>
      <c r="C1947" s="49" t="s">
        <v>8233</v>
      </c>
      <c r="D1947" s="49"/>
      <c r="E1947" s="49"/>
      <c r="F1947" s="49"/>
      <c r="G1947" s="4" t="s">
        <v>8234</v>
      </c>
      <c r="H1947" s="8"/>
      <c r="I1947" s="9" t="s">
        <v>8235</v>
      </c>
      <c r="J1947" s="10"/>
      <c r="K1947" s="11">
        <v>30</v>
      </c>
      <c r="L1947" s="10"/>
      <c r="M1947" s="10" t="s">
        <v>47</v>
      </c>
      <c r="N1947" s="10"/>
      <c r="O1947" s="2">
        <v>10</v>
      </c>
      <c r="P1947" s="17">
        <f>81.55*(1-S3/100)</f>
        <v>81.55</v>
      </c>
      <c r="Q1947" s="18"/>
      <c r="R1947" s="10">
        <f>P1947*Q1947</f>
        <v>0</v>
      </c>
      <c r="S1947" s="10">
        <v>0</v>
      </c>
      <c r="T1947" s="10">
        <v>0</v>
      </c>
      <c r="U1947" s="21"/>
      <c r="V1947" s="22" t="s">
        <v>8236</v>
      </c>
      <c r="W1947" s="22" t="s">
        <v>49</v>
      </c>
      <c r="X1947" s="3"/>
      <c r="Y1947" s="3"/>
      <c r="Z1947" s="3" t="s">
        <v>52</v>
      </c>
      <c r="AA1947" s="3"/>
      <c r="AB1947" s="3"/>
      <c r="AC1947" s="3" t="str">
        <f>HYPERLINK("https://knigipp.ru/api/getInfo/image/d7ac1284-64c0-11ec-a20f-ac1f6b442185")</f>
        <v>https://knigipp.ru/api/getInfo/image/d7ac1284-64c0-11ec-a20f-ac1f6b442185</v>
      </c>
      <c r="AD1947" s="32">
        <v>16</v>
      </c>
      <c r="AE1947" s="3"/>
      <c r="AF1947" s="3" t="s">
        <v>136</v>
      </c>
      <c r="AG1947" s="3"/>
      <c r="AH1947" s="3" t="s">
        <v>56</v>
      </c>
      <c r="AI1947" s="3"/>
      <c r="AJ1947" s="3"/>
      <c r="AK1947" s="3" t="str">
        <f>HYPERLINK("https://knigipp.ru/api/getInfo/item/d7ac1284-64c0-11ec-a20f-ac1f6b442185")</f>
        <v>https://knigipp.ru/api/getInfo/item/d7ac1284-64c0-11ec-a20f-ac1f6b442185</v>
      </c>
      <c r="AL1947" s="3" t="s">
        <v>1155</v>
      </c>
    </row>
    <row r="1948" spans="1:38" ht="23.1" customHeight="1" outlineLevel="3" x14ac:dyDescent="0.2">
      <c r="A1948" s="48" t="s">
        <v>8237</v>
      </c>
      <c r="B1948" s="48"/>
      <c r="C1948" s="48"/>
      <c r="D1948" s="48"/>
      <c r="E1948" s="48"/>
      <c r="F1948" s="48"/>
    </row>
    <row r="1949" spans="1:38" ht="21" customHeight="1" outlineLevel="4" x14ac:dyDescent="0.2">
      <c r="A1949" s="39">
        <v>1487</v>
      </c>
      <c r="B1949" s="3" t="s">
        <v>8238</v>
      </c>
      <c r="C1949" s="49" t="s">
        <v>8239</v>
      </c>
      <c r="D1949" s="49"/>
      <c r="E1949" s="49"/>
      <c r="F1949" s="49"/>
      <c r="G1949" s="4" t="s">
        <v>8240</v>
      </c>
      <c r="H1949" s="8"/>
      <c r="I1949" s="9" t="s">
        <v>8241</v>
      </c>
      <c r="J1949" s="10"/>
      <c r="K1949" s="11">
        <v>50</v>
      </c>
      <c r="L1949" s="10"/>
      <c r="M1949" s="10" t="s">
        <v>47</v>
      </c>
      <c r="N1949" s="10"/>
      <c r="O1949" s="2">
        <v>5</v>
      </c>
      <c r="P1949" s="17">
        <f>117*(1-S3/100)</f>
        <v>117</v>
      </c>
      <c r="Q1949" s="18"/>
      <c r="R1949" s="10">
        <f>P1949*Q1949</f>
        <v>0</v>
      </c>
      <c r="S1949" s="19">
        <f>0.064*Q1949</f>
        <v>0</v>
      </c>
      <c r="T1949" s="20">
        <f>0.00023*Q1949</f>
        <v>0</v>
      </c>
      <c r="U1949" s="21"/>
      <c r="V1949" s="22" t="s">
        <v>8242</v>
      </c>
      <c r="W1949" s="22" t="s">
        <v>49</v>
      </c>
      <c r="X1949" s="3"/>
      <c r="Y1949" s="3" t="s">
        <v>8243</v>
      </c>
      <c r="Z1949" s="3" t="s">
        <v>52</v>
      </c>
      <c r="AA1949" s="3"/>
      <c r="AB1949" s="3"/>
      <c r="AC1949" s="3" t="str">
        <f>HYPERLINK("https://knigipp.ru/api/getInfo/image/384eeafc-beab-11ee-a25a-00155d82e908")</f>
        <v>https://knigipp.ru/api/getInfo/image/384eeafc-beab-11ee-a25a-00155d82e908</v>
      </c>
      <c r="AD1949" s="32">
        <v>16</v>
      </c>
      <c r="AE1949" s="3" t="s">
        <v>54</v>
      </c>
      <c r="AF1949" s="3" t="s">
        <v>136</v>
      </c>
      <c r="AG1949" s="3"/>
      <c r="AH1949" s="3" t="s">
        <v>56</v>
      </c>
      <c r="AI1949" s="3"/>
      <c r="AJ1949" s="3"/>
      <c r="AK1949" s="3" t="str">
        <f>HYPERLINK("https://knigipp.ru/api/getInfo/item/384eeafc-beab-11ee-a25a-00155d82e908")</f>
        <v>https://knigipp.ru/api/getInfo/item/384eeafc-beab-11ee-a25a-00155d82e908</v>
      </c>
      <c r="AL1949" s="3" t="s">
        <v>935</v>
      </c>
    </row>
    <row r="1950" spans="1:38" ht="21" customHeight="1" outlineLevel="4" x14ac:dyDescent="0.2">
      <c r="A1950" s="39">
        <v>1488</v>
      </c>
      <c r="B1950" s="3" t="s">
        <v>8244</v>
      </c>
      <c r="C1950" s="49" t="s">
        <v>8245</v>
      </c>
      <c r="D1950" s="49"/>
      <c r="E1950" s="49"/>
      <c r="F1950" s="49"/>
      <c r="G1950" s="4" t="s">
        <v>8246</v>
      </c>
      <c r="H1950" s="8"/>
      <c r="I1950" s="9" t="s">
        <v>8241</v>
      </c>
      <c r="J1950" s="10"/>
      <c r="K1950" s="11">
        <v>50</v>
      </c>
      <c r="L1950" s="10"/>
      <c r="M1950" s="10" t="s">
        <v>47</v>
      </c>
      <c r="N1950" s="10"/>
      <c r="O1950" s="2">
        <v>5</v>
      </c>
      <c r="P1950" s="17">
        <f>117*(1-S3/100)</f>
        <v>117</v>
      </c>
      <c r="Q1950" s="18"/>
      <c r="R1950" s="10">
        <f>P1950*Q1950</f>
        <v>0</v>
      </c>
      <c r="S1950" s="19">
        <f>0.064*Q1950</f>
        <v>0</v>
      </c>
      <c r="T1950" s="20">
        <f>0.00023*Q1950</f>
        <v>0</v>
      </c>
      <c r="U1950" s="21"/>
      <c r="V1950" s="22" t="s">
        <v>8247</v>
      </c>
      <c r="W1950" s="22" t="s">
        <v>49</v>
      </c>
      <c r="X1950" s="3"/>
      <c r="Y1950" s="3" t="s">
        <v>8248</v>
      </c>
      <c r="Z1950" s="3" t="s">
        <v>52</v>
      </c>
      <c r="AA1950" s="3"/>
      <c r="AB1950" s="3"/>
      <c r="AC1950" s="3" t="str">
        <f>HYPERLINK("https://knigipp.ru/api/getInfo/image/e4e37e39-beaa-11ee-a25a-00155d82e908")</f>
        <v>https://knigipp.ru/api/getInfo/image/e4e37e39-beaa-11ee-a25a-00155d82e908</v>
      </c>
      <c r="AD1950" s="32">
        <v>16</v>
      </c>
      <c r="AE1950" s="3" t="s">
        <v>54</v>
      </c>
      <c r="AF1950" s="3" t="s">
        <v>136</v>
      </c>
      <c r="AG1950" s="3"/>
      <c r="AH1950" s="3" t="s">
        <v>56</v>
      </c>
      <c r="AI1950" s="3"/>
      <c r="AJ1950" s="3"/>
      <c r="AK1950" s="3" t="str">
        <f>HYPERLINK("https://knigipp.ru/api/getInfo/item/e4e37e39-beaa-11ee-a25a-00155d82e908")</f>
        <v>https://knigipp.ru/api/getInfo/item/e4e37e39-beaa-11ee-a25a-00155d82e908</v>
      </c>
      <c r="AL1950" s="3" t="s">
        <v>935</v>
      </c>
    </row>
    <row r="1951" spans="1:38" ht="21" customHeight="1" outlineLevel="4" x14ac:dyDescent="0.2">
      <c r="A1951" s="39">
        <v>1489</v>
      </c>
      <c r="B1951" s="3" t="s">
        <v>8249</v>
      </c>
      <c r="C1951" s="49" t="s">
        <v>8250</v>
      </c>
      <c r="D1951" s="49"/>
      <c r="E1951" s="49"/>
      <c r="F1951" s="49"/>
      <c r="G1951" s="4" t="s">
        <v>8251</v>
      </c>
      <c r="H1951" s="8"/>
      <c r="I1951" s="9" t="s">
        <v>8241</v>
      </c>
      <c r="J1951" s="10"/>
      <c r="K1951" s="11">
        <v>50</v>
      </c>
      <c r="L1951" s="10"/>
      <c r="M1951" s="10" t="s">
        <v>47</v>
      </c>
      <c r="N1951" s="10"/>
      <c r="O1951" s="2">
        <v>5</v>
      </c>
      <c r="P1951" s="17">
        <f>117*(1-S3/100)</f>
        <v>117</v>
      </c>
      <c r="Q1951" s="18"/>
      <c r="R1951" s="10">
        <f>P1951*Q1951</f>
        <v>0</v>
      </c>
      <c r="S1951" s="10">
        <v>0</v>
      </c>
      <c r="T1951" s="10">
        <v>0</v>
      </c>
      <c r="U1951" s="21"/>
      <c r="V1951" s="22" t="s">
        <v>8252</v>
      </c>
      <c r="W1951" s="22" t="s">
        <v>49</v>
      </c>
      <c r="X1951" s="3"/>
      <c r="Y1951" s="3" t="s">
        <v>8253</v>
      </c>
      <c r="Z1951" s="3" t="s">
        <v>52</v>
      </c>
      <c r="AA1951" s="3"/>
      <c r="AB1951" s="3"/>
      <c r="AC1951" s="3" t="str">
        <f>HYPERLINK("https://knigipp.ru/api/getInfo/image/632fd9d7-beab-11ee-a25a-00155d82e908")</f>
        <v>https://knigipp.ru/api/getInfo/image/632fd9d7-beab-11ee-a25a-00155d82e908</v>
      </c>
      <c r="AD1951" s="32">
        <v>16</v>
      </c>
      <c r="AE1951" s="3" t="s">
        <v>54</v>
      </c>
      <c r="AF1951" s="3" t="s">
        <v>136</v>
      </c>
      <c r="AG1951" s="3"/>
      <c r="AH1951" s="3" t="s">
        <v>56</v>
      </c>
      <c r="AI1951" s="3"/>
      <c r="AJ1951" s="3"/>
      <c r="AK1951" s="3" t="str">
        <f>HYPERLINK("https://knigipp.ru/api/getInfo/item/632fd9d7-beab-11ee-a25a-00155d82e908")</f>
        <v>https://knigipp.ru/api/getInfo/item/632fd9d7-beab-11ee-a25a-00155d82e908</v>
      </c>
      <c r="AL1951" s="3" t="s">
        <v>935</v>
      </c>
    </row>
    <row r="1952" spans="1:38" ht="21" customHeight="1" outlineLevel="4" x14ac:dyDescent="0.2">
      <c r="A1952" s="39">
        <v>1490</v>
      </c>
      <c r="B1952" s="3" t="s">
        <v>8254</v>
      </c>
      <c r="C1952" s="49" t="s">
        <v>8255</v>
      </c>
      <c r="D1952" s="49"/>
      <c r="E1952" s="49"/>
      <c r="F1952" s="49"/>
      <c r="G1952" s="4" t="s">
        <v>8256</v>
      </c>
      <c r="H1952" s="8"/>
      <c r="I1952" s="9" t="s">
        <v>8241</v>
      </c>
      <c r="J1952" s="10"/>
      <c r="K1952" s="11">
        <v>50</v>
      </c>
      <c r="L1952" s="10"/>
      <c r="M1952" s="10" t="s">
        <v>47</v>
      </c>
      <c r="N1952" s="10"/>
      <c r="O1952" s="2">
        <v>5</v>
      </c>
      <c r="P1952" s="17">
        <f>117*(1-S3/100)</f>
        <v>117</v>
      </c>
      <c r="Q1952" s="18"/>
      <c r="R1952" s="10">
        <f>P1952*Q1952</f>
        <v>0</v>
      </c>
      <c r="S1952" s="19">
        <f>0.064*Q1952</f>
        <v>0</v>
      </c>
      <c r="T1952" s="20">
        <f>0.00023*Q1952</f>
        <v>0</v>
      </c>
      <c r="U1952" s="21"/>
      <c r="V1952" s="22" t="s">
        <v>8257</v>
      </c>
      <c r="W1952" s="22" t="s">
        <v>49</v>
      </c>
      <c r="X1952" s="3"/>
      <c r="Y1952" s="3" t="s">
        <v>8258</v>
      </c>
      <c r="Z1952" s="3" t="s">
        <v>52</v>
      </c>
      <c r="AA1952" s="3"/>
      <c r="AB1952" s="3"/>
      <c r="AC1952" s="3" t="str">
        <f>HYPERLINK("https://knigipp.ru/api/getInfo/image/10099140-beab-11ee-a25a-00155d82e908")</f>
        <v>https://knigipp.ru/api/getInfo/image/10099140-beab-11ee-a25a-00155d82e908</v>
      </c>
      <c r="AD1952" s="32">
        <v>16</v>
      </c>
      <c r="AE1952" s="3" t="s">
        <v>54</v>
      </c>
      <c r="AF1952" s="3" t="s">
        <v>136</v>
      </c>
      <c r="AG1952" s="3"/>
      <c r="AH1952" s="3" t="s">
        <v>56</v>
      </c>
      <c r="AI1952" s="3"/>
      <c r="AJ1952" s="3"/>
      <c r="AK1952" s="3" t="str">
        <f>HYPERLINK("https://knigipp.ru/api/getInfo/item/10099140-beab-11ee-a25a-00155d82e908")</f>
        <v>https://knigipp.ru/api/getInfo/item/10099140-beab-11ee-a25a-00155d82e908</v>
      </c>
      <c r="AL1952" s="3" t="s">
        <v>935</v>
      </c>
    </row>
    <row r="1953" spans="1:38" ht="23.1" customHeight="1" outlineLevel="3" x14ac:dyDescent="0.2">
      <c r="A1953" s="48" t="s">
        <v>8259</v>
      </c>
      <c r="B1953" s="48"/>
      <c r="C1953" s="48"/>
      <c r="D1953" s="48"/>
      <c r="E1953" s="48"/>
      <c r="F1953" s="48"/>
    </row>
    <row r="1954" spans="1:38" ht="21" customHeight="1" outlineLevel="4" x14ac:dyDescent="0.2">
      <c r="A1954" s="39">
        <v>1491</v>
      </c>
      <c r="B1954" s="3" t="s">
        <v>8260</v>
      </c>
      <c r="C1954" s="49" t="s">
        <v>8261</v>
      </c>
      <c r="D1954" s="49"/>
      <c r="E1954" s="49"/>
      <c r="F1954" s="49"/>
      <c r="G1954" s="4" t="s">
        <v>8262</v>
      </c>
      <c r="H1954" s="8"/>
      <c r="I1954" s="9" t="s">
        <v>8263</v>
      </c>
      <c r="J1954" s="10"/>
      <c r="K1954" s="11">
        <v>50</v>
      </c>
      <c r="L1954" s="10"/>
      <c r="M1954" s="10" t="s">
        <v>47</v>
      </c>
      <c r="N1954" s="10"/>
      <c r="O1954" s="2">
        <v>10</v>
      </c>
      <c r="P1954" s="17">
        <f>57*(1-S3/100)</f>
        <v>57</v>
      </c>
      <c r="Q1954" s="18"/>
      <c r="R1954" s="10">
        <f t="shared" ref="R1954:R1960" si="82">P1954*Q1954</f>
        <v>0</v>
      </c>
      <c r="S1954" s="19">
        <f>0.068*Q1954</f>
        <v>0</v>
      </c>
      <c r="T1954" s="20">
        <f>0.00011*Q1954</f>
        <v>0</v>
      </c>
      <c r="U1954" s="21"/>
      <c r="V1954" s="22" t="s">
        <v>8264</v>
      </c>
      <c r="W1954" s="22" t="s">
        <v>49</v>
      </c>
      <c r="X1954" s="3"/>
      <c r="Y1954" s="3"/>
      <c r="Z1954" s="3" t="s">
        <v>52</v>
      </c>
      <c r="AA1954" s="3"/>
      <c r="AB1954" s="3"/>
      <c r="AC1954" s="3" t="str">
        <f>HYPERLINK("https://knigipp.ru/api/getInfo/image/fd867978-9c1d-11ea-a248-ac1f6b442184")</f>
        <v>https://knigipp.ru/api/getInfo/image/fd867978-9c1d-11ea-a248-ac1f6b442184</v>
      </c>
      <c r="AD1954" s="32">
        <v>16</v>
      </c>
      <c r="AE1954" s="3"/>
      <c r="AF1954" s="3" t="s">
        <v>136</v>
      </c>
      <c r="AG1954" s="3"/>
      <c r="AH1954" s="3" t="s">
        <v>56</v>
      </c>
      <c r="AI1954" s="3"/>
      <c r="AJ1954" s="3"/>
      <c r="AK1954" s="3" t="str">
        <f>HYPERLINK("https://knigipp.ru/api/getInfo/item/fd867978-9c1d-11ea-a248-ac1f6b442184")</f>
        <v>https://knigipp.ru/api/getInfo/item/fd867978-9c1d-11ea-a248-ac1f6b442184</v>
      </c>
      <c r="AL1954" s="3" t="s">
        <v>935</v>
      </c>
    </row>
    <row r="1955" spans="1:38" ht="21" customHeight="1" outlineLevel="4" x14ac:dyDescent="0.2">
      <c r="A1955" s="39">
        <v>1492</v>
      </c>
      <c r="B1955" s="3" t="s">
        <v>8265</v>
      </c>
      <c r="C1955" s="49" t="s">
        <v>8266</v>
      </c>
      <c r="D1955" s="49"/>
      <c r="E1955" s="49"/>
      <c r="F1955" s="49"/>
      <c r="G1955" s="4" t="s">
        <v>8267</v>
      </c>
      <c r="H1955" s="8"/>
      <c r="I1955" s="9" t="s">
        <v>8263</v>
      </c>
      <c r="J1955" s="10"/>
      <c r="K1955" s="11">
        <v>50</v>
      </c>
      <c r="L1955" s="10"/>
      <c r="M1955" s="10" t="s">
        <v>47</v>
      </c>
      <c r="N1955" s="10"/>
      <c r="O1955" s="2">
        <v>10</v>
      </c>
      <c r="P1955" s="17">
        <f>57*(1-S3/100)</f>
        <v>57</v>
      </c>
      <c r="Q1955" s="18"/>
      <c r="R1955" s="10">
        <f t="shared" si="82"/>
        <v>0</v>
      </c>
      <c r="S1955" s="19">
        <f>0.063*Q1955</f>
        <v>0</v>
      </c>
      <c r="T1955" s="20">
        <f>0.00006*Q1955</f>
        <v>0</v>
      </c>
      <c r="U1955" s="21"/>
      <c r="V1955" s="22" t="s">
        <v>8268</v>
      </c>
      <c r="W1955" s="22" t="s">
        <v>49</v>
      </c>
      <c r="X1955" s="3"/>
      <c r="Y1955" s="3"/>
      <c r="Z1955" s="3" t="s">
        <v>52</v>
      </c>
      <c r="AA1955" s="3"/>
      <c r="AB1955" s="3"/>
      <c r="AC1955" s="3" t="str">
        <f>HYPERLINK("https://knigipp.ru/api/getInfo/image/584416da-1aba-11eb-a25d-ac1f6b442184")</f>
        <v>https://knigipp.ru/api/getInfo/image/584416da-1aba-11eb-a25d-ac1f6b442184</v>
      </c>
      <c r="AD1955" s="32">
        <v>16</v>
      </c>
      <c r="AE1955" s="3"/>
      <c r="AF1955" s="3" t="s">
        <v>136</v>
      </c>
      <c r="AG1955" s="3"/>
      <c r="AH1955" s="3" t="s">
        <v>56</v>
      </c>
      <c r="AI1955" s="3"/>
      <c r="AJ1955" s="3"/>
      <c r="AK1955" s="3" t="str">
        <f>HYPERLINK("https://knigipp.ru/api/getInfo/item/584416da-1aba-11eb-a25d-ac1f6b442184")</f>
        <v>https://knigipp.ru/api/getInfo/item/584416da-1aba-11eb-a25d-ac1f6b442184</v>
      </c>
      <c r="AL1955" s="3" t="s">
        <v>935</v>
      </c>
    </row>
    <row r="1956" spans="1:38" ht="21" customHeight="1" outlineLevel="4" x14ac:dyDescent="0.2">
      <c r="A1956" s="39">
        <v>1493</v>
      </c>
      <c r="B1956" s="3" t="s">
        <v>8269</v>
      </c>
      <c r="C1956" s="49" t="s">
        <v>8270</v>
      </c>
      <c r="D1956" s="49"/>
      <c r="E1956" s="49"/>
      <c r="F1956" s="49"/>
      <c r="G1956" s="4" t="s">
        <v>8271</v>
      </c>
      <c r="H1956" s="8"/>
      <c r="I1956" s="9" t="s">
        <v>8263</v>
      </c>
      <c r="J1956" s="10"/>
      <c r="K1956" s="11">
        <v>50</v>
      </c>
      <c r="L1956" s="10"/>
      <c r="M1956" s="10" t="s">
        <v>47</v>
      </c>
      <c r="N1956" s="10"/>
      <c r="O1956" s="2">
        <v>10</v>
      </c>
      <c r="P1956" s="17">
        <f>57*(1-S3/100)</f>
        <v>57</v>
      </c>
      <c r="Q1956" s="18"/>
      <c r="R1956" s="10">
        <f t="shared" si="82"/>
        <v>0</v>
      </c>
      <c r="S1956" s="19">
        <f>0.064*Q1956</f>
        <v>0</v>
      </c>
      <c r="T1956" s="20">
        <f>0.00022*Q1956</f>
        <v>0</v>
      </c>
      <c r="U1956" s="21"/>
      <c r="V1956" s="22" t="s">
        <v>8272</v>
      </c>
      <c r="W1956" s="22" t="s">
        <v>49</v>
      </c>
      <c r="X1956" s="3"/>
      <c r="Y1956" s="3"/>
      <c r="Z1956" s="3" t="s">
        <v>52</v>
      </c>
      <c r="AA1956" s="3"/>
      <c r="AB1956" s="3"/>
      <c r="AC1956" s="3" t="str">
        <f>HYPERLINK("https://knigipp.ru/api/getInfo/image/0a581b3e-1aba-11eb-a25d-ac1f6b442184")</f>
        <v>https://knigipp.ru/api/getInfo/image/0a581b3e-1aba-11eb-a25d-ac1f6b442184</v>
      </c>
      <c r="AD1956" s="32">
        <v>16</v>
      </c>
      <c r="AE1956" s="3"/>
      <c r="AF1956" s="3" t="s">
        <v>136</v>
      </c>
      <c r="AG1956" s="3"/>
      <c r="AH1956" s="3" t="s">
        <v>56</v>
      </c>
      <c r="AI1956" s="3"/>
      <c r="AJ1956" s="3"/>
      <c r="AK1956" s="3" t="str">
        <f>HYPERLINK("https://knigipp.ru/api/getInfo/item/0a581b3e-1aba-11eb-a25d-ac1f6b442184")</f>
        <v>https://knigipp.ru/api/getInfo/item/0a581b3e-1aba-11eb-a25d-ac1f6b442184</v>
      </c>
      <c r="AL1956" s="3" t="s">
        <v>935</v>
      </c>
    </row>
    <row r="1957" spans="1:38" ht="21" customHeight="1" outlineLevel="4" x14ac:dyDescent="0.2">
      <c r="A1957" s="39">
        <v>1494</v>
      </c>
      <c r="B1957" s="3" t="s">
        <v>8273</v>
      </c>
      <c r="C1957" s="49" t="s">
        <v>8274</v>
      </c>
      <c r="D1957" s="49"/>
      <c r="E1957" s="49"/>
      <c r="F1957" s="49"/>
      <c r="G1957" s="4" t="s">
        <v>8275</v>
      </c>
      <c r="H1957" s="8"/>
      <c r="I1957" s="9" t="s">
        <v>8263</v>
      </c>
      <c r="J1957" s="10"/>
      <c r="K1957" s="11">
        <v>50</v>
      </c>
      <c r="L1957" s="10"/>
      <c r="M1957" s="10" t="s">
        <v>47</v>
      </c>
      <c r="N1957" s="10"/>
      <c r="O1957" s="2">
        <v>10</v>
      </c>
      <c r="P1957" s="17">
        <f>57*(1-S3/100)</f>
        <v>57</v>
      </c>
      <c r="Q1957" s="18"/>
      <c r="R1957" s="10">
        <f t="shared" si="82"/>
        <v>0</v>
      </c>
      <c r="S1957" s="28">
        <f>0.07*Q1957</f>
        <v>0</v>
      </c>
      <c r="T1957" s="20">
        <f>0.00011*Q1957</f>
        <v>0</v>
      </c>
      <c r="U1957" s="21"/>
      <c r="V1957" s="22" t="s">
        <v>8276</v>
      </c>
      <c r="W1957" s="22" t="s">
        <v>49</v>
      </c>
      <c r="X1957" s="3"/>
      <c r="Y1957" s="3"/>
      <c r="Z1957" s="3" t="s">
        <v>52</v>
      </c>
      <c r="AA1957" s="3"/>
      <c r="AB1957" s="3"/>
      <c r="AC1957" s="3" t="str">
        <f>HYPERLINK("https://knigipp.ru/api/getInfo/image/30b4be2f-9c1e-11ea-a248-ac1f6b442184")</f>
        <v>https://knigipp.ru/api/getInfo/image/30b4be2f-9c1e-11ea-a248-ac1f6b442184</v>
      </c>
      <c r="AD1957" s="32">
        <v>16</v>
      </c>
      <c r="AE1957" s="3"/>
      <c r="AF1957" s="3" t="s">
        <v>136</v>
      </c>
      <c r="AG1957" s="3"/>
      <c r="AH1957" s="3" t="s">
        <v>56</v>
      </c>
      <c r="AI1957" s="3"/>
      <c r="AJ1957" s="3"/>
      <c r="AK1957" s="3" t="str">
        <f>HYPERLINK("https://knigipp.ru/api/getInfo/item/30b4be2f-9c1e-11ea-a248-ac1f6b442184")</f>
        <v>https://knigipp.ru/api/getInfo/item/30b4be2f-9c1e-11ea-a248-ac1f6b442184</v>
      </c>
      <c r="AL1957" s="3" t="s">
        <v>935</v>
      </c>
    </row>
    <row r="1958" spans="1:38" ht="21" customHeight="1" outlineLevel="4" x14ac:dyDescent="0.2">
      <c r="A1958" s="39">
        <v>1495</v>
      </c>
      <c r="B1958" s="3" t="s">
        <v>8277</v>
      </c>
      <c r="C1958" s="49" t="s">
        <v>8278</v>
      </c>
      <c r="D1958" s="49"/>
      <c r="E1958" s="49"/>
      <c r="F1958" s="49"/>
      <c r="G1958" s="4" t="s">
        <v>8279</v>
      </c>
      <c r="H1958" s="8"/>
      <c r="I1958" s="9" t="s">
        <v>8263</v>
      </c>
      <c r="J1958" s="10"/>
      <c r="K1958" s="11">
        <v>50</v>
      </c>
      <c r="L1958" s="10"/>
      <c r="M1958" s="10" t="s">
        <v>47</v>
      </c>
      <c r="N1958" s="10"/>
      <c r="O1958" s="2">
        <v>10</v>
      </c>
      <c r="P1958" s="17">
        <f>57*(1-S3/100)</f>
        <v>57</v>
      </c>
      <c r="Q1958" s="18"/>
      <c r="R1958" s="10">
        <f t="shared" si="82"/>
        <v>0</v>
      </c>
      <c r="S1958" s="19">
        <f>0.064*Q1958</f>
        <v>0</v>
      </c>
      <c r="T1958" s="20">
        <f>0.00023*Q1958</f>
        <v>0</v>
      </c>
      <c r="U1958" s="21"/>
      <c r="V1958" s="22" t="s">
        <v>8280</v>
      </c>
      <c r="W1958" s="22" t="s">
        <v>49</v>
      </c>
      <c r="X1958" s="3"/>
      <c r="Y1958" s="3"/>
      <c r="Z1958" s="3" t="s">
        <v>52</v>
      </c>
      <c r="AA1958" s="3"/>
      <c r="AB1958" s="3"/>
      <c r="AC1958" s="3" t="str">
        <f>HYPERLINK("https://knigipp.ru/api/getInfo/image/40e59a1b-1aba-11eb-a25d-ac1f6b442184")</f>
        <v>https://knigipp.ru/api/getInfo/image/40e59a1b-1aba-11eb-a25d-ac1f6b442184</v>
      </c>
      <c r="AD1958" s="32">
        <v>16</v>
      </c>
      <c r="AE1958" s="3"/>
      <c r="AF1958" s="3" t="s">
        <v>136</v>
      </c>
      <c r="AG1958" s="3"/>
      <c r="AH1958" s="3" t="s">
        <v>56</v>
      </c>
      <c r="AI1958" s="3"/>
      <c r="AJ1958" s="3"/>
      <c r="AK1958" s="3" t="str">
        <f>HYPERLINK("https://knigipp.ru/api/getInfo/item/40e59a1b-1aba-11eb-a25d-ac1f6b442184")</f>
        <v>https://knigipp.ru/api/getInfo/item/40e59a1b-1aba-11eb-a25d-ac1f6b442184</v>
      </c>
      <c r="AL1958" s="3" t="s">
        <v>935</v>
      </c>
    </row>
    <row r="1959" spans="1:38" ht="21" customHeight="1" outlineLevel="4" x14ac:dyDescent="0.2">
      <c r="A1959" s="39">
        <v>1496</v>
      </c>
      <c r="B1959" s="3" t="s">
        <v>8281</v>
      </c>
      <c r="C1959" s="49" t="s">
        <v>8282</v>
      </c>
      <c r="D1959" s="49"/>
      <c r="E1959" s="49"/>
      <c r="F1959" s="49"/>
      <c r="G1959" s="4" t="s">
        <v>8283</v>
      </c>
      <c r="H1959" s="8"/>
      <c r="I1959" s="9" t="s">
        <v>8263</v>
      </c>
      <c r="J1959" s="10"/>
      <c r="K1959" s="11">
        <v>50</v>
      </c>
      <c r="L1959" s="10"/>
      <c r="M1959" s="10" t="s">
        <v>47</v>
      </c>
      <c r="N1959" s="10"/>
      <c r="O1959" s="2">
        <v>10</v>
      </c>
      <c r="P1959" s="17">
        <f>57*(1-S3/100)</f>
        <v>57</v>
      </c>
      <c r="Q1959" s="18"/>
      <c r="R1959" s="10">
        <f t="shared" si="82"/>
        <v>0</v>
      </c>
      <c r="S1959" s="19">
        <f>0.063*Q1959</f>
        <v>0</v>
      </c>
      <c r="T1959" s="20">
        <f>0.00017*Q1959</f>
        <v>0</v>
      </c>
      <c r="U1959" s="21"/>
      <c r="V1959" s="22" t="s">
        <v>8284</v>
      </c>
      <c r="W1959" s="22" t="s">
        <v>49</v>
      </c>
      <c r="X1959" s="3"/>
      <c r="Y1959" s="3"/>
      <c r="Z1959" s="3" t="s">
        <v>52</v>
      </c>
      <c r="AA1959" s="3"/>
      <c r="AB1959" s="3"/>
      <c r="AC1959" s="3" t="str">
        <f>HYPERLINK("https://knigipp.ru/api/getInfo/image/1b3cbdbb-9c1e-11ea-a248-ac1f6b442184")</f>
        <v>https://knigipp.ru/api/getInfo/image/1b3cbdbb-9c1e-11ea-a248-ac1f6b442184</v>
      </c>
      <c r="AD1959" s="32">
        <v>16</v>
      </c>
      <c r="AE1959" s="3"/>
      <c r="AF1959" s="3" t="s">
        <v>136</v>
      </c>
      <c r="AG1959" s="3"/>
      <c r="AH1959" s="3" t="s">
        <v>56</v>
      </c>
      <c r="AI1959" s="3"/>
      <c r="AJ1959" s="3"/>
      <c r="AK1959" s="3" t="str">
        <f>HYPERLINK("https://knigipp.ru/api/getInfo/item/1b3cbdbb-9c1e-11ea-a248-ac1f6b442184")</f>
        <v>https://knigipp.ru/api/getInfo/item/1b3cbdbb-9c1e-11ea-a248-ac1f6b442184</v>
      </c>
      <c r="AL1959" s="3" t="s">
        <v>935</v>
      </c>
    </row>
    <row r="1960" spans="1:38" ht="21" customHeight="1" outlineLevel="4" x14ac:dyDescent="0.2">
      <c r="A1960" s="39">
        <v>1497</v>
      </c>
      <c r="B1960" s="3" t="s">
        <v>8285</v>
      </c>
      <c r="C1960" s="49" t="s">
        <v>8286</v>
      </c>
      <c r="D1960" s="49"/>
      <c r="E1960" s="49"/>
      <c r="F1960" s="49"/>
      <c r="G1960" s="4" t="s">
        <v>8287</v>
      </c>
      <c r="H1960" s="8"/>
      <c r="I1960" s="9" t="s">
        <v>8263</v>
      </c>
      <c r="J1960" s="10"/>
      <c r="K1960" s="11">
        <v>50</v>
      </c>
      <c r="L1960" s="10"/>
      <c r="M1960" s="10" t="s">
        <v>47</v>
      </c>
      <c r="N1960" s="10"/>
      <c r="O1960" s="2">
        <v>10</v>
      </c>
      <c r="P1960" s="17">
        <f>57*(1-S3/100)</f>
        <v>57</v>
      </c>
      <c r="Q1960" s="18"/>
      <c r="R1960" s="10">
        <f t="shared" si="82"/>
        <v>0</v>
      </c>
      <c r="S1960" s="19">
        <f>0.072*Q1960</f>
        <v>0</v>
      </c>
      <c r="T1960" s="20">
        <f>0.00011*Q1960</f>
        <v>0</v>
      </c>
      <c r="U1960" s="21"/>
      <c r="V1960" s="22" t="s">
        <v>8288</v>
      </c>
      <c r="W1960" s="22" t="s">
        <v>49</v>
      </c>
      <c r="X1960" s="3"/>
      <c r="Y1960" s="3"/>
      <c r="Z1960" s="3" t="s">
        <v>52</v>
      </c>
      <c r="AA1960" s="3"/>
      <c r="AB1960" s="3"/>
      <c r="AC1960" s="3" t="str">
        <f>HYPERLINK("https://knigipp.ru/api/getInfo/image/6582375a-9c1e-11ea-a248-ac1f6b442184")</f>
        <v>https://knigipp.ru/api/getInfo/image/6582375a-9c1e-11ea-a248-ac1f6b442184</v>
      </c>
      <c r="AD1960" s="32">
        <v>16</v>
      </c>
      <c r="AE1960" s="3"/>
      <c r="AF1960" s="3" t="s">
        <v>136</v>
      </c>
      <c r="AG1960" s="3"/>
      <c r="AH1960" s="3" t="s">
        <v>56</v>
      </c>
      <c r="AI1960" s="3"/>
      <c r="AJ1960" s="3"/>
      <c r="AK1960" s="3" t="str">
        <f>HYPERLINK("https://knigipp.ru/api/getInfo/item/6582375a-9c1e-11ea-a248-ac1f6b442184")</f>
        <v>https://knigipp.ru/api/getInfo/item/6582375a-9c1e-11ea-a248-ac1f6b442184</v>
      </c>
      <c r="AL1960" s="3" t="s">
        <v>935</v>
      </c>
    </row>
    <row r="1961" spans="1:38" ht="23.1" customHeight="1" outlineLevel="3" x14ac:dyDescent="0.2">
      <c r="A1961" s="48" t="s">
        <v>8289</v>
      </c>
      <c r="B1961" s="48"/>
      <c r="C1961" s="48"/>
      <c r="D1961" s="48"/>
      <c r="E1961" s="48"/>
      <c r="F1961" s="48"/>
    </row>
    <row r="1962" spans="1:38" ht="21" customHeight="1" outlineLevel="4" x14ac:dyDescent="0.2">
      <c r="A1962" s="39">
        <v>1498</v>
      </c>
      <c r="B1962" s="3" t="s">
        <v>8290</v>
      </c>
      <c r="C1962" s="49" t="s">
        <v>8291</v>
      </c>
      <c r="D1962" s="49"/>
      <c r="E1962" s="49"/>
      <c r="F1962" s="49"/>
      <c r="G1962" s="4" t="s">
        <v>8292</v>
      </c>
      <c r="H1962" s="8"/>
      <c r="I1962" s="9" t="s">
        <v>8293</v>
      </c>
      <c r="J1962" s="10"/>
      <c r="K1962" s="11">
        <v>20</v>
      </c>
      <c r="L1962" s="10"/>
      <c r="M1962" s="10" t="s">
        <v>47</v>
      </c>
      <c r="N1962" s="10"/>
      <c r="O1962" s="2">
        <v>3</v>
      </c>
      <c r="P1962" s="17">
        <f>199*(1-S3/100)</f>
        <v>199</v>
      </c>
      <c r="Q1962" s="18"/>
      <c r="R1962" s="10">
        <f>P1962*Q1962</f>
        <v>0</v>
      </c>
      <c r="S1962" s="19">
        <f>0.076*Q1962</f>
        <v>0</v>
      </c>
      <c r="T1962" s="20">
        <f>0.00035*Q1962</f>
        <v>0</v>
      </c>
      <c r="U1962" s="21"/>
      <c r="V1962" s="22" t="s">
        <v>8294</v>
      </c>
      <c r="W1962" s="22" t="s">
        <v>49</v>
      </c>
      <c r="X1962" s="3"/>
      <c r="Y1962" s="3" t="s">
        <v>8295</v>
      </c>
      <c r="Z1962" s="3" t="s">
        <v>52</v>
      </c>
      <c r="AA1962" s="3"/>
      <c r="AB1962" s="3"/>
      <c r="AC1962" s="3" t="str">
        <f>HYPERLINK("https://knigipp.ru/api/getInfo/image/bf55482b-3d55-11f0-a27c-00155d82e908")</f>
        <v>https://knigipp.ru/api/getInfo/image/bf55482b-3d55-11f0-a27c-00155d82e908</v>
      </c>
      <c r="AD1962" s="32">
        <v>24</v>
      </c>
      <c r="AE1962" s="3"/>
      <c r="AF1962" s="3" t="s">
        <v>741</v>
      </c>
      <c r="AG1962" s="3"/>
      <c r="AH1962" s="3" t="s">
        <v>56</v>
      </c>
      <c r="AI1962" s="3"/>
      <c r="AJ1962" s="3"/>
      <c r="AK1962" s="3" t="str">
        <f>HYPERLINK("https://knigipp.ru/api/getInfo/item/bf55482b-3d55-11f0-a27c-00155d82e908")</f>
        <v>https://knigipp.ru/api/getInfo/item/bf55482b-3d55-11f0-a27c-00155d82e908</v>
      </c>
      <c r="AL1962" s="3" t="s">
        <v>8296</v>
      </c>
    </row>
    <row r="1963" spans="1:38" ht="21" customHeight="1" outlineLevel="4" x14ac:dyDescent="0.2">
      <c r="A1963" s="39">
        <v>1499</v>
      </c>
      <c r="B1963" s="3" t="s">
        <v>8297</v>
      </c>
      <c r="C1963" s="49" t="s">
        <v>8298</v>
      </c>
      <c r="D1963" s="49"/>
      <c r="E1963" s="49"/>
      <c r="F1963" s="49"/>
      <c r="G1963" s="4" t="s">
        <v>8299</v>
      </c>
      <c r="H1963" s="8"/>
      <c r="I1963" s="9" t="s">
        <v>8293</v>
      </c>
      <c r="J1963" s="10"/>
      <c r="K1963" s="11">
        <v>20</v>
      </c>
      <c r="L1963" s="10"/>
      <c r="M1963" s="10" t="s">
        <v>78</v>
      </c>
      <c r="N1963" s="10"/>
      <c r="O1963" s="2">
        <v>3</v>
      </c>
      <c r="P1963" s="17">
        <f>199*(1-S3/100)</f>
        <v>199</v>
      </c>
      <c r="Q1963" s="18"/>
      <c r="R1963" s="10">
        <f>P1963*Q1963</f>
        <v>0</v>
      </c>
      <c r="S1963" s="19">
        <f>0.079*Q1963</f>
        <v>0</v>
      </c>
      <c r="T1963" s="20">
        <f>0.00016*Q1963</f>
        <v>0</v>
      </c>
      <c r="U1963" s="21"/>
      <c r="V1963" s="22" t="s">
        <v>8300</v>
      </c>
      <c r="W1963" s="22" t="s">
        <v>49</v>
      </c>
      <c r="X1963" s="3"/>
      <c r="Y1963" s="3" t="s">
        <v>8301</v>
      </c>
      <c r="Z1963" s="3" t="s">
        <v>52</v>
      </c>
      <c r="AA1963" s="3"/>
      <c r="AB1963" s="3"/>
      <c r="AC1963" s="3" t="str">
        <f>HYPERLINK("https://knigipp.ru/api/getInfo/image/7ead91e3-e576-11f0-a28c-00155d82e908")</f>
        <v>https://knigipp.ru/api/getInfo/image/7ead91e3-e576-11f0-a28c-00155d82e908</v>
      </c>
      <c r="AD1963" s="32">
        <v>24</v>
      </c>
      <c r="AE1963" s="3"/>
      <c r="AF1963" s="3" t="s">
        <v>741</v>
      </c>
      <c r="AG1963" s="3"/>
      <c r="AH1963" s="3" t="s">
        <v>56</v>
      </c>
      <c r="AI1963" s="3"/>
      <c r="AJ1963" s="3"/>
      <c r="AK1963" s="3" t="str">
        <f>HYPERLINK("https://knigipp.ru/api/getInfo/item/7ead91e3-e576-11f0-a28c-00155d82e908")</f>
        <v>https://knigipp.ru/api/getInfo/item/7ead91e3-e576-11f0-a28c-00155d82e908</v>
      </c>
      <c r="AL1963" s="3" t="s">
        <v>8302</v>
      </c>
    </row>
    <row r="1964" spans="1:38" ht="21" customHeight="1" outlineLevel="4" x14ac:dyDescent="0.2">
      <c r="A1964" s="39">
        <v>1500</v>
      </c>
      <c r="B1964" s="3" t="s">
        <v>8303</v>
      </c>
      <c r="C1964" s="49" t="s">
        <v>8304</v>
      </c>
      <c r="D1964" s="49"/>
      <c r="E1964" s="49"/>
      <c r="F1964" s="49"/>
      <c r="G1964" s="4" t="s">
        <v>8305</v>
      </c>
      <c r="H1964" s="8"/>
      <c r="I1964" s="9" t="s">
        <v>8293</v>
      </c>
      <c r="J1964" s="10"/>
      <c r="K1964" s="11">
        <v>20</v>
      </c>
      <c r="L1964" s="10"/>
      <c r="M1964" s="10" t="s">
        <v>78</v>
      </c>
      <c r="N1964" s="10"/>
      <c r="O1964" s="2">
        <v>3</v>
      </c>
      <c r="P1964" s="17">
        <f>199*(1-S3/100)</f>
        <v>199</v>
      </c>
      <c r="Q1964" s="18"/>
      <c r="R1964" s="10">
        <f>P1964*Q1964</f>
        <v>0</v>
      </c>
      <c r="S1964" s="19">
        <f>0.081*Q1964</f>
        <v>0</v>
      </c>
      <c r="T1964" s="20">
        <f>0.00009*Q1964</f>
        <v>0</v>
      </c>
      <c r="U1964" s="21"/>
      <c r="V1964" s="22" t="s">
        <v>8306</v>
      </c>
      <c r="W1964" s="22" t="s">
        <v>49</v>
      </c>
      <c r="X1964" s="3"/>
      <c r="Y1964" s="3" t="s">
        <v>8301</v>
      </c>
      <c r="Z1964" s="3" t="s">
        <v>52</v>
      </c>
      <c r="AA1964" s="3"/>
      <c r="AB1964" s="3"/>
      <c r="AC1964" s="3" t="str">
        <f>HYPERLINK("https://knigipp.ru/api/getInfo/image/a19f9c9a-e576-11f0-a28c-00155d82e908")</f>
        <v>https://knigipp.ru/api/getInfo/image/a19f9c9a-e576-11f0-a28c-00155d82e908</v>
      </c>
      <c r="AD1964" s="32">
        <v>24</v>
      </c>
      <c r="AE1964" s="3"/>
      <c r="AF1964" s="3" t="s">
        <v>741</v>
      </c>
      <c r="AG1964" s="3"/>
      <c r="AH1964" s="3" t="s">
        <v>56</v>
      </c>
      <c r="AI1964" s="3"/>
      <c r="AJ1964" s="3"/>
      <c r="AK1964" s="3" t="str">
        <f>HYPERLINK("https://knigipp.ru/api/getInfo/item/a19f9c9a-e576-11f0-a28c-00155d82e908")</f>
        <v>https://knigipp.ru/api/getInfo/item/a19f9c9a-e576-11f0-a28c-00155d82e908</v>
      </c>
      <c r="AL1964" s="3" t="s">
        <v>8302</v>
      </c>
    </row>
    <row r="1965" spans="1:38" ht="23.1" customHeight="1" outlineLevel="3" x14ac:dyDescent="0.2">
      <c r="A1965" s="48" t="s">
        <v>8307</v>
      </c>
      <c r="B1965" s="48"/>
      <c r="C1965" s="48"/>
      <c r="D1965" s="48"/>
      <c r="E1965" s="48"/>
      <c r="F1965" s="48"/>
    </row>
    <row r="1966" spans="1:38" ht="21" customHeight="1" outlineLevel="4" x14ac:dyDescent="0.2">
      <c r="A1966" s="39">
        <v>1501</v>
      </c>
      <c r="B1966" s="3" t="s">
        <v>8308</v>
      </c>
      <c r="C1966" s="49" t="s">
        <v>8309</v>
      </c>
      <c r="D1966" s="49"/>
      <c r="E1966" s="49"/>
      <c r="F1966" s="49"/>
      <c r="G1966" s="4" t="s">
        <v>8310</v>
      </c>
      <c r="H1966" s="8"/>
      <c r="I1966" s="9" t="s">
        <v>8311</v>
      </c>
      <c r="J1966" s="10"/>
      <c r="K1966" s="11">
        <v>20</v>
      </c>
      <c r="L1966" s="10"/>
      <c r="M1966" s="10" t="s">
        <v>47</v>
      </c>
      <c r="N1966" s="10"/>
      <c r="O1966" s="2">
        <v>3</v>
      </c>
      <c r="P1966" s="17">
        <f>237*(1-S3/100)</f>
        <v>237</v>
      </c>
      <c r="Q1966" s="18"/>
      <c r="R1966" s="10">
        <f>P1966*Q1966</f>
        <v>0</v>
      </c>
      <c r="S1966" s="19">
        <f>0.093*Q1966</f>
        <v>0</v>
      </c>
      <c r="T1966" s="30">
        <f>0.0002*Q1966</f>
        <v>0</v>
      </c>
      <c r="U1966" s="21"/>
      <c r="V1966" s="22" t="s">
        <v>8312</v>
      </c>
      <c r="W1966" s="22" t="s">
        <v>49</v>
      </c>
      <c r="X1966" s="3"/>
      <c r="Y1966" s="3" t="s">
        <v>8313</v>
      </c>
      <c r="Z1966" s="3" t="s">
        <v>52</v>
      </c>
      <c r="AA1966" s="3"/>
      <c r="AB1966" s="3"/>
      <c r="AC1966" s="3" t="str">
        <f>HYPERLINK("https://knigipp.ru/api/getInfo/image/9418f8fc-f5ca-11ef-a274-00155d82e908")</f>
        <v>https://knigipp.ru/api/getInfo/image/9418f8fc-f5ca-11ef-a274-00155d82e908</v>
      </c>
      <c r="AD1966" s="32">
        <v>24</v>
      </c>
      <c r="AE1966" s="3" t="s">
        <v>54</v>
      </c>
      <c r="AF1966" s="3" t="s">
        <v>741</v>
      </c>
      <c r="AG1966" s="3"/>
      <c r="AH1966" s="3" t="s">
        <v>56</v>
      </c>
      <c r="AI1966" s="3"/>
      <c r="AJ1966" s="3"/>
      <c r="AK1966" s="3" t="str">
        <f>HYPERLINK("https://knigipp.ru/api/getInfo/item/9418f8fc-f5ca-11ef-a274-00155d82e908")</f>
        <v>https://knigipp.ru/api/getInfo/item/9418f8fc-f5ca-11ef-a274-00155d82e908</v>
      </c>
      <c r="AL1966" s="3" t="s">
        <v>8314</v>
      </c>
    </row>
    <row r="1967" spans="1:38" ht="21" customHeight="1" outlineLevel="4" x14ac:dyDescent="0.2">
      <c r="A1967" s="39">
        <v>1502</v>
      </c>
      <c r="B1967" s="3" t="s">
        <v>8315</v>
      </c>
      <c r="C1967" s="49" t="s">
        <v>8316</v>
      </c>
      <c r="D1967" s="49"/>
      <c r="E1967" s="49"/>
      <c r="F1967" s="49"/>
      <c r="G1967" s="4" t="s">
        <v>8317</v>
      </c>
      <c r="H1967" s="8"/>
      <c r="I1967" s="9" t="s">
        <v>8311</v>
      </c>
      <c r="J1967" s="10"/>
      <c r="K1967" s="11">
        <v>20</v>
      </c>
      <c r="L1967" s="10"/>
      <c r="M1967" s="10" t="s">
        <v>47</v>
      </c>
      <c r="N1967" s="10"/>
      <c r="O1967" s="2">
        <v>3</v>
      </c>
      <c r="P1967" s="17">
        <f>237*(1-S3/100)</f>
        <v>237</v>
      </c>
      <c r="Q1967" s="18"/>
      <c r="R1967" s="10">
        <f>P1967*Q1967</f>
        <v>0</v>
      </c>
      <c r="S1967" s="19">
        <f>0.085*Q1967</f>
        <v>0</v>
      </c>
      <c r="T1967" s="20">
        <f>0.00017*Q1967</f>
        <v>0</v>
      </c>
      <c r="U1967" s="21"/>
      <c r="V1967" s="22" t="s">
        <v>8318</v>
      </c>
      <c r="W1967" s="22" t="s">
        <v>49</v>
      </c>
      <c r="X1967" s="3"/>
      <c r="Y1967" s="3" t="s">
        <v>8319</v>
      </c>
      <c r="Z1967" s="3" t="s">
        <v>52</v>
      </c>
      <c r="AA1967" s="3"/>
      <c r="AB1967" s="3"/>
      <c r="AC1967" s="3" t="str">
        <f>HYPERLINK("https://knigipp.ru/api/getInfo/image/b5d79575-f5ca-11ef-a274-00155d82e908")</f>
        <v>https://knigipp.ru/api/getInfo/image/b5d79575-f5ca-11ef-a274-00155d82e908</v>
      </c>
      <c r="AD1967" s="32">
        <v>24</v>
      </c>
      <c r="AE1967" s="3" t="s">
        <v>54</v>
      </c>
      <c r="AF1967" s="3" t="s">
        <v>741</v>
      </c>
      <c r="AG1967" s="3"/>
      <c r="AH1967" s="3" t="s">
        <v>56</v>
      </c>
      <c r="AI1967" s="3"/>
      <c r="AJ1967" s="3"/>
      <c r="AK1967" s="3" t="str">
        <f>HYPERLINK("https://knigipp.ru/api/getInfo/item/b5d79575-f5ca-11ef-a274-00155d82e908")</f>
        <v>https://knigipp.ru/api/getInfo/item/b5d79575-f5ca-11ef-a274-00155d82e908</v>
      </c>
      <c r="AL1967" s="3" t="s">
        <v>8314</v>
      </c>
    </row>
    <row r="1968" spans="1:38" ht="21" customHeight="1" outlineLevel="4" x14ac:dyDescent="0.2">
      <c r="A1968" s="39">
        <v>1503</v>
      </c>
      <c r="B1968" s="3" t="s">
        <v>8320</v>
      </c>
      <c r="C1968" s="49" t="s">
        <v>8321</v>
      </c>
      <c r="D1968" s="49"/>
      <c r="E1968" s="49"/>
      <c r="F1968" s="49"/>
      <c r="G1968" s="4" t="s">
        <v>8322</v>
      </c>
      <c r="H1968" s="8"/>
      <c r="I1968" s="9" t="s">
        <v>8311</v>
      </c>
      <c r="J1968" s="10"/>
      <c r="K1968" s="11">
        <v>20</v>
      </c>
      <c r="L1968" s="10"/>
      <c r="M1968" s="10" t="s">
        <v>78</v>
      </c>
      <c r="N1968" s="10"/>
      <c r="O1968" s="2">
        <v>3</v>
      </c>
      <c r="P1968" s="17">
        <f>237*(1-S3/100)</f>
        <v>237</v>
      </c>
      <c r="Q1968" s="18"/>
      <c r="R1968" s="10">
        <f>P1968*Q1968</f>
        <v>0</v>
      </c>
      <c r="S1968" s="19">
        <f>0.084*Q1968</f>
        <v>0</v>
      </c>
      <c r="T1968" s="30">
        <f>0.0001*Q1968</f>
        <v>0</v>
      </c>
      <c r="U1968" s="21"/>
      <c r="V1968" s="22" t="s">
        <v>8323</v>
      </c>
      <c r="W1968" s="22" t="s">
        <v>49</v>
      </c>
      <c r="X1968" s="3"/>
      <c r="Y1968" s="3" t="s">
        <v>8324</v>
      </c>
      <c r="Z1968" s="3" t="s">
        <v>52</v>
      </c>
      <c r="AA1968" s="3"/>
      <c r="AB1968" s="3"/>
      <c r="AC1968" s="3" t="str">
        <f>HYPERLINK("https://knigipp.ru/api/getInfo/image/6b0eafe4-f5ca-11ef-a274-00155d82e908")</f>
        <v>https://knigipp.ru/api/getInfo/image/6b0eafe4-f5ca-11ef-a274-00155d82e908</v>
      </c>
      <c r="AD1968" s="32">
        <v>24</v>
      </c>
      <c r="AE1968" s="3" t="s">
        <v>54</v>
      </c>
      <c r="AF1968" s="3" t="s">
        <v>741</v>
      </c>
      <c r="AG1968" s="3"/>
      <c r="AH1968" s="3" t="s">
        <v>56</v>
      </c>
      <c r="AI1968" s="3"/>
      <c r="AJ1968" s="3"/>
      <c r="AK1968" s="3" t="str">
        <f>HYPERLINK("https://knigipp.ru/api/getInfo/item/6b0eafe4-f5ca-11ef-a274-00155d82e908")</f>
        <v>https://knigipp.ru/api/getInfo/item/6b0eafe4-f5ca-11ef-a274-00155d82e908</v>
      </c>
      <c r="AL1968" s="3" t="s">
        <v>8314</v>
      </c>
    </row>
    <row r="1969" spans="1:38" ht="21" customHeight="1" outlineLevel="4" x14ac:dyDescent="0.2">
      <c r="A1969" s="39">
        <v>1504</v>
      </c>
      <c r="B1969" s="3" t="s">
        <v>8325</v>
      </c>
      <c r="C1969" s="49" t="s">
        <v>8326</v>
      </c>
      <c r="D1969" s="49"/>
      <c r="E1969" s="49"/>
      <c r="F1969" s="49"/>
      <c r="G1969" s="4" t="s">
        <v>8327</v>
      </c>
      <c r="H1969" s="8"/>
      <c r="I1969" s="9" t="s">
        <v>8311</v>
      </c>
      <c r="J1969" s="10"/>
      <c r="K1969" s="11">
        <v>20</v>
      </c>
      <c r="L1969" s="10"/>
      <c r="M1969" s="10" t="s">
        <v>47</v>
      </c>
      <c r="N1969" s="10"/>
      <c r="O1969" s="2">
        <v>3</v>
      </c>
      <c r="P1969" s="17">
        <f>237*(1-S3/100)</f>
        <v>237</v>
      </c>
      <c r="Q1969" s="18"/>
      <c r="R1969" s="10">
        <f>P1969*Q1969</f>
        <v>0</v>
      </c>
      <c r="S1969" s="19">
        <f>0.086*Q1969</f>
        <v>0</v>
      </c>
      <c r="T1969" s="20">
        <f>0.00017*Q1969</f>
        <v>0</v>
      </c>
      <c r="U1969" s="21"/>
      <c r="V1969" s="22" t="s">
        <v>8328</v>
      </c>
      <c r="W1969" s="22" t="s">
        <v>49</v>
      </c>
      <c r="X1969" s="3"/>
      <c r="Y1969" s="3" t="s">
        <v>8329</v>
      </c>
      <c r="Z1969" s="3" t="s">
        <v>52</v>
      </c>
      <c r="AA1969" s="3"/>
      <c r="AB1969" s="3"/>
      <c r="AC1969" s="3" t="str">
        <f>HYPERLINK("https://knigipp.ru/api/getInfo/image/3ebf9bb4-f5ca-11ef-a274-00155d82e908")</f>
        <v>https://knigipp.ru/api/getInfo/image/3ebf9bb4-f5ca-11ef-a274-00155d82e908</v>
      </c>
      <c r="AD1969" s="32">
        <v>24</v>
      </c>
      <c r="AE1969" s="3" t="s">
        <v>54</v>
      </c>
      <c r="AF1969" s="3" t="s">
        <v>741</v>
      </c>
      <c r="AG1969" s="3"/>
      <c r="AH1969" s="3" t="s">
        <v>56</v>
      </c>
      <c r="AI1969" s="3"/>
      <c r="AJ1969" s="3"/>
      <c r="AK1969" s="3" t="str">
        <f>HYPERLINK("https://knigipp.ru/api/getInfo/item/3ebf9bb4-f5ca-11ef-a274-00155d82e908")</f>
        <v>https://knigipp.ru/api/getInfo/item/3ebf9bb4-f5ca-11ef-a274-00155d82e908</v>
      </c>
      <c r="AL1969" s="3" t="s">
        <v>8314</v>
      </c>
    </row>
    <row r="1970" spans="1:38" ht="23.1" customHeight="1" outlineLevel="3" x14ac:dyDescent="0.2">
      <c r="A1970" s="48" t="s">
        <v>8330</v>
      </c>
      <c r="B1970" s="48"/>
      <c r="C1970" s="48"/>
      <c r="D1970" s="48"/>
      <c r="E1970" s="48"/>
      <c r="F1970" s="48"/>
    </row>
    <row r="1971" spans="1:38" ht="21" customHeight="1" outlineLevel="4" x14ac:dyDescent="0.2">
      <c r="A1971" s="39">
        <v>1505</v>
      </c>
      <c r="B1971" s="3" t="s">
        <v>8331</v>
      </c>
      <c r="C1971" s="49" t="s">
        <v>8332</v>
      </c>
      <c r="D1971" s="49"/>
      <c r="E1971" s="49"/>
      <c r="F1971" s="49"/>
      <c r="G1971" s="4" t="s">
        <v>8333</v>
      </c>
      <c r="H1971" s="8"/>
      <c r="I1971" s="9" t="s">
        <v>8334</v>
      </c>
      <c r="J1971" s="10"/>
      <c r="K1971" s="11">
        <v>50</v>
      </c>
      <c r="L1971" s="10"/>
      <c r="M1971" s="10" t="s">
        <v>304</v>
      </c>
      <c r="N1971" s="10"/>
      <c r="O1971" s="2">
        <v>10</v>
      </c>
      <c r="P1971" s="17">
        <f>64.24*(1-S3/100)</f>
        <v>64.239999999999995</v>
      </c>
      <c r="Q1971" s="18"/>
      <c r="R1971" s="10">
        <f>P1971*Q1971</f>
        <v>0</v>
      </c>
      <c r="S1971" s="19">
        <f>0.033*Q1971</f>
        <v>0</v>
      </c>
      <c r="T1971" s="20">
        <f>0.00018*Q1971</f>
        <v>0</v>
      </c>
      <c r="U1971" s="21"/>
      <c r="V1971" s="22" t="s">
        <v>8335</v>
      </c>
      <c r="W1971" s="22" t="s">
        <v>49</v>
      </c>
      <c r="X1971" s="3"/>
      <c r="Y1971" s="3"/>
      <c r="Z1971" s="3" t="s">
        <v>52</v>
      </c>
      <c r="AA1971" s="3" t="s">
        <v>8336</v>
      </c>
      <c r="AB1971" s="3"/>
      <c r="AC1971" s="3"/>
      <c r="AD1971" s="32">
        <v>12</v>
      </c>
      <c r="AE1971" s="3"/>
      <c r="AF1971" s="3" t="s">
        <v>136</v>
      </c>
      <c r="AG1971" s="3"/>
      <c r="AH1971" s="3"/>
      <c r="AI1971" s="3"/>
      <c r="AJ1971" s="3" t="s">
        <v>8337</v>
      </c>
      <c r="AK1971" s="3"/>
      <c r="AL1971" s="3" t="s">
        <v>8338</v>
      </c>
    </row>
    <row r="1972" spans="1:38" ht="23.1" customHeight="1" outlineLevel="3" x14ac:dyDescent="0.2">
      <c r="A1972" s="48" t="s">
        <v>8339</v>
      </c>
      <c r="B1972" s="48"/>
      <c r="C1972" s="48"/>
      <c r="D1972" s="48"/>
      <c r="E1972" s="48"/>
      <c r="F1972" s="48"/>
    </row>
    <row r="1973" spans="1:38" ht="21" customHeight="1" outlineLevel="4" x14ac:dyDescent="0.2">
      <c r="A1973" s="39">
        <v>1506</v>
      </c>
      <c r="B1973" s="3" t="s">
        <v>8340</v>
      </c>
      <c r="C1973" s="49" t="s">
        <v>8341</v>
      </c>
      <c r="D1973" s="49"/>
      <c r="E1973" s="49"/>
      <c r="F1973" s="49"/>
      <c r="G1973" s="4" t="s">
        <v>8342</v>
      </c>
      <c r="H1973" s="8"/>
      <c r="I1973" s="9" t="s">
        <v>8343</v>
      </c>
      <c r="J1973" s="10"/>
      <c r="K1973" s="11">
        <v>50</v>
      </c>
      <c r="L1973" s="10"/>
      <c r="M1973" s="10" t="s">
        <v>47</v>
      </c>
      <c r="N1973" s="10"/>
      <c r="O1973" s="2">
        <v>4</v>
      </c>
      <c r="P1973" s="17">
        <f>147*(1-S3/100)</f>
        <v>147</v>
      </c>
      <c r="Q1973" s="18"/>
      <c r="R1973" s="10">
        <f t="shared" ref="R1973:R1980" si="83">P1973*Q1973</f>
        <v>0</v>
      </c>
      <c r="S1973" s="19">
        <f>0.069*Q1973</f>
        <v>0</v>
      </c>
      <c r="T1973" s="20">
        <f>0.00017*Q1973</f>
        <v>0</v>
      </c>
      <c r="U1973" s="21"/>
      <c r="V1973" s="22" t="s">
        <v>8344</v>
      </c>
      <c r="W1973" s="22" t="s">
        <v>49</v>
      </c>
      <c r="X1973" s="3"/>
      <c r="Y1973" s="3" t="s">
        <v>8345</v>
      </c>
      <c r="Z1973" s="3" t="s">
        <v>52</v>
      </c>
      <c r="AA1973" s="3"/>
      <c r="AB1973" s="3"/>
      <c r="AC1973" s="3" t="str">
        <f>HYPERLINK("https://knigipp.ru/api/getInfo/image/47d3ea0b-c4f0-11ef-a268-00155d82e908")</f>
        <v>https://knigipp.ru/api/getInfo/image/47d3ea0b-c4f0-11ef-a268-00155d82e908</v>
      </c>
      <c r="AD1973" s="32">
        <v>16</v>
      </c>
      <c r="AE1973" s="3"/>
      <c r="AF1973" s="3" t="s">
        <v>136</v>
      </c>
      <c r="AG1973" s="3"/>
      <c r="AH1973" s="3" t="s">
        <v>56</v>
      </c>
      <c r="AI1973" s="3"/>
      <c r="AJ1973" s="3"/>
      <c r="AK1973" s="3" t="str">
        <f>HYPERLINK("https://knigipp.ru/api/getInfo/item/47d3ea0b-c4f0-11ef-a268-00155d82e908")</f>
        <v>https://knigipp.ru/api/getInfo/item/47d3ea0b-c4f0-11ef-a268-00155d82e908</v>
      </c>
      <c r="AL1973" s="3" t="s">
        <v>1155</v>
      </c>
    </row>
    <row r="1974" spans="1:38" ht="21" customHeight="1" outlineLevel="4" x14ac:dyDescent="0.2">
      <c r="A1974" s="39">
        <v>1507</v>
      </c>
      <c r="B1974" s="3" t="s">
        <v>8346</v>
      </c>
      <c r="C1974" s="49" t="s">
        <v>8347</v>
      </c>
      <c r="D1974" s="49"/>
      <c r="E1974" s="49"/>
      <c r="F1974" s="49"/>
      <c r="G1974" s="4" t="s">
        <v>8348</v>
      </c>
      <c r="H1974" s="8"/>
      <c r="I1974" s="9" t="s">
        <v>8343</v>
      </c>
      <c r="J1974" s="10"/>
      <c r="K1974" s="11">
        <v>50</v>
      </c>
      <c r="L1974" s="10"/>
      <c r="M1974" s="10" t="s">
        <v>78</v>
      </c>
      <c r="N1974" s="10"/>
      <c r="O1974" s="2">
        <v>4</v>
      </c>
      <c r="P1974" s="17">
        <f>147*(1-S3/100)</f>
        <v>147</v>
      </c>
      <c r="Q1974" s="18"/>
      <c r="R1974" s="10">
        <f t="shared" si="83"/>
        <v>0</v>
      </c>
      <c r="S1974" s="28">
        <f>0.07*Q1974</f>
        <v>0</v>
      </c>
      <c r="T1974" s="20">
        <f>0.00022*Q1974</f>
        <v>0</v>
      </c>
      <c r="U1974" s="21"/>
      <c r="V1974" s="22" t="s">
        <v>8349</v>
      </c>
      <c r="W1974" s="22" t="s">
        <v>49</v>
      </c>
      <c r="X1974" s="3"/>
      <c r="Y1974" s="3" t="s">
        <v>8350</v>
      </c>
      <c r="Z1974" s="3" t="s">
        <v>52</v>
      </c>
      <c r="AA1974" s="3"/>
      <c r="AB1974" s="3"/>
      <c r="AC1974" s="3" t="str">
        <f>HYPERLINK("https://knigipp.ru/api/getInfo/image/6d107375-c4f0-11ef-a268-00155d82e908")</f>
        <v>https://knigipp.ru/api/getInfo/image/6d107375-c4f0-11ef-a268-00155d82e908</v>
      </c>
      <c r="AD1974" s="32">
        <v>16</v>
      </c>
      <c r="AE1974" s="3"/>
      <c r="AF1974" s="3" t="s">
        <v>136</v>
      </c>
      <c r="AG1974" s="3"/>
      <c r="AH1974" s="3" t="s">
        <v>56</v>
      </c>
      <c r="AI1974" s="3"/>
      <c r="AJ1974" s="3"/>
      <c r="AK1974" s="3" t="str">
        <f>HYPERLINK("https://knigipp.ru/api/getInfo/item/6d107375-c4f0-11ef-a268-00155d82e908")</f>
        <v>https://knigipp.ru/api/getInfo/item/6d107375-c4f0-11ef-a268-00155d82e908</v>
      </c>
      <c r="AL1974" s="3" t="s">
        <v>1155</v>
      </c>
    </row>
    <row r="1975" spans="1:38" ht="21" customHeight="1" outlineLevel="4" x14ac:dyDescent="0.2">
      <c r="A1975" s="39">
        <v>1508</v>
      </c>
      <c r="B1975" s="3" t="s">
        <v>8351</v>
      </c>
      <c r="C1975" s="49" t="s">
        <v>8352</v>
      </c>
      <c r="D1975" s="49"/>
      <c r="E1975" s="49"/>
      <c r="F1975" s="49"/>
      <c r="G1975" s="4" t="s">
        <v>8353</v>
      </c>
      <c r="H1975" s="8"/>
      <c r="I1975" s="9" t="s">
        <v>8343</v>
      </c>
      <c r="J1975" s="10"/>
      <c r="K1975" s="11">
        <v>50</v>
      </c>
      <c r="L1975" s="10"/>
      <c r="M1975" s="10" t="s">
        <v>47</v>
      </c>
      <c r="N1975" s="10"/>
      <c r="O1975" s="2">
        <v>4</v>
      </c>
      <c r="P1975" s="17">
        <f>147*(1-S3/100)</f>
        <v>147</v>
      </c>
      <c r="Q1975" s="18"/>
      <c r="R1975" s="10">
        <f t="shared" si="83"/>
        <v>0</v>
      </c>
      <c r="S1975" s="19">
        <f>0.068*Q1975</f>
        <v>0</v>
      </c>
      <c r="T1975" s="20">
        <f>0.00028*Q1975</f>
        <v>0</v>
      </c>
      <c r="U1975" s="21"/>
      <c r="V1975" s="22" t="s">
        <v>8354</v>
      </c>
      <c r="W1975" s="22" t="s">
        <v>49</v>
      </c>
      <c r="X1975" s="3"/>
      <c r="Y1975" s="3" t="s">
        <v>8355</v>
      </c>
      <c r="Z1975" s="3" t="s">
        <v>52</v>
      </c>
      <c r="AA1975" s="3"/>
      <c r="AB1975" s="3"/>
      <c r="AC1975" s="3" t="str">
        <f>HYPERLINK("https://knigipp.ru/api/getInfo/image/ada1bc17-c4f0-11ef-a268-00155d82e908")</f>
        <v>https://knigipp.ru/api/getInfo/image/ada1bc17-c4f0-11ef-a268-00155d82e908</v>
      </c>
      <c r="AD1975" s="32">
        <v>16</v>
      </c>
      <c r="AE1975" s="3"/>
      <c r="AF1975" s="3" t="s">
        <v>136</v>
      </c>
      <c r="AG1975" s="3"/>
      <c r="AH1975" s="3" t="s">
        <v>56</v>
      </c>
      <c r="AI1975" s="3"/>
      <c r="AJ1975" s="3"/>
      <c r="AK1975" s="3" t="str">
        <f>HYPERLINK("https://knigipp.ru/api/getInfo/item/ada1bc17-c4f0-11ef-a268-00155d82e908")</f>
        <v>https://knigipp.ru/api/getInfo/item/ada1bc17-c4f0-11ef-a268-00155d82e908</v>
      </c>
      <c r="AL1975" s="3" t="s">
        <v>1155</v>
      </c>
    </row>
    <row r="1976" spans="1:38" ht="21" customHeight="1" outlineLevel="4" x14ac:dyDescent="0.2">
      <c r="A1976" s="39">
        <v>1509</v>
      </c>
      <c r="B1976" s="3" t="s">
        <v>8356</v>
      </c>
      <c r="C1976" s="49" t="s">
        <v>8357</v>
      </c>
      <c r="D1976" s="49"/>
      <c r="E1976" s="49"/>
      <c r="F1976" s="49"/>
      <c r="G1976" s="4" t="s">
        <v>8358</v>
      </c>
      <c r="H1976" s="8"/>
      <c r="I1976" s="9" t="s">
        <v>8343</v>
      </c>
      <c r="J1976" s="10"/>
      <c r="K1976" s="11">
        <v>50</v>
      </c>
      <c r="L1976" s="10"/>
      <c r="M1976" s="10" t="s">
        <v>47</v>
      </c>
      <c r="N1976" s="10"/>
      <c r="O1976" s="2">
        <v>4</v>
      </c>
      <c r="P1976" s="17">
        <f>147*(1-S3/100)</f>
        <v>147</v>
      </c>
      <c r="Q1976" s="18"/>
      <c r="R1976" s="10">
        <f t="shared" si="83"/>
        <v>0</v>
      </c>
      <c r="S1976" s="19">
        <f>0.065*Q1976</f>
        <v>0</v>
      </c>
      <c r="T1976" s="20">
        <f>0.00022*Q1976</f>
        <v>0</v>
      </c>
      <c r="U1976" s="21"/>
      <c r="V1976" s="22" t="s">
        <v>8359</v>
      </c>
      <c r="W1976" s="22" t="s">
        <v>49</v>
      </c>
      <c r="X1976" s="3"/>
      <c r="Y1976" s="3" t="s">
        <v>8360</v>
      </c>
      <c r="Z1976" s="3" t="s">
        <v>52</v>
      </c>
      <c r="AA1976" s="3"/>
      <c r="AB1976" s="3"/>
      <c r="AC1976" s="3" t="str">
        <f>HYPERLINK("https://knigipp.ru/api/getInfo/image/9013b263-c4f0-11ef-a268-00155d82e908")</f>
        <v>https://knigipp.ru/api/getInfo/image/9013b263-c4f0-11ef-a268-00155d82e908</v>
      </c>
      <c r="AD1976" s="32">
        <v>16</v>
      </c>
      <c r="AE1976" s="3"/>
      <c r="AF1976" s="3" t="s">
        <v>136</v>
      </c>
      <c r="AG1976" s="3"/>
      <c r="AH1976" s="3" t="s">
        <v>56</v>
      </c>
      <c r="AI1976" s="3"/>
      <c r="AJ1976" s="3"/>
      <c r="AK1976" s="3" t="str">
        <f>HYPERLINK("https://knigipp.ru/api/getInfo/item/9013b263-c4f0-11ef-a268-00155d82e908")</f>
        <v>https://knigipp.ru/api/getInfo/item/9013b263-c4f0-11ef-a268-00155d82e908</v>
      </c>
      <c r="AL1976" s="3" t="s">
        <v>1155</v>
      </c>
    </row>
    <row r="1977" spans="1:38" ht="21" customHeight="1" outlineLevel="4" x14ac:dyDescent="0.2">
      <c r="A1977" s="39">
        <v>1510</v>
      </c>
      <c r="B1977" s="3" t="s">
        <v>8361</v>
      </c>
      <c r="C1977" s="49" t="s">
        <v>8362</v>
      </c>
      <c r="D1977" s="49"/>
      <c r="E1977" s="49"/>
      <c r="F1977" s="49"/>
      <c r="G1977" s="4" t="s">
        <v>8363</v>
      </c>
      <c r="H1977" s="8"/>
      <c r="I1977" s="9" t="s">
        <v>8343</v>
      </c>
      <c r="J1977" s="10"/>
      <c r="K1977" s="11">
        <v>50</v>
      </c>
      <c r="L1977" s="10"/>
      <c r="M1977" s="10" t="s">
        <v>47</v>
      </c>
      <c r="N1977" s="10"/>
      <c r="O1977" s="2">
        <v>4</v>
      </c>
      <c r="P1977" s="17">
        <f>147*(1-S3/100)</f>
        <v>147</v>
      </c>
      <c r="Q1977" s="18"/>
      <c r="R1977" s="10">
        <f t="shared" si="83"/>
        <v>0</v>
      </c>
      <c r="S1977" s="19">
        <f>0.063*Q1977</f>
        <v>0</v>
      </c>
      <c r="T1977" s="20">
        <f>0.00017*Q1977</f>
        <v>0</v>
      </c>
      <c r="U1977" s="21"/>
      <c r="V1977" s="22" t="s">
        <v>8364</v>
      </c>
      <c r="W1977" s="22" t="s">
        <v>49</v>
      </c>
      <c r="X1977" s="3"/>
      <c r="Y1977" s="3" t="s">
        <v>8365</v>
      </c>
      <c r="Z1977" s="3" t="s">
        <v>52</v>
      </c>
      <c r="AA1977" s="3"/>
      <c r="AB1977" s="3"/>
      <c r="AC1977" s="3" t="str">
        <f>HYPERLINK("https://knigipp.ru/api/getInfo/image/ac8379d8-dfda-11ef-a273-00155d82e908")</f>
        <v>https://knigipp.ru/api/getInfo/image/ac8379d8-dfda-11ef-a273-00155d82e908</v>
      </c>
      <c r="AD1977" s="32">
        <v>16</v>
      </c>
      <c r="AE1977" s="3" t="s">
        <v>54</v>
      </c>
      <c r="AF1977" s="3" t="s">
        <v>136</v>
      </c>
      <c r="AG1977" s="3"/>
      <c r="AH1977" s="3" t="s">
        <v>56</v>
      </c>
      <c r="AI1977" s="3"/>
      <c r="AJ1977" s="3"/>
      <c r="AK1977" s="3" t="str">
        <f>HYPERLINK("https://knigipp.ru/api/getInfo/item/ac8379d8-dfda-11ef-a273-00155d82e908")</f>
        <v>https://knigipp.ru/api/getInfo/item/ac8379d8-dfda-11ef-a273-00155d82e908</v>
      </c>
      <c r="AL1977" s="3" t="s">
        <v>1155</v>
      </c>
    </row>
    <row r="1978" spans="1:38" ht="21" customHeight="1" outlineLevel="4" x14ac:dyDescent="0.2">
      <c r="A1978" s="39">
        <v>1511</v>
      </c>
      <c r="B1978" s="3" t="s">
        <v>8366</v>
      </c>
      <c r="C1978" s="49" t="s">
        <v>8367</v>
      </c>
      <c r="D1978" s="49"/>
      <c r="E1978" s="49"/>
      <c r="F1978" s="49"/>
      <c r="G1978" s="4" t="s">
        <v>8368</v>
      </c>
      <c r="H1978" s="8"/>
      <c r="I1978" s="9" t="s">
        <v>8343</v>
      </c>
      <c r="J1978" s="10"/>
      <c r="K1978" s="11">
        <v>50</v>
      </c>
      <c r="L1978" s="10"/>
      <c r="M1978" s="10" t="s">
        <v>47</v>
      </c>
      <c r="N1978" s="10"/>
      <c r="O1978" s="2">
        <v>4</v>
      </c>
      <c r="P1978" s="17">
        <f>147*(1-S3/100)</f>
        <v>147</v>
      </c>
      <c r="Q1978" s="18"/>
      <c r="R1978" s="10">
        <f t="shared" si="83"/>
        <v>0</v>
      </c>
      <c r="S1978" s="19">
        <f>0.067*Q1978</f>
        <v>0</v>
      </c>
      <c r="T1978" s="20">
        <f>0.00035*Q1978</f>
        <v>0</v>
      </c>
      <c r="U1978" s="21"/>
      <c r="V1978" s="22" t="s">
        <v>8369</v>
      </c>
      <c r="W1978" s="22" t="s">
        <v>49</v>
      </c>
      <c r="X1978" s="3"/>
      <c r="Y1978" s="3" t="s">
        <v>8370</v>
      </c>
      <c r="Z1978" s="3" t="s">
        <v>52</v>
      </c>
      <c r="AA1978" s="3"/>
      <c r="AB1978" s="3"/>
      <c r="AC1978" s="3" t="str">
        <f>HYPERLINK("https://knigipp.ru/api/getInfo/image/f9172d19-dfda-11ef-a273-00155d82e908")</f>
        <v>https://knigipp.ru/api/getInfo/image/f9172d19-dfda-11ef-a273-00155d82e908</v>
      </c>
      <c r="AD1978" s="32">
        <v>16</v>
      </c>
      <c r="AE1978" s="3" t="s">
        <v>54</v>
      </c>
      <c r="AF1978" s="3" t="s">
        <v>136</v>
      </c>
      <c r="AG1978" s="3"/>
      <c r="AH1978" s="3" t="s">
        <v>56</v>
      </c>
      <c r="AI1978" s="3"/>
      <c r="AJ1978" s="3"/>
      <c r="AK1978" s="3" t="str">
        <f>HYPERLINK("https://knigipp.ru/api/getInfo/item/f9172d19-dfda-11ef-a273-00155d82e908")</f>
        <v>https://knigipp.ru/api/getInfo/item/f9172d19-dfda-11ef-a273-00155d82e908</v>
      </c>
      <c r="AL1978" s="3" t="s">
        <v>1155</v>
      </c>
    </row>
    <row r="1979" spans="1:38" ht="21" customHeight="1" outlineLevel="4" x14ac:dyDescent="0.2">
      <c r="A1979" s="39">
        <v>1512</v>
      </c>
      <c r="B1979" s="3" t="s">
        <v>8371</v>
      </c>
      <c r="C1979" s="49" t="s">
        <v>8372</v>
      </c>
      <c r="D1979" s="49"/>
      <c r="E1979" s="49"/>
      <c r="F1979" s="49"/>
      <c r="G1979" s="4" t="s">
        <v>8373</v>
      </c>
      <c r="H1979" s="8"/>
      <c r="I1979" s="9" t="s">
        <v>8343</v>
      </c>
      <c r="J1979" s="10"/>
      <c r="K1979" s="11">
        <v>50</v>
      </c>
      <c r="L1979" s="10"/>
      <c r="M1979" s="10" t="s">
        <v>47</v>
      </c>
      <c r="N1979" s="10"/>
      <c r="O1979" s="2">
        <v>4</v>
      </c>
      <c r="P1979" s="17">
        <f>147*(1-S3/100)</f>
        <v>147</v>
      </c>
      <c r="Q1979" s="18"/>
      <c r="R1979" s="10">
        <f t="shared" si="83"/>
        <v>0</v>
      </c>
      <c r="S1979" s="19">
        <f>0.069*Q1979</f>
        <v>0</v>
      </c>
      <c r="T1979" s="20">
        <f>0.00017*Q1979</f>
        <v>0</v>
      </c>
      <c r="U1979" s="21"/>
      <c r="V1979" s="22" t="s">
        <v>8374</v>
      </c>
      <c r="W1979" s="22" t="s">
        <v>49</v>
      </c>
      <c r="X1979" s="3"/>
      <c r="Y1979" s="3" t="s">
        <v>8375</v>
      </c>
      <c r="Z1979" s="3" t="s">
        <v>52</v>
      </c>
      <c r="AA1979" s="3"/>
      <c r="AB1979" s="3"/>
      <c r="AC1979" s="3" t="str">
        <f>HYPERLINK("https://knigipp.ru/api/getInfo/image/d7ab0f75-dfda-11ef-a273-00155d82e908")</f>
        <v>https://knigipp.ru/api/getInfo/image/d7ab0f75-dfda-11ef-a273-00155d82e908</v>
      </c>
      <c r="AD1979" s="32">
        <v>16</v>
      </c>
      <c r="AE1979" s="3" t="s">
        <v>54</v>
      </c>
      <c r="AF1979" s="3" t="s">
        <v>136</v>
      </c>
      <c r="AG1979" s="3"/>
      <c r="AH1979" s="3" t="s">
        <v>56</v>
      </c>
      <c r="AI1979" s="3"/>
      <c r="AJ1979" s="3"/>
      <c r="AK1979" s="3" t="str">
        <f>HYPERLINK("https://knigipp.ru/api/getInfo/item/d7ab0f75-dfda-11ef-a273-00155d82e908")</f>
        <v>https://knigipp.ru/api/getInfo/item/d7ab0f75-dfda-11ef-a273-00155d82e908</v>
      </c>
      <c r="AL1979" s="3" t="s">
        <v>1155</v>
      </c>
    </row>
    <row r="1980" spans="1:38" ht="21" customHeight="1" outlineLevel="4" x14ac:dyDescent="0.2">
      <c r="A1980" s="39">
        <v>1513</v>
      </c>
      <c r="B1980" s="3" t="s">
        <v>8376</v>
      </c>
      <c r="C1980" s="49" t="s">
        <v>8377</v>
      </c>
      <c r="D1980" s="49"/>
      <c r="E1980" s="49"/>
      <c r="F1980" s="49"/>
      <c r="G1980" s="4" t="s">
        <v>8378</v>
      </c>
      <c r="H1980" s="8"/>
      <c r="I1980" s="9" t="s">
        <v>8343</v>
      </c>
      <c r="J1980" s="10"/>
      <c r="K1980" s="11">
        <v>50</v>
      </c>
      <c r="L1980" s="10"/>
      <c r="M1980" s="10" t="s">
        <v>47</v>
      </c>
      <c r="N1980" s="10"/>
      <c r="O1980" s="2">
        <v>4</v>
      </c>
      <c r="P1980" s="17">
        <f>147*(1-S3/100)</f>
        <v>147</v>
      </c>
      <c r="Q1980" s="18"/>
      <c r="R1980" s="10">
        <f t="shared" si="83"/>
        <v>0</v>
      </c>
      <c r="S1980" s="19">
        <f>0.067*Q1980</f>
        <v>0</v>
      </c>
      <c r="T1980" s="20">
        <f>0.00017*Q1980</f>
        <v>0</v>
      </c>
      <c r="U1980" s="21"/>
      <c r="V1980" s="22" t="s">
        <v>8379</v>
      </c>
      <c r="W1980" s="22" t="s">
        <v>49</v>
      </c>
      <c r="X1980" s="3"/>
      <c r="Y1980" s="3" t="s">
        <v>8380</v>
      </c>
      <c r="Z1980" s="3" t="s">
        <v>52</v>
      </c>
      <c r="AA1980" s="3"/>
      <c r="AB1980" s="3"/>
      <c r="AC1980" s="3" t="str">
        <f>HYPERLINK("https://knigipp.ru/api/getInfo/image/15c80a9f-dfdb-11ef-a273-00155d82e908")</f>
        <v>https://knigipp.ru/api/getInfo/image/15c80a9f-dfdb-11ef-a273-00155d82e908</v>
      </c>
      <c r="AD1980" s="32">
        <v>16</v>
      </c>
      <c r="AE1980" s="3" t="s">
        <v>54</v>
      </c>
      <c r="AF1980" s="3" t="s">
        <v>136</v>
      </c>
      <c r="AG1980" s="3"/>
      <c r="AH1980" s="3" t="s">
        <v>56</v>
      </c>
      <c r="AI1980" s="3"/>
      <c r="AJ1980" s="3"/>
      <c r="AK1980" s="3" t="str">
        <f>HYPERLINK("https://knigipp.ru/api/getInfo/item/15c80a9f-dfdb-11ef-a273-00155d82e908")</f>
        <v>https://knigipp.ru/api/getInfo/item/15c80a9f-dfdb-11ef-a273-00155d82e908</v>
      </c>
      <c r="AL1980" s="3" t="s">
        <v>1155</v>
      </c>
    </row>
    <row r="1981" spans="1:38" ht="23.1" customHeight="1" outlineLevel="3" x14ac:dyDescent="0.2">
      <c r="A1981" s="48" t="s">
        <v>8381</v>
      </c>
      <c r="B1981" s="48"/>
      <c r="C1981" s="48"/>
      <c r="D1981" s="48"/>
      <c r="E1981" s="48"/>
      <c r="F1981" s="48"/>
    </row>
    <row r="1982" spans="1:38" ht="21" customHeight="1" outlineLevel="4" x14ac:dyDescent="0.2">
      <c r="A1982" s="39">
        <v>1514</v>
      </c>
      <c r="B1982" s="3" t="s">
        <v>8382</v>
      </c>
      <c r="C1982" s="49" t="s">
        <v>8383</v>
      </c>
      <c r="D1982" s="49"/>
      <c r="E1982" s="49"/>
      <c r="F1982" s="49"/>
      <c r="G1982" s="4" t="s">
        <v>8384</v>
      </c>
      <c r="H1982" s="8"/>
      <c r="I1982" s="9" t="s">
        <v>8385</v>
      </c>
      <c r="J1982" s="10"/>
      <c r="K1982" s="11">
        <v>25</v>
      </c>
      <c r="L1982" s="10"/>
      <c r="M1982" s="10" t="s">
        <v>304</v>
      </c>
      <c r="N1982" s="10"/>
      <c r="O1982" s="2">
        <v>5</v>
      </c>
      <c r="P1982" s="17">
        <f>137*(1-S3/100)</f>
        <v>137</v>
      </c>
      <c r="Q1982" s="18"/>
      <c r="R1982" s="10">
        <f t="shared" ref="R1982:R1988" si="84">P1982*Q1982</f>
        <v>0</v>
      </c>
      <c r="S1982" s="19">
        <f>0.141*Q1982</f>
        <v>0</v>
      </c>
      <c r="T1982" s="30">
        <f>0.0006*Q1982</f>
        <v>0</v>
      </c>
      <c r="U1982" s="21"/>
      <c r="V1982" s="22" t="s">
        <v>8386</v>
      </c>
      <c r="W1982" s="22" t="s">
        <v>49</v>
      </c>
      <c r="X1982" s="3"/>
      <c r="Y1982" s="3" t="s">
        <v>8387</v>
      </c>
      <c r="Z1982" s="3" t="s">
        <v>52</v>
      </c>
      <c r="AA1982" s="3"/>
      <c r="AB1982" s="3"/>
      <c r="AC1982" s="3" t="str">
        <f>HYPERLINK("https://knigipp.ru/api/getInfo/image/71643eea-66cf-11ef-a265-00155d82e908")</f>
        <v>https://knigipp.ru/api/getInfo/image/71643eea-66cf-11ef-a265-00155d82e908</v>
      </c>
      <c r="AD1982" s="32">
        <v>32</v>
      </c>
      <c r="AE1982" s="3" t="s">
        <v>54</v>
      </c>
      <c r="AF1982" s="3" t="s">
        <v>136</v>
      </c>
      <c r="AG1982" s="3"/>
      <c r="AH1982" s="3" t="s">
        <v>56</v>
      </c>
      <c r="AI1982" s="3"/>
      <c r="AJ1982" s="3"/>
      <c r="AK1982" s="3" t="str">
        <f>HYPERLINK("https://knigipp.ru/api/getInfo/item/71643eea-66cf-11ef-a265-00155d82e908")</f>
        <v>https://knigipp.ru/api/getInfo/item/71643eea-66cf-11ef-a265-00155d82e908</v>
      </c>
      <c r="AL1982" s="3" t="s">
        <v>8388</v>
      </c>
    </row>
    <row r="1983" spans="1:38" ht="21" customHeight="1" outlineLevel="4" x14ac:dyDescent="0.2">
      <c r="A1983" s="39">
        <v>1515</v>
      </c>
      <c r="B1983" s="3" t="s">
        <v>8389</v>
      </c>
      <c r="C1983" s="49" t="s">
        <v>8390</v>
      </c>
      <c r="D1983" s="49"/>
      <c r="E1983" s="49"/>
      <c r="F1983" s="49"/>
      <c r="G1983" s="4" t="s">
        <v>8391</v>
      </c>
      <c r="H1983" s="8"/>
      <c r="I1983" s="9" t="s">
        <v>8392</v>
      </c>
      <c r="J1983" s="10"/>
      <c r="K1983" s="11">
        <v>25</v>
      </c>
      <c r="L1983" s="10"/>
      <c r="M1983" s="10" t="s">
        <v>78</v>
      </c>
      <c r="N1983" s="10"/>
      <c r="O1983" s="2">
        <v>5</v>
      </c>
      <c r="P1983" s="17">
        <f>137*(1-S3/100)</f>
        <v>137</v>
      </c>
      <c r="Q1983" s="18"/>
      <c r="R1983" s="10">
        <f t="shared" si="84"/>
        <v>0</v>
      </c>
      <c r="S1983" s="19">
        <f>0.141*Q1983</f>
        <v>0</v>
      </c>
      <c r="T1983" s="19">
        <f>0.001*Q1983</f>
        <v>0</v>
      </c>
      <c r="U1983" s="21"/>
      <c r="V1983" s="22" t="s">
        <v>8393</v>
      </c>
      <c r="W1983" s="22" t="s">
        <v>49</v>
      </c>
      <c r="X1983" s="3"/>
      <c r="Y1983" s="3" t="s">
        <v>8394</v>
      </c>
      <c r="Z1983" s="3" t="s">
        <v>52</v>
      </c>
      <c r="AA1983" s="3"/>
      <c r="AB1983" s="3"/>
      <c r="AC1983" s="3" t="str">
        <f>HYPERLINK("https://knigipp.ru/api/getInfo/image/f30ae2ea-7e2f-11ee-a248-00155d82e902")</f>
        <v>https://knigipp.ru/api/getInfo/image/f30ae2ea-7e2f-11ee-a248-00155d82e902</v>
      </c>
      <c r="AD1983" s="32">
        <v>32</v>
      </c>
      <c r="AE1983" s="3" t="s">
        <v>54</v>
      </c>
      <c r="AF1983" s="3" t="s">
        <v>136</v>
      </c>
      <c r="AG1983" s="3"/>
      <c r="AH1983" s="3" t="s">
        <v>56</v>
      </c>
      <c r="AI1983" s="3"/>
      <c r="AJ1983" s="3"/>
      <c r="AK1983" s="3" t="str">
        <f>HYPERLINK("https://knigipp.ru/api/getInfo/item/f30ae2ea-7e2f-11ee-a248-00155d82e902")</f>
        <v>https://knigipp.ru/api/getInfo/item/f30ae2ea-7e2f-11ee-a248-00155d82e902</v>
      </c>
      <c r="AL1983" s="3" t="s">
        <v>8388</v>
      </c>
    </row>
    <row r="1984" spans="1:38" ht="21" customHeight="1" outlineLevel="4" x14ac:dyDescent="0.2">
      <c r="A1984" s="39">
        <v>1516</v>
      </c>
      <c r="B1984" s="3" t="s">
        <v>8395</v>
      </c>
      <c r="C1984" s="49" t="s">
        <v>8396</v>
      </c>
      <c r="D1984" s="49"/>
      <c r="E1984" s="49"/>
      <c r="F1984" s="49"/>
      <c r="G1984" s="4" t="s">
        <v>8397</v>
      </c>
      <c r="H1984" s="8"/>
      <c r="I1984" s="9" t="s">
        <v>8398</v>
      </c>
      <c r="J1984" s="10"/>
      <c r="K1984" s="11">
        <v>25</v>
      </c>
      <c r="L1984" s="10"/>
      <c r="M1984" s="10" t="s">
        <v>47</v>
      </c>
      <c r="N1984" s="10"/>
      <c r="O1984" s="2">
        <v>5</v>
      </c>
      <c r="P1984" s="17">
        <f>137*(1-S3/100)</f>
        <v>137</v>
      </c>
      <c r="Q1984" s="18"/>
      <c r="R1984" s="10">
        <f t="shared" si="84"/>
        <v>0</v>
      </c>
      <c r="S1984" s="19">
        <f>0.141*Q1984</f>
        <v>0</v>
      </c>
      <c r="T1984" s="30">
        <f>0.0003*Q1984</f>
        <v>0</v>
      </c>
      <c r="U1984" s="21"/>
      <c r="V1984" s="22" t="s">
        <v>8399</v>
      </c>
      <c r="W1984" s="22" t="s">
        <v>49</v>
      </c>
      <c r="X1984" s="3"/>
      <c r="Y1984" s="3" t="s">
        <v>8400</v>
      </c>
      <c r="Z1984" s="3" t="s">
        <v>52</v>
      </c>
      <c r="AA1984" s="3"/>
      <c r="AB1984" s="3"/>
      <c r="AC1984" s="3" t="str">
        <f>HYPERLINK("https://knigipp.ru/api/getInfo/image/d60ce00f-7e2f-11ee-a248-00155d82e902")</f>
        <v>https://knigipp.ru/api/getInfo/image/d60ce00f-7e2f-11ee-a248-00155d82e902</v>
      </c>
      <c r="AD1984" s="32">
        <v>32</v>
      </c>
      <c r="AE1984" s="3" t="s">
        <v>54</v>
      </c>
      <c r="AF1984" s="3" t="s">
        <v>136</v>
      </c>
      <c r="AG1984" s="3"/>
      <c r="AH1984" s="3" t="s">
        <v>56</v>
      </c>
      <c r="AI1984" s="3"/>
      <c r="AJ1984" s="3"/>
      <c r="AK1984" s="3" t="str">
        <f>HYPERLINK("https://knigipp.ru/api/getInfo/item/d60ce00f-7e2f-11ee-a248-00155d82e902")</f>
        <v>https://knigipp.ru/api/getInfo/item/d60ce00f-7e2f-11ee-a248-00155d82e902</v>
      </c>
      <c r="AL1984" s="3" t="s">
        <v>8388</v>
      </c>
    </row>
    <row r="1985" spans="1:38" ht="21" customHeight="1" outlineLevel="4" x14ac:dyDescent="0.2">
      <c r="A1985" s="39">
        <v>1517</v>
      </c>
      <c r="B1985" s="3" t="s">
        <v>8401</v>
      </c>
      <c r="C1985" s="49" t="s">
        <v>8402</v>
      </c>
      <c r="D1985" s="49"/>
      <c r="E1985" s="49"/>
      <c r="F1985" s="49"/>
      <c r="G1985" s="4" t="s">
        <v>8403</v>
      </c>
      <c r="H1985" s="8"/>
      <c r="I1985" s="9" t="s">
        <v>8404</v>
      </c>
      <c r="J1985" s="10"/>
      <c r="K1985" s="11">
        <v>25</v>
      </c>
      <c r="L1985" s="10"/>
      <c r="M1985" s="10" t="s">
        <v>78</v>
      </c>
      <c r="N1985" s="10"/>
      <c r="O1985" s="2">
        <v>5</v>
      </c>
      <c r="P1985" s="17">
        <f>137*(1-S3/100)</f>
        <v>137</v>
      </c>
      <c r="Q1985" s="18"/>
      <c r="R1985" s="10">
        <f t="shared" si="84"/>
        <v>0</v>
      </c>
      <c r="S1985" s="19">
        <f>0.133*Q1985</f>
        <v>0</v>
      </c>
      <c r="T1985" s="20">
        <f>0.00029*Q1985</f>
        <v>0</v>
      </c>
      <c r="U1985" s="21"/>
      <c r="V1985" s="22" t="s">
        <v>8405</v>
      </c>
      <c r="W1985" s="22" t="s">
        <v>49</v>
      </c>
      <c r="X1985" s="3"/>
      <c r="Y1985" s="3" t="s">
        <v>8406</v>
      </c>
      <c r="Z1985" s="3" t="s">
        <v>52</v>
      </c>
      <c r="AA1985" s="3"/>
      <c r="AB1985" s="3"/>
      <c r="AC1985" s="3" t="str">
        <f>HYPERLINK("https://knigipp.ru/api/getInfo/image/d997fbff-66cf-11ef-a265-00155d82e908")</f>
        <v>https://knigipp.ru/api/getInfo/image/d997fbff-66cf-11ef-a265-00155d82e908</v>
      </c>
      <c r="AD1985" s="32">
        <v>32</v>
      </c>
      <c r="AE1985" s="3" t="s">
        <v>54</v>
      </c>
      <c r="AF1985" s="3" t="s">
        <v>136</v>
      </c>
      <c r="AG1985" s="3"/>
      <c r="AH1985" s="3" t="s">
        <v>56</v>
      </c>
      <c r="AI1985" s="3"/>
      <c r="AJ1985" s="3"/>
      <c r="AK1985" s="3" t="str">
        <f>HYPERLINK("https://knigipp.ru/api/getInfo/item/d997fbff-66cf-11ef-a265-00155d82e908")</f>
        <v>https://knigipp.ru/api/getInfo/item/d997fbff-66cf-11ef-a265-00155d82e908</v>
      </c>
      <c r="AL1985" s="3" t="s">
        <v>8388</v>
      </c>
    </row>
    <row r="1986" spans="1:38" ht="21" customHeight="1" outlineLevel="4" x14ac:dyDescent="0.2">
      <c r="A1986" s="39">
        <v>1518</v>
      </c>
      <c r="B1986" s="3" t="s">
        <v>8407</v>
      </c>
      <c r="C1986" s="49" t="s">
        <v>8408</v>
      </c>
      <c r="D1986" s="49"/>
      <c r="E1986" s="49"/>
      <c r="F1986" s="49"/>
      <c r="G1986" s="4" t="s">
        <v>8409</v>
      </c>
      <c r="H1986" s="8"/>
      <c r="I1986" s="9" t="s">
        <v>8410</v>
      </c>
      <c r="J1986" s="10"/>
      <c r="K1986" s="11">
        <v>25</v>
      </c>
      <c r="L1986" s="10"/>
      <c r="M1986" s="10" t="s">
        <v>47</v>
      </c>
      <c r="N1986" s="10"/>
      <c r="O1986" s="2">
        <v>5</v>
      </c>
      <c r="P1986" s="17">
        <f>137*(1-S3/100)</f>
        <v>137</v>
      </c>
      <c r="Q1986" s="18"/>
      <c r="R1986" s="10">
        <f t="shared" si="84"/>
        <v>0</v>
      </c>
      <c r="S1986" s="19">
        <f>0.133*Q1986</f>
        <v>0</v>
      </c>
      <c r="T1986" s="20">
        <f>0.00044*Q1986</f>
        <v>0</v>
      </c>
      <c r="U1986" s="21"/>
      <c r="V1986" s="22" t="s">
        <v>8411</v>
      </c>
      <c r="W1986" s="22" t="s">
        <v>49</v>
      </c>
      <c r="X1986" s="3"/>
      <c r="Y1986" s="3" t="s">
        <v>8412</v>
      </c>
      <c r="Z1986" s="3" t="s">
        <v>52</v>
      </c>
      <c r="AA1986" s="3"/>
      <c r="AB1986" s="3"/>
      <c r="AC1986" s="3" t="str">
        <f>HYPERLINK("https://knigipp.ru/api/getInfo/image/0225fa73-66d0-11ef-a265-00155d82e908")</f>
        <v>https://knigipp.ru/api/getInfo/image/0225fa73-66d0-11ef-a265-00155d82e908</v>
      </c>
      <c r="AD1986" s="32">
        <v>32</v>
      </c>
      <c r="AE1986" s="3" t="s">
        <v>54</v>
      </c>
      <c r="AF1986" s="3" t="s">
        <v>136</v>
      </c>
      <c r="AG1986" s="3"/>
      <c r="AH1986" s="3" t="s">
        <v>56</v>
      </c>
      <c r="AI1986" s="3"/>
      <c r="AJ1986" s="3"/>
      <c r="AK1986" s="3" t="str">
        <f>HYPERLINK("https://knigipp.ru/api/getInfo/item/0225fa73-66d0-11ef-a265-00155d82e908")</f>
        <v>https://knigipp.ru/api/getInfo/item/0225fa73-66d0-11ef-a265-00155d82e908</v>
      </c>
      <c r="AL1986" s="3" t="s">
        <v>8388</v>
      </c>
    </row>
    <row r="1987" spans="1:38" ht="21" customHeight="1" outlineLevel="4" x14ac:dyDescent="0.2">
      <c r="A1987" s="39">
        <v>1519</v>
      </c>
      <c r="B1987" s="3" t="s">
        <v>8413</v>
      </c>
      <c r="C1987" s="49" t="s">
        <v>8414</v>
      </c>
      <c r="D1987" s="49"/>
      <c r="E1987" s="49"/>
      <c r="F1987" s="49"/>
      <c r="G1987" s="4" t="s">
        <v>8415</v>
      </c>
      <c r="H1987" s="8"/>
      <c r="I1987" s="9" t="s">
        <v>8385</v>
      </c>
      <c r="J1987" s="10"/>
      <c r="K1987" s="11">
        <v>25</v>
      </c>
      <c r="L1987" s="10"/>
      <c r="M1987" s="10" t="s">
        <v>47</v>
      </c>
      <c r="N1987" s="10"/>
      <c r="O1987" s="2">
        <v>5</v>
      </c>
      <c r="P1987" s="17">
        <f>137*(1-S3/100)</f>
        <v>137</v>
      </c>
      <c r="Q1987" s="18"/>
      <c r="R1987" s="10">
        <f t="shared" si="84"/>
        <v>0</v>
      </c>
      <c r="S1987" s="19">
        <f>0.141*Q1987</f>
        <v>0</v>
      </c>
      <c r="T1987" s="20">
        <f>0.00045*Q1987</f>
        <v>0</v>
      </c>
      <c r="U1987" s="21"/>
      <c r="V1987" s="22" t="s">
        <v>8416</v>
      </c>
      <c r="W1987" s="22" t="s">
        <v>49</v>
      </c>
      <c r="X1987" s="3"/>
      <c r="Y1987" s="3" t="s">
        <v>8417</v>
      </c>
      <c r="Z1987" s="3" t="s">
        <v>52</v>
      </c>
      <c r="AA1987" s="3"/>
      <c r="AB1987" s="3"/>
      <c r="AC1987" s="3" t="str">
        <f>HYPERLINK("https://knigipp.ru/api/getInfo/image/0f075d65-7e30-11ee-a248-00155d82e902")</f>
        <v>https://knigipp.ru/api/getInfo/image/0f075d65-7e30-11ee-a248-00155d82e902</v>
      </c>
      <c r="AD1987" s="32">
        <v>32</v>
      </c>
      <c r="AE1987" s="3" t="s">
        <v>54</v>
      </c>
      <c r="AF1987" s="3" t="s">
        <v>136</v>
      </c>
      <c r="AG1987" s="3"/>
      <c r="AH1987" s="3" t="s">
        <v>56</v>
      </c>
      <c r="AI1987" s="3"/>
      <c r="AJ1987" s="3"/>
      <c r="AK1987" s="3" t="str">
        <f>HYPERLINK("https://knigipp.ru/api/getInfo/item/0f075d65-7e30-11ee-a248-00155d82e902")</f>
        <v>https://knigipp.ru/api/getInfo/item/0f075d65-7e30-11ee-a248-00155d82e902</v>
      </c>
      <c r="AL1987" s="3" t="s">
        <v>8388</v>
      </c>
    </row>
    <row r="1988" spans="1:38" ht="21" customHeight="1" outlineLevel="4" x14ac:dyDescent="0.2">
      <c r="A1988" s="39">
        <v>1520</v>
      </c>
      <c r="B1988" s="3" t="s">
        <v>8418</v>
      </c>
      <c r="C1988" s="49" t="s">
        <v>8419</v>
      </c>
      <c r="D1988" s="49"/>
      <c r="E1988" s="49"/>
      <c r="F1988" s="49"/>
      <c r="G1988" s="4" t="s">
        <v>8420</v>
      </c>
      <c r="H1988" s="8"/>
      <c r="I1988" s="9" t="s">
        <v>8421</v>
      </c>
      <c r="J1988" s="10"/>
      <c r="K1988" s="11">
        <v>25</v>
      </c>
      <c r="L1988" s="10"/>
      <c r="M1988" s="10" t="s">
        <v>47</v>
      </c>
      <c r="N1988" s="10"/>
      <c r="O1988" s="2">
        <v>5</v>
      </c>
      <c r="P1988" s="17">
        <f>137*(1-S3/100)</f>
        <v>137</v>
      </c>
      <c r="Q1988" s="18"/>
      <c r="R1988" s="10">
        <f t="shared" si="84"/>
        <v>0</v>
      </c>
      <c r="S1988" s="28">
        <f>3.18*Q1988</f>
        <v>0</v>
      </c>
      <c r="T1988" s="20">
        <f>0.00426*Q1988</f>
        <v>0</v>
      </c>
      <c r="U1988" s="21"/>
      <c r="V1988" s="22" t="s">
        <v>8422</v>
      </c>
      <c r="W1988" s="22" t="s">
        <v>49</v>
      </c>
      <c r="X1988" s="3"/>
      <c r="Y1988" s="3" t="s">
        <v>8423</v>
      </c>
      <c r="Z1988" s="3" t="s">
        <v>52</v>
      </c>
      <c r="AA1988" s="3"/>
      <c r="AB1988" s="3"/>
      <c r="AC1988" s="3" t="str">
        <f>HYPERLINK("https://knigipp.ru/api/getInfo/image/a3b3cd86-7e2f-11ee-a248-00155d82e902")</f>
        <v>https://knigipp.ru/api/getInfo/image/a3b3cd86-7e2f-11ee-a248-00155d82e902</v>
      </c>
      <c r="AD1988" s="32">
        <v>32</v>
      </c>
      <c r="AE1988" s="3" t="s">
        <v>54</v>
      </c>
      <c r="AF1988" s="3" t="s">
        <v>136</v>
      </c>
      <c r="AG1988" s="3"/>
      <c r="AH1988" s="3" t="s">
        <v>56</v>
      </c>
      <c r="AI1988" s="3"/>
      <c r="AJ1988" s="3"/>
      <c r="AK1988" s="3" t="str">
        <f>HYPERLINK("https://knigipp.ru/api/getInfo/item/a3b3cd86-7e2f-11ee-a248-00155d82e902")</f>
        <v>https://knigipp.ru/api/getInfo/item/a3b3cd86-7e2f-11ee-a248-00155d82e902</v>
      </c>
      <c r="AL1988" s="3" t="s">
        <v>8388</v>
      </c>
    </row>
    <row r="1989" spans="1:38" ht="23.1" customHeight="1" outlineLevel="3" x14ac:dyDescent="0.2">
      <c r="A1989" s="48" t="s">
        <v>8424</v>
      </c>
      <c r="B1989" s="48"/>
      <c r="C1989" s="48"/>
      <c r="D1989" s="48"/>
      <c r="E1989" s="48"/>
      <c r="F1989" s="48"/>
    </row>
    <row r="1990" spans="1:38" ht="21" customHeight="1" outlineLevel="4" x14ac:dyDescent="0.2">
      <c r="A1990" s="39">
        <v>1521</v>
      </c>
      <c r="B1990" s="3" t="s">
        <v>8425</v>
      </c>
      <c r="C1990" s="49" t="s">
        <v>8426</v>
      </c>
      <c r="D1990" s="49"/>
      <c r="E1990" s="49"/>
      <c r="F1990" s="49"/>
      <c r="G1990" s="4" t="s">
        <v>8427</v>
      </c>
      <c r="H1990" s="8"/>
      <c r="I1990" s="9" t="s">
        <v>8428</v>
      </c>
      <c r="J1990" s="10"/>
      <c r="K1990" s="11">
        <v>25</v>
      </c>
      <c r="L1990" s="10"/>
      <c r="M1990" s="10" t="s">
        <v>47</v>
      </c>
      <c r="N1990" s="10"/>
      <c r="O1990" s="2">
        <v>5</v>
      </c>
      <c r="P1990" s="17">
        <f>138.1*(1-S3/100)</f>
        <v>138.1</v>
      </c>
      <c r="Q1990" s="18"/>
      <c r="R1990" s="10">
        <f>P1990*Q1990</f>
        <v>0</v>
      </c>
      <c r="S1990" s="19">
        <f>0.128*Q1990</f>
        <v>0</v>
      </c>
      <c r="T1990" s="20">
        <f>0.00036*Q1990</f>
        <v>0</v>
      </c>
      <c r="U1990" s="21"/>
      <c r="V1990" s="22" t="s">
        <v>8429</v>
      </c>
      <c r="W1990" s="22" t="s">
        <v>49</v>
      </c>
      <c r="X1990" s="3"/>
      <c r="Y1990" s="3"/>
      <c r="Z1990" s="3" t="s">
        <v>52</v>
      </c>
      <c r="AA1990" s="3"/>
      <c r="AB1990" s="3"/>
      <c r="AC1990" s="3" t="str">
        <f>HYPERLINK("https://knigipp.ru/api/getInfo/image/26c10340-c378-11eb-a206-ac1f6b442185")</f>
        <v>https://knigipp.ru/api/getInfo/image/26c10340-c378-11eb-a206-ac1f6b442185</v>
      </c>
      <c r="AD1990" s="32">
        <v>48</v>
      </c>
      <c r="AE1990" s="3"/>
      <c r="AF1990" s="3" t="s">
        <v>55</v>
      </c>
      <c r="AG1990" s="3"/>
      <c r="AH1990" s="3" t="s">
        <v>56</v>
      </c>
      <c r="AI1990" s="3"/>
      <c r="AJ1990" s="3"/>
      <c r="AK1990" s="3" t="str">
        <f>HYPERLINK("https://knigipp.ru/api/getInfo/item/26c10340-c378-11eb-a206-ac1f6b442185")</f>
        <v>https://knigipp.ru/api/getInfo/item/26c10340-c378-11eb-a206-ac1f6b442185</v>
      </c>
      <c r="AL1990" s="3" t="s">
        <v>7198</v>
      </c>
    </row>
    <row r="1991" spans="1:38" ht="21" customHeight="1" outlineLevel="4" x14ac:dyDescent="0.2">
      <c r="A1991" s="39">
        <v>1522</v>
      </c>
      <c r="B1991" s="3" t="s">
        <v>8430</v>
      </c>
      <c r="C1991" s="49" t="s">
        <v>8431</v>
      </c>
      <c r="D1991" s="49"/>
      <c r="E1991" s="49"/>
      <c r="F1991" s="49"/>
      <c r="G1991" s="4" t="s">
        <v>8432</v>
      </c>
      <c r="H1991" s="8"/>
      <c r="I1991" s="9" t="s">
        <v>8428</v>
      </c>
      <c r="J1991" s="10"/>
      <c r="K1991" s="11">
        <v>25</v>
      </c>
      <c r="L1991" s="10"/>
      <c r="M1991" s="10" t="s">
        <v>78</v>
      </c>
      <c r="N1991" s="10"/>
      <c r="O1991" s="2">
        <v>5</v>
      </c>
      <c r="P1991" s="17">
        <f>138.1*(1-S3/100)</f>
        <v>138.1</v>
      </c>
      <c r="Q1991" s="18"/>
      <c r="R1991" s="10">
        <f>P1991*Q1991</f>
        <v>0</v>
      </c>
      <c r="S1991" s="19">
        <f>0.128*Q1991</f>
        <v>0</v>
      </c>
      <c r="T1991" s="20">
        <f>0.00036*Q1991</f>
        <v>0</v>
      </c>
      <c r="U1991" s="21"/>
      <c r="V1991" s="22" t="s">
        <v>8433</v>
      </c>
      <c r="W1991" s="22" t="s">
        <v>49</v>
      </c>
      <c r="X1991" s="3"/>
      <c r="Y1991" s="3"/>
      <c r="Z1991" s="3" t="s">
        <v>52</v>
      </c>
      <c r="AA1991" s="3"/>
      <c r="AB1991" s="3"/>
      <c r="AC1991" s="3" t="str">
        <f>HYPERLINK("https://knigipp.ru/api/getInfo/image/ef1ef23a-c377-11eb-a206-ac1f6b442185")</f>
        <v>https://knigipp.ru/api/getInfo/image/ef1ef23a-c377-11eb-a206-ac1f6b442185</v>
      </c>
      <c r="AD1991" s="32">
        <v>48</v>
      </c>
      <c r="AE1991" s="3"/>
      <c r="AF1991" s="3" t="s">
        <v>55</v>
      </c>
      <c r="AG1991" s="3"/>
      <c r="AH1991" s="3" t="s">
        <v>56</v>
      </c>
      <c r="AI1991" s="3"/>
      <c r="AJ1991" s="3"/>
      <c r="AK1991" s="3" t="str">
        <f>HYPERLINK("https://knigipp.ru/api/getInfo/item/ef1ef23a-c377-11eb-a206-ac1f6b442185")</f>
        <v>https://knigipp.ru/api/getInfo/item/ef1ef23a-c377-11eb-a206-ac1f6b442185</v>
      </c>
      <c r="AL1991" s="3" t="s">
        <v>7198</v>
      </c>
    </row>
    <row r="1992" spans="1:38" ht="23.1" customHeight="1" outlineLevel="1" x14ac:dyDescent="0.2">
      <c r="A1992" s="46" t="s">
        <v>8434</v>
      </c>
      <c r="B1992" s="46"/>
      <c r="C1992" s="46"/>
      <c r="D1992" s="46"/>
      <c r="E1992" s="46"/>
      <c r="F1992" s="46"/>
    </row>
    <row r="1993" spans="1:38" ht="23.1" customHeight="1" outlineLevel="2" x14ac:dyDescent="0.2">
      <c r="A1993" s="47" t="s">
        <v>8435</v>
      </c>
      <c r="B1993" s="47"/>
      <c r="C1993" s="47"/>
      <c r="D1993" s="47"/>
      <c r="E1993" s="47"/>
      <c r="F1993" s="47"/>
    </row>
    <row r="1994" spans="1:38" ht="21" customHeight="1" outlineLevel="3" x14ac:dyDescent="0.2">
      <c r="A1994" s="39">
        <v>1523</v>
      </c>
      <c r="B1994" s="3" t="s">
        <v>8436</v>
      </c>
      <c r="C1994" s="49" t="s">
        <v>8437</v>
      </c>
      <c r="D1994" s="49"/>
      <c r="E1994" s="49"/>
      <c r="F1994" s="49"/>
      <c r="G1994" s="4" t="s">
        <v>8438</v>
      </c>
      <c r="H1994" s="8" t="s">
        <v>610</v>
      </c>
      <c r="I1994" s="9" t="s">
        <v>8439</v>
      </c>
      <c r="J1994" s="10"/>
      <c r="K1994" s="11">
        <v>50</v>
      </c>
      <c r="L1994" s="10"/>
      <c r="M1994" s="10" t="s">
        <v>47</v>
      </c>
      <c r="N1994" s="10"/>
      <c r="O1994" s="2">
        <v>3</v>
      </c>
      <c r="P1994" s="17">
        <f>199*(1-S3/100)</f>
        <v>199</v>
      </c>
      <c r="Q1994" s="18"/>
      <c r="R1994" s="10">
        <f>P1994*Q1994</f>
        <v>0</v>
      </c>
      <c r="S1994" s="19">
        <f>0.117*Q1994</f>
        <v>0</v>
      </c>
      <c r="T1994" s="20">
        <f>0.00002*Q1994</f>
        <v>0</v>
      </c>
      <c r="U1994" s="21"/>
      <c r="V1994" s="22" t="s">
        <v>8440</v>
      </c>
      <c r="W1994" s="22" t="s">
        <v>49</v>
      </c>
      <c r="X1994" s="3"/>
      <c r="Y1994" s="3"/>
      <c r="Z1994" s="3" t="s">
        <v>450</v>
      </c>
      <c r="AA1994" s="3"/>
      <c r="AB1994" s="3"/>
      <c r="AC1994" s="3" t="str">
        <f>HYPERLINK("https://knigipp.ru/api/getInfo/image/5633a741-c02d-11e9-a232-ac1f6b442184")</f>
        <v>https://knigipp.ru/api/getInfo/image/5633a741-c02d-11e9-a232-ac1f6b442184</v>
      </c>
      <c r="AD1994" s="3"/>
      <c r="AE1994" s="3"/>
      <c r="AF1994" s="3" t="s">
        <v>452</v>
      </c>
      <c r="AG1994" s="3"/>
      <c r="AH1994" s="3" t="s">
        <v>613</v>
      </c>
      <c r="AI1994" s="3"/>
      <c r="AJ1994" s="3"/>
      <c r="AK1994" s="3" t="str">
        <f>HYPERLINK("https://knigipp.ru/api/getInfo/item/5633a741-c02d-11e9-a232-ac1f6b442184")</f>
        <v>https://knigipp.ru/api/getInfo/item/5633a741-c02d-11e9-a232-ac1f6b442184</v>
      </c>
      <c r="AL1994" s="3" t="s">
        <v>453</v>
      </c>
    </row>
    <row r="1995" spans="1:38" ht="21" customHeight="1" outlineLevel="3" x14ac:dyDescent="0.2">
      <c r="A1995" s="39">
        <v>1524</v>
      </c>
      <c r="B1995" s="3" t="s">
        <v>8441</v>
      </c>
      <c r="C1995" s="49" t="s">
        <v>8442</v>
      </c>
      <c r="D1995" s="49"/>
      <c r="E1995" s="49"/>
      <c r="F1995" s="49"/>
      <c r="G1995" s="4" t="s">
        <v>8443</v>
      </c>
      <c r="H1995" s="8" t="s">
        <v>610</v>
      </c>
      <c r="I1995" s="9" t="s">
        <v>8444</v>
      </c>
      <c r="J1995" s="10"/>
      <c r="K1995" s="11">
        <v>50</v>
      </c>
      <c r="L1995" s="10"/>
      <c r="M1995" s="10" t="s">
        <v>47</v>
      </c>
      <c r="N1995" s="10"/>
      <c r="O1995" s="2">
        <v>3</v>
      </c>
      <c r="P1995" s="17">
        <f>199*(1-S3/100)</f>
        <v>199</v>
      </c>
      <c r="Q1995" s="18"/>
      <c r="R1995" s="10">
        <f>P1995*Q1995</f>
        <v>0</v>
      </c>
      <c r="S1995" s="19">
        <f>0.117*Q1995</f>
        <v>0</v>
      </c>
      <c r="T1995" s="20">
        <f>0.00016*Q1995</f>
        <v>0</v>
      </c>
      <c r="U1995" s="21"/>
      <c r="V1995" s="22" t="s">
        <v>8445</v>
      </c>
      <c r="W1995" s="22" t="s">
        <v>49</v>
      </c>
      <c r="X1995" s="3"/>
      <c r="Y1995" s="3" t="s">
        <v>8446</v>
      </c>
      <c r="Z1995" s="3" t="s">
        <v>450</v>
      </c>
      <c r="AA1995" s="3"/>
      <c r="AB1995" s="3"/>
      <c r="AC1995" s="3" t="str">
        <f>HYPERLINK("https://knigipp.ru/api/getInfo/image/90ee775c-ae4c-11eb-a201-ac1f6b442185")</f>
        <v>https://knigipp.ru/api/getInfo/image/90ee775c-ae4c-11eb-a201-ac1f6b442185</v>
      </c>
      <c r="AD1995" s="3"/>
      <c r="AE1995" s="3"/>
      <c r="AF1995" s="3" t="s">
        <v>452</v>
      </c>
      <c r="AG1995" s="3"/>
      <c r="AH1995" s="3" t="s">
        <v>613</v>
      </c>
      <c r="AI1995" s="3"/>
      <c r="AJ1995" s="3" t="s">
        <v>8447</v>
      </c>
      <c r="AK1995" s="3" t="str">
        <f>HYPERLINK("https://knigipp.ru/api/getInfo/item/90ee775c-ae4c-11eb-a201-ac1f6b442185")</f>
        <v>https://knigipp.ru/api/getInfo/item/90ee775c-ae4c-11eb-a201-ac1f6b442185</v>
      </c>
      <c r="AL1995" s="3" t="s">
        <v>453</v>
      </c>
    </row>
    <row r="1996" spans="1:38" ht="21" customHeight="1" outlineLevel="3" x14ac:dyDescent="0.2">
      <c r="A1996" s="39">
        <v>1525</v>
      </c>
      <c r="B1996" s="3" t="s">
        <v>8448</v>
      </c>
      <c r="C1996" s="49" t="s">
        <v>8449</v>
      </c>
      <c r="D1996" s="49"/>
      <c r="E1996" s="49"/>
      <c r="F1996" s="49"/>
      <c r="G1996" s="4" t="s">
        <v>8450</v>
      </c>
      <c r="H1996" s="8"/>
      <c r="I1996" s="9" t="s">
        <v>8451</v>
      </c>
      <c r="J1996" s="10"/>
      <c r="K1996" s="11">
        <v>50</v>
      </c>
      <c r="L1996" s="10"/>
      <c r="M1996" s="10" t="s">
        <v>47</v>
      </c>
      <c r="N1996" s="10"/>
      <c r="O1996" s="2">
        <v>3</v>
      </c>
      <c r="P1996" s="17">
        <f>199*(1-S3/100)</f>
        <v>199</v>
      </c>
      <c r="Q1996" s="18"/>
      <c r="R1996" s="10">
        <f>P1996*Q1996</f>
        <v>0</v>
      </c>
      <c r="S1996" s="19">
        <f>0.109*Q1996</f>
        <v>0</v>
      </c>
      <c r="T1996" s="30">
        <f>0.0004*Q1996</f>
        <v>0</v>
      </c>
      <c r="U1996" s="21"/>
      <c r="V1996" s="22" t="s">
        <v>8452</v>
      </c>
      <c r="W1996" s="22" t="s">
        <v>49</v>
      </c>
      <c r="X1996" s="3"/>
      <c r="Y1996" s="3"/>
      <c r="Z1996" s="3" t="s">
        <v>450</v>
      </c>
      <c r="AA1996" s="3"/>
      <c r="AB1996" s="3"/>
      <c r="AC1996" s="3" t="str">
        <f>HYPERLINK("https://knigipp.ru/api/getInfo/image/49700e9b-badd-11ea-a249-ac1f6b442184")</f>
        <v>https://knigipp.ru/api/getInfo/image/49700e9b-badd-11ea-a249-ac1f6b442184</v>
      </c>
      <c r="AD1996" s="3"/>
      <c r="AE1996" s="3"/>
      <c r="AF1996" s="3" t="s">
        <v>452</v>
      </c>
      <c r="AG1996" s="3"/>
      <c r="AH1996" s="3" t="s">
        <v>613</v>
      </c>
      <c r="AI1996" s="3"/>
      <c r="AJ1996" s="3"/>
      <c r="AK1996" s="3" t="str">
        <f>HYPERLINK("https://knigipp.ru/api/getInfo/item/49700e9b-badd-11ea-a249-ac1f6b442184")</f>
        <v>https://knigipp.ru/api/getInfo/item/49700e9b-badd-11ea-a249-ac1f6b442184</v>
      </c>
      <c r="AL1996" s="3" t="s">
        <v>453</v>
      </c>
    </row>
    <row r="1997" spans="1:38" ht="23.1" customHeight="1" outlineLevel="2" x14ac:dyDescent="0.2">
      <c r="A1997" s="47" t="s">
        <v>8453</v>
      </c>
      <c r="B1997" s="47"/>
      <c r="C1997" s="47"/>
      <c r="D1997" s="47"/>
      <c r="E1997" s="47"/>
      <c r="F1997" s="47"/>
    </row>
    <row r="1998" spans="1:38" ht="21" customHeight="1" outlineLevel="3" x14ac:dyDescent="0.2">
      <c r="A1998" s="39">
        <v>1526</v>
      </c>
      <c r="B1998" s="3" t="s">
        <v>8454</v>
      </c>
      <c r="C1998" s="49" t="s">
        <v>8455</v>
      </c>
      <c r="D1998" s="49"/>
      <c r="E1998" s="49"/>
      <c r="F1998" s="49"/>
      <c r="G1998" s="4" t="s">
        <v>8456</v>
      </c>
      <c r="H1998" s="8"/>
      <c r="I1998" s="9" t="s">
        <v>8457</v>
      </c>
      <c r="J1998" s="10"/>
      <c r="K1998" s="11">
        <v>9</v>
      </c>
      <c r="L1998" s="10"/>
      <c r="M1998" s="10" t="s">
        <v>304</v>
      </c>
      <c r="N1998" s="10"/>
      <c r="O1998" s="2">
        <v>2</v>
      </c>
      <c r="P1998" s="17">
        <f>434.35*(1-S3/100)</f>
        <v>434.35</v>
      </c>
      <c r="Q1998" s="18"/>
      <c r="R1998" s="10">
        <f>P1998*Q1998</f>
        <v>0</v>
      </c>
      <c r="S1998" s="19">
        <f>0.467*Q1998</f>
        <v>0</v>
      </c>
      <c r="T1998" s="20">
        <f>0.00442*Q1998</f>
        <v>0</v>
      </c>
      <c r="U1998" s="21"/>
      <c r="V1998" s="22" t="s">
        <v>8458</v>
      </c>
      <c r="W1998" s="22" t="s">
        <v>49</v>
      </c>
      <c r="X1998" s="3"/>
      <c r="Y1998" s="3"/>
      <c r="Z1998" s="3" t="s">
        <v>384</v>
      </c>
      <c r="AA1998" s="3"/>
      <c r="AB1998" s="3"/>
      <c r="AC1998" s="3" t="str">
        <f>HYPERLINK("https://knigipp.ru/api/getInfo/image/a37bd34f-9107-11e9-a226-ac1f6b442184")</f>
        <v>https://knigipp.ru/api/getInfo/image/a37bd34f-9107-11e9-a226-ac1f6b442184</v>
      </c>
      <c r="AD1998" s="3"/>
      <c r="AE1998" s="3"/>
      <c r="AF1998" s="3" t="s">
        <v>1119</v>
      </c>
      <c r="AG1998" s="3"/>
      <c r="AH1998" s="3" t="s">
        <v>613</v>
      </c>
      <c r="AI1998" s="3"/>
      <c r="AJ1998" s="3"/>
      <c r="AK1998" s="3" t="str">
        <f>HYPERLINK("https://knigipp.ru/api/getInfo/item/a37bd34f-9107-11e9-a226-ac1f6b442184")</f>
        <v>https://knigipp.ru/api/getInfo/item/a37bd34f-9107-11e9-a226-ac1f6b442184</v>
      </c>
      <c r="AL1998" s="3" t="s">
        <v>8459</v>
      </c>
    </row>
    <row r="1999" spans="1:38" ht="21" customHeight="1" outlineLevel="3" x14ac:dyDescent="0.2">
      <c r="A1999" s="39">
        <v>1527</v>
      </c>
      <c r="B1999" s="3" t="s">
        <v>8460</v>
      </c>
      <c r="C1999" s="49" t="s">
        <v>8461</v>
      </c>
      <c r="D1999" s="49"/>
      <c r="E1999" s="49"/>
      <c r="F1999" s="49"/>
      <c r="G1999" s="4" t="s">
        <v>8462</v>
      </c>
      <c r="H1999" s="8"/>
      <c r="I1999" s="9" t="s">
        <v>8457</v>
      </c>
      <c r="J1999" s="10"/>
      <c r="K1999" s="11">
        <v>9</v>
      </c>
      <c r="L1999" s="10"/>
      <c r="M1999" s="10" t="s">
        <v>304</v>
      </c>
      <c r="N1999" s="10"/>
      <c r="O1999" s="2">
        <v>2</v>
      </c>
      <c r="P1999" s="17">
        <f>434.35*(1-S3/100)</f>
        <v>434.35</v>
      </c>
      <c r="Q1999" s="18"/>
      <c r="R1999" s="10">
        <f>P1999*Q1999</f>
        <v>0</v>
      </c>
      <c r="S1999" s="19">
        <f>0.467*Q1999</f>
        <v>0</v>
      </c>
      <c r="T1999" s="20">
        <f>0.00442*Q1999</f>
        <v>0</v>
      </c>
      <c r="U1999" s="21"/>
      <c r="V1999" s="22" t="s">
        <v>8463</v>
      </c>
      <c r="W1999" s="22" t="s">
        <v>49</v>
      </c>
      <c r="X1999" s="3"/>
      <c r="Y1999" s="3"/>
      <c r="Z1999" s="3" t="s">
        <v>52</v>
      </c>
      <c r="AA1999" s="3"/>
      <c r="AB1999" s="3"/>
      <c r="AC1999" s="3" t="str">
        <f>HYPERLINK("https://knigipp.ru/api/getInfo/image/e868707c-9107-11e9-a226-ac1f6b442184")</f>
        <v>https://knigipp.ru/api/getInfo/image/e868707c-9107-11e9-a226-ac1f6b442184</v>
      </c>
      <c r="AD1999" s="3"/>
      <c r="AE1999" s="3"/>
      <c r="AF1999" s="3" t="s">
        <v>1119</v>
      </c>
      <c r="AG1999" s="3"/>
      <c r="AH1999" s="3" t="s">
        <v>613</v>
      </c>
      <c r="AI1999" s="3"/>
      <c r="AJ1999" s="3"/>
      <c r="AK1999" s="3" t="str">
        <f>HYPERLINK("https://knigipp.ru/api/getInfo/item/e868707c-9107-11e9-a226-ac1f6b442184")</f>
        <v>https://knigipp.ru/api/getInfo/item/e868707c-9107-11e9-a226-ac1f6b442184</v>
      </c>
      <c r="AL1999" s="3" t="s">
        <v>8459</v>
      </c>
    </row>
    <row r="2000" spans="1:38" ht="23.1" customHeight="1" outlineLevel="2" x14ac:dyDescent="0.2">
      <c r="A2000" s="47" t="s">
        <v>8464</v>
      </c>
      <c r="B2000" s="47"/>
      <c r="C2000" s="47"/>
      <c r="D2000" s="47"/>
      <c r="E2000" s="47"/>
      <c r="F2000" s="47"/>
    </row>
    <row r="2001" spans="1:38" ht="21" customHeight="1" outlineLevel="3" x14ac:dyDescent="0.2">
      <c r="A2001" s="39">
        <v>1528</v>
      </c>
      <c r="B2001" s="3" t="s">
        <v>8465</v>
      </c>
      <c r="C2001" s="49" t="s">
        <v>8466</v>
      </c>
      <c r="D2001" s="49"/>
      <c r="E2001" s="49"/>
      <c r="F2001" s="49"/>
      <c r="G2001" s="4" t="s">
        <v>8467</v>
      </c>
      <c r="H2001" s="8"/>
      <c r="I2001" s="9" t="s">
        <v>8468</v>
      </c>
      <c r="J2001" s="10"/>
      <c r="K2001" s="10"/>
      <c r="L2001" s="10"/>
      <c r="M2001" s="10" t="s">
        <v>47</v>
      </c>
      <c r="N2001" s="10"/>
      <c r="O2001" s="2">
        <v>1</v>
      </c>
      <c r="P2001" s="29">
        <f>1190*(1-S3/100)</f>
        <v>1190</v>
      </c>
      <c r="Q2001" s="18"/>
      <c r="R2001" s="10">
        <f>P2001*Q2001</f>
        <v>0</v>
      </c>
      <c r="S2001" s="19">
        <f>0.734*Q2001</f>
        <v>0</v>
      </c>
      <c r="T2001" s="20">
        <f>0.00393*Q2001</f>
        <v>0</v>
      </c>
      <c r="U2001" s="21"/>
      <c r="V2001" s="22" t="s">
        <v>8469</v>
      </c>
      <c r="W2001" s="22" t="s">
        <v>49</v>
      </c>
      <c r="X2001" s="3"/>
      <c r="Y2001" s="3" t="s">
        <v>8470</v>
      </c>
      <c r="Z2001" s="3" t="s">
        <v>460</v>
      </c>
      <c r="AA2001" s="3"/>
      <c r="AB2001" s="3"/>
      <c r="AC2001" s="3" t="str">
        <f>HYPERLINK("https://knigipp.ru/api/getInfo/image/213d635e-1615-11f1-a28f-00155d82e908")</f>
        <v>https://knigipp.ru/api/getInfo/image/213d635e-1615-11f1-a28f-00155d82e908</v>
      </c>
      <c r="AD2001" s="3"/>
      <c r="AE2001" s="3"/>
      <c r="AF2001" s="3" t="s">
        <v>439</v>
      </c>
      <c r="AG2001" s="3"/>
      <c r="AH2001" s="3" t="s">
        <v>56</v>
      </c>
      <c r="AI2001" s="3"/>
      <c r="AJ2001" s="3"/>
      <c r="AK2001" s="3" t="str">
        <f>HYPERLINK("https://knigipp.ru/api/getInfo/item/213d635e-1615-11f1-a28f-00155d82e908")</f>
        <v>https://knigipp.ru/api/getInfo/item/213d635e-1615-11f1-a28f-00155d82e908</v>
      </c>
      <c r="AL2001" s="3" t="s">
        <v>440</v>
      </c>
    </row>
    <row r="2002" spans="1:38" ht="21" customHeight="1" outlineLevel="3" x14ac:dyDescent="0.2">
      <c r="A2002" s="39">
        <v>1529</v>
      </c>
      <c r="B2002" s="3" t="s">
        <v>8471</v>
      </c>
      <c r="C2002" s="49" t="s">
        <v>8472</v>
      </c>
      <c r="D2002" s="49"/>
      <c r="E2002" s="49"/>
      <c r="F2002" s="49"/>
      <c r="G2002" s="4" t="s">
        <v>8473</v>
      </c>
      <c r="H2002" s="8"/>
      <c r="I2002" s="9" t="s">
        <v>8474</v>
      </c>
      <c r="J2002" s="10"/>
      <c r="K2002" s="11">
        <v>1</v>
      </c>
      <c r="L2002" s="10"/>
      <c r="M2002" s="10" t="s">
        <v>78</v>
      </c>
      <c r="N2002" s="10"/>
      <c r="O2002" s="2">
        <v>1</v>
      </c>
      <c r="P2002" s="17">
        <f>899*(1-S3/100)</f>
        <v>899</v>
      </c>
      <c r="Q2002" s="18"/>
      <c r="R2002" s="10">
        <f>P2002*Q2002</f>
        <v>0</v>
      </c>
      <c r="S2002" s="19">
        <f>1.174*Q2002</f>
        <v>0</v>
      </c>
      <c r="T2002" s="30">
        <f>0.0045*Q2002</f>
        <v>0</v>
      </c>
      <c r="U2002" s="21"/>
      <c r="V2002" s="22" t="s">
        <v>8475</v>
      </c>
      <c r="W2002" s="22" t="s">
        <v>49</v>
      </c>
      <c r="X2002" s="3"/>
      <c r="Y2002" s="3" t="s">
        <v>8476</v>
      </c>
      <c r="Z2002" s="3" t="s">
        <v>460</v>
      </c>
      <c r="AA2002" s="3" t="s">
        <v>438</v>
      </c>
      <c r="AB2002" s="3"/>
      <c r="AC2002" s="3" t="str">
        <f>HYPERLINK("https://knigipp.ru/api/getInfo/image/ecc90b43-1f53-11ef-a25f-00155d82e908")</f>
        <v>https://knigipp.ru/api/getInfo/image/ecc90b43-1f53-11ef-a25f-00155d82e908</v>
      </c>
      <c r="AD2002" s="3"/>
      <c r="AE2002" s="3"/>
      <c r="AF2002" s="3" t="s">
        <v>439</v>
      </c>
      <c r="AG2002" s="3"/>
      <c r="AH2002" s="3" t="s">
        <v>56</v>
      </c>
      <c r="AI2002" s="3"/>
      <c r="AJ2002" s="3"/>
      <c r="AK2002" s="3" t="str">
        <f>HYPERLINK("https://knigipp.ru/api/getInfo/item/ecc90b43-1f53-11ef-a25f-00155d82e908")</f>
        <v>https://knigipp.ru/api/getInfo/item/ecc90b43-1f53-11ef-a25f-00155d82e908</v>
      </c>
      <c r="AL2002" s="3" t="s">
        <v>440</v>
      </c>
    </row>
    <row r="2003" spans="1:38" ht="21" customHeight="1" outlineLevel="3" x14ac:dyDescent="0.2">
      <c r="A2003" s="39">
        <v>1530</v>
      </c>
      <c r="B2003" s="3" t="s">
        <v>8477</v>
      </c>
      <c r="C2003" s="49" t="s">
        <v>8478</v>
      </c>
      <c r="D2003" s="49"/>
      <c r="E2003" s="49"/>
      <c r="F2003" s="49"/>
      <c r="G2003" s="4" t="s">
        <v>8479</v>
      </c>
      <c r="H2003" s="8"/>
      <c r="I2003" s="9" t="s">
        <v>8468</v>
      </c>
      <c r="J2003" s="10"/>
      <c r="K2003" s="10"/>
      <c r="L2003" s="10"/>
      <c r="M2003" s="10" t="s">
        <v>47</v>
      </c>
      <c r="N2003" s="10"/>
      <c r="O2003" s="2">
        <v>1</v>
      </c>
      <c r="P2003" s="29">
        <f>1190*(1-S3/100)</f>
        <v>1190</v>
      </c>
      <c r="Q2003" s="18"/>
      <c r="R2003" s="10">
        <f>P2003*Q2003</f>
        <v>0</v>
      </c>
      <c r="S2003" s="19">
        <f>0.734*Q2003</f>
        <v>0</v>
      </c>
      <c r="T2003" s="20">
        <f>0.00349*Q2003</f>
        <v>0</v>
      </c>
      <c r="U2003" s="21"/>
      <c r="V2003" s="22" t="s">
        <v>8480</v>
      </c>
      <c r="W2003" s="22" t="s">
        <v>49</v>
      </c>
      <c r="X2003" s="3"/>
      <c r="Y2003" s="3" t="s">
        <v>8481</v>
      </c>
      <c r="Z2003" s="3" t="s">
        <v>460</v>
      </c>
      <c r="AA2003" s="3"/>
      <c r="AB2003" s="3"/>
      <c r="AC2003" s="3" t="str">
        <f>HYPERLINK("https://knigipp.ru/api/getInfo/image/db4f0d58-1615-11f1-a28f-00155d82e908")</f>
        <v>https://knigipp.ru/api/getInfo/image/db4f0d58-1615-11f1-a28f-00155d82e908</v>
      </c>
      <c r="AD2003" s="3"/>
      <c r="AE2003" s="3"/>
      <c r="AF2003" s="3" t="s">
        <v>439</v>
      </c>
      <c r="AG2003" s="3"/>
      <c r="AH2003" s="3" t="s">
        <v>56</v>
      </c>
      <c r="AI2003" s="3"/>
      <c r="AJ2003" s="3"/>
      <c r="AK2003" s="3" t="str">
        <f>HYPERLINK("https://knigipp.ru/api/getInfo/item/db4f0d58-1615-11f1-a28f-00155d82e908")</f>
        <v>https://knigipp.ru/api/getInfo/item/db4f0d58-1615-11f1-a28f-00155d82e908</v>
      </c>
      <c r="AL2003" s="3" t="s">
        <v>440</v>
      </c>
    </row>
    <row r="2004" spans="1:38" ht="21" customHeight="1" outlineLevel="3" x14ac:dyDescent="0.2">
      <c r="A2004" s="40">
        <v>1531</v>
      </c>
      <c r="B2004" s="6" t="s">
        <v>8482</v>
      </c>
      <c r="C2004" s="54" t="s">
        <v>8483</v>
      </c>
      <c r="D2004" s="54"/>
      <c r="E2004" s="54"/>
      <c r="F2004" s="54"/>
      <c r="G2004" s="7" t="s">
        <v>8484</v>
      </c>
      <c r="H2004" s="12"/>
      <c r="I2004" s="13" t="s">
        <v>8485</v>
      </c>
      <c r="J2004" s="14"/>
      <c r="K2004" s="14"/>
      <c r="L2004" s="14"/>
      <c r="M2004" s="14" t="s">
        <v>47</v>
      </c>
      <c r="N2004" s="14"/>
      <c r="O2004" s="5">
        <v>1</v>
      </c>
      <c r="P2004" s="37">
        <f>1190*(1-S3/100)</f>
        <v>1190</v>
      </c>
      <c r="Q2004" s="18"/>
      <c r="R2004" s="14">
        <f>P2004*Q2004</f>
        <v>0</v>
      </c>
      <c r="S2004" s="24">
        <f>0.665*Q2004</f>
        <v>0</v>
      </c>
      <c r="T2004" s="25">
        <f>0.00396*Q2004</f>
        <v>0</v>
      </c>
      <c r="U2004" s="26" t="s">
        <v>62</v>
      </c>
      <c r="V2004" s="27" t="s">
        <v>8486</v>
      </c>
      <c r="W2004" s="27" t="s">
        <v>49</v>
      </c>
      <c r="X2004" s="6"/>
      <c r="Y2004" s="6" t="s">
        <v>8487</v>
      </c>
      <c r="Z2004" s="6" t="s">
        <v>460</v>
      </c>
      <c r="AA2004" s="6"/>
      <c r="AB2004" s="6"/>
      <c r="AC2004" s="6" t="str">
        <f>HYPERLINK("https://knigipp.ru/api/getInfo/image/c11f9d05-47ab-11f1-a294-00155d82e908")</f>
        <v>https://knigipp.ru/api/getInfo/image/c11f9d05-47ab-11f1-a294-00155d82e908</v>
      </c>
      <c r="AD2004" s="6"/>
      <c r="AE2004" s="6"/>
      <c r="AF2004" s="6" t="s">
        <v>439</v>
      </c>
      <c r="AG2004" s="6"/>
      <c r="AH2004" s="6" t="s">
        <v>56</v>
      </c>
      <c r="AI2004" s="6"/>
      <c r="AJ2004" s="6"/>
      <c r="AK2004" s="6" t="str">
        <f>HYPERLINK("https://knigipp.ru/api/getInfo/item/c11f9d05-47ab-11f1-a294-00155d82e908")</f>
        <v>https://knigipp.ru/api/getInfo/item/c11f9d05-47ab-11f1-a294-00155d82e908</v>
      </c>
      <c r="AL2004" s="6" t="s">
        <v>440</v>
      </c>
    </row>
    <row r="2005" spans="1:38" ht="21" customHeight="1" outlineLevel="3" x14ac:dyDescent="0.2">
      <c r="A2005" s="39">
        <v>1532</v>
      </c>
      <c r="B2005" s="3" t="s">
        <v>8488</v>
      </c>
      <c r="C2005" s="49" t="s">
        <v>8489</v>
      </c>
      <c r="D2005" s="49"/>
      <c r="E2005" s="49"/>
      <c r="F2005" s="49"/>
      <c r="G2005" s="4" t="s">
        <v>8490</v>
      </c>
      <c r="H2005" s="8"/>
      <c r="I2005" s="9" t="s">
        <v>8491</v>
      </c>
      <c r="J2005" s="10"/>
      <c r="K2005" s="11">
        <v>1</v>
      </c>
      <c r="L2005" s="10"/>
      <c r="M2005" s="10" t="s">
        <v>47</v>
      </c>
      <c r="N2005" s="10"/>
      <c r="O2005" s="2">
        <v>1</v>
      </c>
      <c r="P2005" s="17">
        <f>899*(1-S3/100)</f>
        <v>899</v>
      </c>
      <c r="Q2005" s="18"/>
      <c r="R2005" s="10">
        <f>P2005*Q2005</f>
        <v>0</v>
      </c>
      <c r="S2005" s="19">
        <f>0.747*Q2005</f>
        <v>0</v>
      </c>
      <c r="T2005" s="20">
        <f>0.00486*Q2005</f>
        <v>0</v>
      </c>
      <c r="U2005" s="21"/>
      <c r="V2005" s="22" t="s">
        <v>8492</v>
      </c>
      <c r="W2005" s="22" t="s">
        <v>49</v>
      </c>
      <c r="X2005" s="3"/>
      <c r="Y2005" s="3" t="s">
        <v>8493</v>
      </c>
      <c r="Z2005" s="3" t="s">
        <v>460</v>
      </c>
      <c r="AA2005" s="3" t="s">
        <v>3770</v>
      </c>
      <c r="AB2005" s="3"/>
      <c r="AC2005" s="3" t="str">
        <f>HYPERLINK("https://knigipp.ru/api/getInfo/image/00734cda-2a47-11ef-a261-00155d82e908")</f>
        <v>https://knigipp.ru/api/getInfo/image/00734cda-2a47-11ef-a261-00155d82e908</v>
      </c>
      <c r="AD2005" s="3"/>
      <c r="AE2005" s="3"/>
      <c r="AF2005" s="3" t="s">
        <v>439</v>
      </c>
      <c r="AG2005" s="3"/>
      <c r="AH2005" s="3" t="s">
        <v>8494</v>
      </c>
      <c r="AI2005" s="3"/>
      <c r="AJ2005" s="3"/>
      <c r="AK2005" s="3" t="str">
        <f>HYPERLINK("https://knigipp.ru/api/getInfo/item/00734cda-2a47-11ef-a261-00155d82e908")</f>
        <v>https://knigipp.ru/api/getInfo/item/00734cda-2a47-11ef-a261-00155d82e908</v>
      </c>
      <c r="AL2005" s="3" t="s">
        <v>440</v>
      </c>
    </row>
    <row r="2006" spans="1:38" ht="23.1" customHeight="1" outlineLevel="2" x14ac:dyDescent="0.2">
      <c r="A2006" s="47" t="s">
        <v>8495</v>
      </c>
      <c r="B2006" s="47"/>
      <c r="C2006" s="47"/>
      <c r="D2006" s="47"/>
      <c r="E2006" s="47"/>
      <c r="F2006" s="47"/>
    </row>
    <row r="2007" spans="1:38" ht="21" customHeight="1" outlineLevel="3" x14ac:dyDescent="0.2">
      <c r="A2007" s="39">
        <v>1533</v>
      </c>
      <c r="B2007" s="3" t="s">
        <v>8496</v>
      </c>
      <c r="C2007" s="49" t="s">
        <v>8497</v>
      </c>
      <c r="D2007" s="49"/>
      <c r="E2007" s="49"/>
      <c r="F2007" s="49"/>
      <c r="G2007" s="4" t="s">
        <v>8498</v>
      </c>
      <c r="H2007" s="8" t="s">
        <v>610</v>
      </c>
      <c r="I2007" s="9" t="s">
        <v>8499</v>
      </c>
      <c r="J2007" s="10"/>
      <c r="K2007" s="11">
        <v>20</v>
      </c>
      <c r="L2007" s="10"/>
      <c r="M2007" s="10" t="s">
        <v>47</v>
      </c>
      <c r="N2007" s="10"/>
      <c r="O2007" s="2">
        <v>2</v>
      </c>
      <c r="P2007" s="17">
        <f>419*(1-S3/100)</f>
        <v>419</v>
      </c>
      <c r="Q2007" s="18"/>
      <c r="R2007" s="10">
        <f>P2007*Q2007</f>
        <v>0</v>
      </c>
      <c r="S2007" s="28">
        <f>0.19*Q2007</f>
        <v>0</v>
      </c>
      <c r="T2007" s="20">
        <f>0.00063*Q2007</f>
        <v>0</v>
      </c>
      <c r="U2007" s="21"/>
      <c r="V2007" s="22" t="s">
        <v>8500</v>
      </c>
      <c r="W2007" s="22" t="s">
        <v>49</v>
      </c>
      <c r="X2007" s="3"/>
      <c r="Y2007" s="3"/>
      <c r="Z2007" s="3" t="s">
        <v>8501</v>
      </c>
      <c r="AA2007" s="3"/>
      <c r="AB2007" s="3"/>
      <c r="AC2007" s="3" t="str">
        <f>HYPERLINK("https://knigipp.ru/api/getInfo/image/e2f0a84a-d335-11ea-a250-ac1f6b442184")</f>
        <v>https://knigipp.ru/api/getInfo/image/e2f0a84a-d335-11ea-a250-ac1f6b442184</v>
      </c>
      <c r="AD2007" s="3"/>
      <c r="AE2007" s="3"/>
      <c r="AF2007" s="3" t="s">
        <v>1119</v>
      </c>
      <c r="AG2007" s="3"/>
      <c r="AH2007" s="3" t="s">
        <v>613</v>
      </c>
      <c r="AI2007" s="3"/>
      <c r="AJ2007" s="3" t="s">
        <v>8502</v>
      </c>
      <c r="AK2007" s="3" t="str">
        <f>HYPERLINK("https://knigipp.ru/api/getInfo/item/e2f0a84a-d335-11ea-a250-ac1f6b442184")</f>
        <v>https://knigipp.ru/api/getInfo/item/e2f0a84a-d335-11ea-a250-ac1f6b442184</v>
      </c>
      <c r="AL2007" s="3" t="s">
        <v>8503</v>
      </c>
    </row>
    <row r="2008" spans="1:38" ht="21" customHeight="1" outlineLevel="3" x14ac:dyDescent="0.2">
      <c r="A2008" s="39">
        <v>1534</v>
      </c>
      <c r="B2008" s="3" t="s">
        <v>8504</v>
      </c>
      <c r="C2008" s="49" t="s">
        <v>8505</v>
      </c>
      <c r="D2008" s="49"/>
      <c r="E2008" s="49"/>
      <c r="F2008" s="49"/>
      <c r="G2008" s="4" t="s">
        <v>8506</v>
      </c>
      <c r="H2008" s="8" t="s">
        <v>610</v>
      </c>
      <c r="I2008" s="9" t="s">
        <v>8507</v>
      </c>
      <c r="J2008" s="10"/>
      <c r="K2008" s="11">
        <v>20</v>
      </c>
      <c r="L2008" s="10"/>
      <c r="M2008" s="10" t="s">
        <v>78</v>
      </c>
      <c r="N2008" s="10"/>
      <c r="O2008" s="2">
        <v>2</v>
      </c>
      <c r="P2008" s="17">
        <f>419*(1-S3/100)</f>
        <v>419</v>
      </c>
      <c r="Q2008" s="18"/>
      <c r="R2008" s="10">
        <f>P2008*Q2008</f>
        <v>0</v>
      </c>
      <c r="S2008" s="19">
        <f>0.208*Q2008</f>
        <v>0</v>
      </c>
      <c r="T2008" s="20">
        <f>0.00052*Q2008</f>
        <v>0</v>
      </c>
      <c r="U2008" s="21"/>
      <c r="V2008" s="22" t="s">
        <v>8508</v>
      </c>
      <c r="W2008" s="22" t="s">
        <v>49</v>
      </c>
      <c r="X2008" s="3"/>
      <c r="Y2008" s="3"/>
      <c r="Z2008" s="3" t="s">
        <v>460</v>
      </c>
      <c r="AA2008" s="3"/>
      <c r="AB2008" s="3"/>
      <c r="AC2008" s="3" t="str">
        <f>HYPERLINK("https://knigipp.ru/api/getInfo/image/189ba7c8-6226-11eb-a26d-ac1f6b442184")</f>
        <v>https://knigipp.ru/api/getInfo/image/189ba7c8-6226-11eb-a26d-ac1f6b442184</v>
      </c>
      <c r="AD2008" s="3"/>
      <c r="AE2008" s="3"/>
      <c r="AF2008" s="3" t="s">
        <v>1119</v>
      </c>
      <c r="AG2008" s="3"/>
      <c r="AH2008" s="3" t="s">
        <v>613</v>
      </c>
      <c r="AI2008" s="3"/>
      <c r="AJ2008" s="3" t="s">
        <v>8502</v>
      </c>
      <c r="AK2008" s="3" t="str">
        <f>HYPERLINK("https://knigipp.ru/api/getInfo/item/189ba7c8-6226-11eb-a26d-ac1f6b442184")</f>
        <v>https://knigipp.ru/api/getInfo/item/189ba7c8-6226-11eb-a26d-ac1f6b442184</v>
      </c>
      <c r="AL2008" s="3" t="s">
        <v>8503</v>
      </c>
    </row>
    <row r="2009" spans="1:38" ht="23.1" customHeight="1" outlineLevel="1" x14ac:dyDescent="0.2">
      <c r="A2009" s="46" t="s">
        <v>8509</v>
      </c>
      <c r="B2009" s="46"/>
      <c r="C2009" s="46"/>
      <c r="D2009" s="46"/>
      <c r="E2009" s="46"/>
      <c r="F2009" s="46"/>
    </row>
    <row r="2010" spans="1:38" ht="23.1" customHeight="1" outlineLevel="2" x14ac:dyDescent="0.2">
      <c r="A2010" s="47" t="s">
        <v>8510</v>
      </c>
      <c r="B2010" s="47"/>
      <c r="C2010" s="47"/>
      <c r="D2010" s="47"/>
      <c r="E2010" s="47"/>
      <c r="F2010" s="47"/>
    </row>
    <row r="2011" spans="1:38" ht="21" customHeight="1" outlineLevel="3" x14ac:dyDescent="0.2">
      <c r="A2011" s="39">
        <v>1535</v>
      </c>
      <c r="B2011" s="3" t="s">
        <v>8511</v>
      </c>
      <c r="C2011" s="49" t="s">
        <v>8512</v>
      </c>
      <c r="D2011" s="49"/>
      <c r="E2011" s="49"/>
      <c r="F2011" s="49"/>
      <c r="G2011" s="4" t="s">
        <v>8513</v>
      </c>
      <c r="H2011" s="8"/>
      <c r="I2011" s="9" t="s">
        <v>8514</v>
      </c>
      <c r="J2011" s="10"/>
      <c r="K2011" s="11">
        <v>10</v>
      </c>
      <c r="L2011" s="10"/>
      <c r="M2011" s="10" t="s">
        <v>47</v>
      </c>
      <c r="N2011" s="10"/>
      <c r="O2011" s="2">
        <v>1</v>
      </c>
      <c r="P2011" s="17">
        <f>577*(1-S3/100)</f>
        <v>577</v>
      </c>
      <c r="Q2011" s="18"/>
      <c r="R2011" s="10">
        <f t="shared" ref="R2011:R2027" si="85">P2011*Q2011</f>
        <v>0</v>
      </c>
      <c r="S2011" s="19">
        <f>0.263*Q2011</f>
        <v>0</v>
      </c>
      <c r="T2011" s="20">
        <f>0.00055*Q2011</f>
        <v>0</v>
      </c>
      <c r="U2011" s="21"/>
      <c r="V2011" s="22" t="s">
        <v>8515</v>
      </c>
      <c r="W2011" s="22" t="s">
        <v>49</v>
      </c>
      <c r="X2011" s="3" t="s">
        <v>8516</v>
      </c>
      <c r="Y2011" s="3" t="s">
        <v>8517</v>
      </c>
      <c r="Z2011" s="3" t="s">
        <v>52</v>
      </c>
      <c r="AA2011" s="3"/>
      <c r="AB2011" s="3"/>
      <c r="AC2011" s="3" t="str">
        <f>HYPERLINK("https://knigipp.ru/api/getInfo/image/e2bc0b45-e573-11f0-a28c-00155d82e908")</f>
        <v>https://knigipp.ru/api/getInfo/image/e2bc0b45-e573-11f0-a28c-00155d82e908</v>
      </c>
      <c r="AD2011" s="32">
        <v>48</v>
      </c>
      <c r="AE2011" s="3"/>
      <c r="AF2011" s="3" t="s">
        <v>127</v>
      </c>
      <c r="AG2011" s="3"/>
      <c r="AH2011" s="3" t="s">
        <v>56</v>
      </c>
      <c r="AI2011" s="3"/>
      <c r="AJ2011" s="3"/>
      <c r="AK2011" s="3" t="str">
        <f>HYPERLINK("https://knigipp.ru/api/getInfo/item/e2bc0b45-e573-11f0-a28c-00155d82e908")</f>
        <v>https://knigipp.ru/api/getInfo/item/e2bc0b45-e573-11f0-a28c-00155d82e908</v>
      </c>
      <c r="AL2011" s="3" t="s">
        <v>8518</v>
      </c>
    </row>
    <row r="2012" spans="1:38" ht="21" customHeight="1" outlineLevel="3" x14ac:dyDescent="0.2">
      <c r="A2012" s="39">
        <v>1536</v>
      </c>
      <c r="B2012" s="3" t="s">
        <v>8519</v>
      </c>
      <c r="C2012" s="49" t="s">
        <v>8520</v>
      </c>
      <c r="D2012" s="49"/>
      <c r="E2012" s="49"/>
      <c r="F2012" s="49"/>
      <c r="G2012" s="4" t="s">
        <v>8521</v>
      </c>
      <c r="H2012" s="8"/>
      <c r="I2012" s="9" t="s">
        <v>8522</v>
      </c>
      <c r="J2012" s="10"/>
      <c r="K2012" s="11">
        <v>12</v>
      </c>
      <c r="L2012" s="10"/>
      <c r="M2012" s="10" t="s">
        <v>47</v>
      </c>
      <c r="N2012" s="10"/>
      <c r="O2012" s="2">
        <v>2</v>
      </c>
      <c r="P2012" s="17">
        <f>487*(1-S3/100)</f>
        <v>487</v>
      </c>
      <c r="Q2012" s="18"/>
      <c r="R2012" s="10">
        <f t="shared" si="85"/>
        <v>0</v>
      </c>
      <c r="S2012" s="19">
        <f>0.255*Q2012</f>
        <v>0</v>
      </c>
      <c r="T2012" s="20">
        <f>0.00049*Q2012</f>
        <v>0</v>
      </c>
      <c r="U2012" s="21"/>
      <c r="V2012" s="22" t="s">
        <v>8523</v>
      </c>
      <c r="W2012" s="22" t="s">
        <v>49</v>
      </c>
      <c r="X2012" s="3" t="s">
        <v>8524</v>
      </c>
      <c r="Y2012" s="3" t="s">
        <v>8525</v>
      </c>
      <c r="Z2012" s="3" t="s">
        <v>52</v>
      </c>
      <c r="AA2012" s="3"/>
      <c r="AB2012" s="3"/>
      <c r="AC2012" s="3" t="str">
        <f>HYPERLINK("https://knigipp.ru/api/getInfo/image/b4c0a955-ae56-11ef-a267-00155d82e908")</f>
        <v>https://knigipp.ru/api/getInfo/image/b4c0a955-ae56-11ef-a267-00155d82e908</v>
      </c>
      <c r="AD2012" s="32">
        <v>48</v>
      </c>
      <c r="AE2012" s="3" t="s">
        <v>355</v>
      </c>
      <c r="AF2012" s="3" t="s">
        <v>127</v>
      </c>
      <c r="AG2012" s="3"/>
      <c r="AH2012" s="3" t="s">
        <v>56</v>
      </c>
      <c r="AI2012" s="3"/>
      <c r="AJ2012" s="3"/>
      <c r="AK2012" s="3" t="str">
        <f>HYPERLINK("https://knigipp.ru/api/getInfo/item/b4c0a955-ae56-11ef-a267-00155d82e908")</f>
        <v>https://knigipp.ru/api/getInfo/item/b4c0a955-ae56-11ef-a267-00155d82e908</v>
      </c>
      <c r="AL2012" s="3" t="s">
        <v>1294</v>
      </c>
    </row>
    <row r="2013" spans="1:38" ht="21" customHeight="1" outlineLevel="3" x14ac:dyDescent="0.2">
      <c r="A2013" s="40">
        <v>1537</v>
      </c>
      <c r="B2013" s="6" t="s">
        <v>8526</v>
      </c>
      <c r="C2013" s="54" t="s">
        <v>8527</v>
      </c>
      <c r="D2013" s="54"/>
      <c r="E2013" s="54"/>
      <c r="F2013" s="54"/>
      <c r="G2013" s="7" t="s">
        <v>8528</v>
      </c>
      <c r="H2013" s="12"/>
      <c r="I2013" s="13" t="s">
        <v>8529</v>
      </c>
      <c r="J2013" s="14"/>
      <c r="K2013" s="15">
        <v>20</v>
      </c>
      <c r="L2013" s="14"/>
      <c r="M2013" s="14" t="s">
        <v>47</v>
      </c>
      <c r="N2013" s="14"/>
      <c r="O2013" s="5">
        <v>1</v>
      </c>
      <c r="P2013" s="23">
        <f>437*(1-S3/100)</f>
        <v>437</v>
      </c>
      <c r="Q2013" s="18"/>
      <c r="R2013" s="14">
        <f t="shared" si="85"/>
        <v>0</v>
      </c>
      <c r="S2013" s="24">
        <f>0.245*Q2013</f>
        <v>0</v>
      </c>
      <c r="T2013" s="25">
        <f>0.00035*Q2013</f>
        <v>0</v>
      </c>
      <c r="U2013" s="26" t="s">
        <v>62</v>
      </c>
      <c r="V2013" s="27" t="s">
        <v>8530</v>
      </c>
      <c r="W2013" s="27" t="s">
        <v>49</v>
      </c>
      <c r="X2013" s="6" t="s">
        <v>8531</v>
      </c>
      <c r="Y2013" s="6" t="s">
        <v>8532</v>
      </c>
      <c r="Z2013" s="6" t="s">
        <v>52</v>
      </c>
      <c r="AA2013" s="6"/>
      <c r="AB2013" s="6"/>
      <c r="AC2013" s="6" t="str">
        <f>HYPERLINK("https://knigipp.ru/api/getInfo/image/acbdf7d1-13d8-11f1-a28f-00155d82e908")</f>
        <v>https://knigipp.ru/api/getInfo/image/acbdf7d1-13d8-11f1-a28f-00155d82e908</v>
      </c>
      <c r="AD2013" s="33">
        <v>80</v>
      </c>
      <c r="AE2013" s="6" t="s">
        <v>481</v>
      </c>
      <c r="AF2013" s="6" t="s">
        <v>127</v>
      </c>
      <c r="AG2013" s="6"/>
      <c r="AH2013" s="6" t="s">
        <v>56</v>
      </c>
      <c r="AI2013" s="6"/>
      <c r="AJ2013" s="6"/>
      <c r="AK2013" s="6" t="str">
        <f>HYPERLINK("https://knigipp.ru/api/getInfo/item/acbdf7d1-13d8-11f1-a28f-00155d82e908")</f>
        <v>https://knigipp.ru/api/getInfo/item/acbdf7d1-13d8-11f1-a28f-00155d82e908</v>
      </c>
      <c r="AL2013" s="6" t="s">
        <v>8533</v>
      </c>
    </row>
    <row r="2014" spans="1:38" ht="21" customHeight="1" outlineLevel="3" x14ac:dyDescent="0.2">
      <c r="A2014" s="39">
        <v>1538</v>
      </c>
      <c r="B2014" s="3" t="s">
        <v>8534</v>
      </c>
      <c r="C2014" s="49" t="s">
        <v>8535</v>
      </c>
      <c r="D2014" s="49"/>
      <c r="E2014" s="49"/>
      <c r="F2014" s="49"/>
      <c r="G2014" s="4" t="s">
        <v>8536</v>
      </c>
      <c r="H2014" s="8"/>
      <c r="I2014" s="9" t="s">
        <v>8537</v>
      </c>
      <c r="J2014" s="10"/>
      <c r="K2014" s="11">
        <v>20</v>
      </c>
      <c r="L2014" s="10"/>
      <c r="M2014" s="10" t="s">
        <v>47</v>
      </c>
      <c r="N2014" s="10"/>
      <c r="O2014" s="2">
        <v>2</v>
      </c>
      <c r="P2014" s="17">
        <f>299*(1-S3/100)</f>
        <v>299</v>
      </c>
      <c r="Q2014" s="18"/>
      <c r="R2014" s="10">
        <f t="shared" si="85"/>
        <v>0</v>
      </c>
      <c r="S2014" s="19">
        <f>0.178*Q2014</f>
        <v>0</v>
      </c>
      <c r="T2014" s="30">
        <f>0.0004*Q2014</f>
        <v>0</v>
      </c>
      <c r="U2014" s="21"/>
      <c r="V2014" s="22" t="s">
        <v>8538</v>
      </c>
      <c r="W2014" s="22" t="s">
        <v>49</v>
      </c>
      <c r="X2014" s="3" t="s">
        <v>319</v>
      </c>
      <c r="Y2014" s="3"/>
      <c r="Z2014" s="3" t="s">
        <v>52</v>
      </c>
      <c r="AA2014" s="3"/>
      <c r="AB2014" s="3"/>
      <c r="AC2014" s="3" t="str">
        <f>HYPERLINK("https://knigipp.ru/api/getInfo/image/c6c13805-6237-11eb-a26d-ac1f6b442184")</f>
        <v>https://knigipp.ru/api/getInfo/image/c6c13805-6237-11eb-a26d-ac1f6b442184</v>
      </c>
      <c r="AD2014" s="32">
        <v>24</v>
      </c>
      <c r="AE2014" s="3"/>
      <c r="AF2014" s="3" t="s">
        <v>127</v>
      </c>
      <c r="AG2014" s="3"/>
      <c r="AH2014" s="3" t="s">
        <v>56</v>
      </c>
      <c r="AI2014" s="3"/>
      <c r="AJ2014" s="3"/>
      <c r="AK2014" s="3" t="str">
        <f>HYPERLINK("https://knigipp.ru/api/getInfo/item/c6c13805-6237-11eb-a26d-ac1f6b442184")</f>
        <v>https://knigipp.ru/api/getInfo/item/c6c13805-6237-11eb-a26d-ac1f6b442184</v>
      </c>
      <c r="AL2014" s="3" t="s">
        <v>8539</v>
      </c>
    </row>
    <row r="2015" spans="1:38" ht="21" customHeight="1" outlineLevel="3" x14ac:dyDescent="0.2">
      <c r="A2015" s="39">
        <v>1539</v>
      </c>
      <c r="B2015" s="3" t="s">
        <v>8540</v>
      </c>
      <c r="C2015" s="49" t="s">
        <v>8541</v>
      </c>
      <c r="D2015" s="49"/>
      <c r="E2015" s="49"/>
      <c r="F2015" s="49"/>
      <c r="G2015" s="4" t="s">
        <v>8542</v>
      </c>
      <c r="H2015" s="8"/>
      <c r="I2015" s="9" t="s">
        <v>8543</v>
      </c>
      <c r="J2015" s="10"/>
      <c r="K2015" s="11">
        <v>12</v>
      </c>
      <c r="L2015" s="10"/>
      <c r="M2015" s="10" t="s">
        <v>47</v>
      </c>
      <c r="N2015" s="10"/>
      <c r="O2015" s="2">
        <v>1</v>
      </c>
      <c r="P2015" s="17">
        <f>547*(1-S3/100)</f>
        <v>547</v>
      </c>
      <c r="Q2015" s="18"/>
      <c r="R2015" s="10">
        <f t="shared" si="85"/>
        <v>0</v>
      </c>
      <c r="S2015" s="19">
        <f>0.251*Q2015</f>
        <v>0</v>
      </c>
      <c r="T2015" s="20">
        <f>0.00031*Q2015</f>
        <v>0</v>
      </c>
      <c r="U2015" s="21"/>
      <c r="V2015" s="22" t="s">
        <v>8544</v>
      </c>
      <c r="W2015" s="22" t="s">
        <v>49</v>
      </c>
      <c r="X2015" s="3" t="s">
        <v>345</v>
      </c>
      <c r="Y2015" s="3" t="s">
        <v>8545</v>
      </c>
      <c r="Z2015" s="3" t="s">
        <v>52</v>
      </c>
      <c r="AA2015" s="3" t="s">
        <v>1667</v>
      </c>
      <c r="AB2015" s="3"/>
      <c r="AC2015" s="3" t="str">
        <f>HYPERLINK("https://knigipp.ru/api/getInfo/image/256e4536-6147-11ef-a264-00155d82e908")</f>
        <v>https://knigipp.ru/api/getInfo/image/256e4536-6147-11ef-a264-00155d82e908</v>
      </c>
      <c r="AD2015" s="32">
        <v>48</v>
      </c>
      <c r="AE2015" s="3" t="s">
        <v>355</v>
      </c>
      <c r="AF2015" s="3" t="s">
        <v>127</v>
      </c>
      <c r="AG2015" s="3"/>
      <c r="AH2015" s="3" t="s">
        <v>56</v>
      </c>
      <c r="AI2015" s="3"/>
      <c r="AJ2015" s="3"/>
      <c r="AK2015" s="3" t="str">
        <f>HYPERLINK("https://knigipp.ru/api/getInfo/item/256e4536-6147-11ef-a264-00155d82e908")</f>
        <v>https://knigipp.ru/api/getInfo/item/256e4536-6147-11ef-a264-00155d82e908</v>
      </c>
      <c r="AL2015" s="3" t="s">
        <v>8546</v>
      </c>
    </row>
    <row r="2016" spans="1:38" ht="21" customHeight="1" outlineLevel="3" x14ac:dyDescent="0.2">
      <c r="A2016" s="39">
        <v>1540</v>
      </c>
      <c r="B2016" s="3" t="s">
        <v>8547</v>
      </c>
      <c r="C2016" s="49" t="s">
        <v>8548</v>
      </c>
      <c r="D2016" s="49"/>
      <c r="E2016" s="49"/>
      <c r="F2016" s="49"/>
      <c r="G2016" s="4" t="s">
        <v>8549</v>
      </c>
      <c r="H2016" s="8"/>
      <c r="I2016" s="9" t="s">
        <v>8550</v>
      </c>
      <c r="J2016" s="10"/>
      <c r="K2016" s="11">
        <v>12</v>
      </c>
      <c r="L2016" s="10"/>
      <c r="M2016" s="10" t="s">
        <v>47</v>
      </c>
      <c r="N2016" s="10"/>
      <c r="O2016" s="2">
        <v>1</v>
      </c>
      <c r="P2016" s="17">
        <f>547*(1-S3/100)</f>
        <v>547</v>
      </c>
      <c r="Q2016" s="18"/>
      <c r="R2016" s="10">
        <f t="shared" si="85"/>
        <v>0</v>
      </c>
      <c r="S2016" s="19">
        <f>0.257*Q2016</f>
        <v>0</v>
      </c>
      <c r="T2016" s="20">
        <f>0.00044*Q2016</f>
        <v>0</v>
      </c>
      <c r="U2016" s="21"/>
      <c r="V2016" s="22" t="s">
        <v>8551</v>
      </c>
      <c r="W2016" s="22" t="s">
        <v>49</v>
      </c>
      <c r="X2016" s="3" t="s">
        <v>345</v>
      </c>
      <c r="Y2016" s="3" t="s">
        <v>8552</v>
      </c>
      <c r="Z2016" s="3" t="s">
        <v>52</v>
      </c>
      <c r="AA2016" s="3"/>
      <c r="AB2016" s="3"/>
      <c r="AC2016" s="3" t="str">
        <f>HYPERLINK("https://knigipp.ru/api/getInfo/image/f554239f-ae56-11ef-a267-00155d82e908")</f>
        <v>https://knigipp.ru/api/getInfo/image/f554239f-ae56-11ef-a267-00155d82e908</v>
      </c>
      <c r="AD2016" s="32">
        <v>48</v>
      </c>
      <c r="AE2016" s="3" t="s">
        <v>355</v>
      </c>
      <c r="AF2016" s="3" t="s">
        <v>127</v>
      </c>
      <c r="AG2016" s="3"/>
      <c r="AH2016" s="3" t="s">
        <v>56</v>
      </c>
      <c r="AI2016" s="3"/>
      <c r="AJ2016" s="3"/>
      <c r="AK2016" s="3" t="str">
        <f>HYPERLINK("https://knigipp.ru/api/getInfo/item/f554239f-ae56-11ef-a267-00155d82e908")</f>
        <v>https://knigipp.ru/api/getInfo/item/f554239f-ae56-11ef-a267-00155d82e908</v>
      </c>
      <c r="AL2016" s="3" t="s">
        <v>8553</v>
      </c>
    </row>
    <row r="2017" spans="1:38" ht="21" customHeight="1" outlineLevel="3" x14ac:dyDescent="0.2">
      <c r="A2017" s="39">
        <v>1541</v>
      </c>
      <c r="B2017" s="3" t="s">
        <v>8554</v>
      </c>
      <c r="C2017" s="49" t="s">
        <v>8555</v>
      </c>
      <c r="D2017" s="49"/>
      <c r="E2017" s="49"/>
      <c r="F2017" s="49"/>
      <c r="G2017" s="4" t="s">
        <v>8556</v>
      </c>
      <c r="H2017" s="8"/>
      <c r="I2017" s="9" t="s">
        <v>8557</v>
      </c>
      <c r="J2017" s="10"/>
      <c r="K2017" s="11">
        <v>12</v>
      </c>
      <c r="L2017" s="10"/>
      <c r="M2017" s="10" t="s">
        <v>47</v>
      </c>
      <c r="N2017" s="10"/>
      <c r="O2017" s="2">
        <v>1</v>
      </c>
      <c r="P2017" s="17">
        <f>547*(1-S3/100)</f>
        <v>547</v>
      </c>
      <c r="Q2017" s="18"/>
      <c r="R2017" s="10">
        <f t="shared" si="85"/>
        <v>0</v>
      </c>
      <c r="S2017" s="19">
        <f>0.261*Q2017</f>
        <v>0</v>
      </c>
      <c r="T2017" s="20">
        <f>0.00032*Q2017</f>
        <v>0</v>
      </c>
      <c r="U2017" s="21"/>
      <c r="V2017" s="22" t="s">
        <v>8558</v>
      </c>
      <c r="W2017" s="22" t="s">
        <v>49</v>
      </c>
      <c r="X2017" s="3" t="s">
        <v>345</v>
      </c>
      <c r="Y2017" s="3" t="s">
        <v>8559</v>
      </c>
      <c r="Z2017" s="3" t="s">
        <v>52</v>
      </c>
      <c r="AA2017" s="3"/>
      <c r="AB2017" s="3"/>
      <c r="AC2017" s="3" t="str">
        <f>HYPERLINK("https://knigipp.ru/api/getInfo/image/917f787a-25bf-11f0-a279-00155d82e908")</f>
        <v>https://knigipp.ru/api/getInfo/image/917f787a-25bf-11f0-a279-00155d82e908</v>
      </c>
      <c r="AD2017" s="32">
        <v>48</v>
      </c>
      <c r="AE2017" s="3" t="s">
        <v>355</v>
      </c>
      <c r="AF2017" s="3" t="s">
        <v>127</v>
      </c>
      <c r="AG2017" s="3"/>
      <c r="AH2017" s="3" t="s">
        <v>56</v>
      </c>
      <c r="AI2017" s="3"/>
      <c r="AJ2017" s="3"/>
      <c r="AK2017" s="3" t="str">
        <f>HYPERLINK("https://knigipp.ru/api/getInfo/item/917f787a-25bf-11f0-a279-00155d82e908")</f>
        <v>https://knigipp.ru/api/getInfo/item/917f787a-25bf-11f0-a279-00155d82e908</v>
      </c>
      <c r="AL2017" s="3" t="s">
        <v>8553</v>
      </c>
    </row>
    <row r="2018" spans="1:38" ht="21" customHeight="1" outlineLevel="3" x14ac:dyDescent="0.2">
      <c r="A2018" s="40">
        <v>1542</v>
      </c>
      <c r="B2018" s="6" t="s">
        <v>8560</v>
      </c>
      <c r="C2018" s="54" t="s">
        <v>8561</v>
      </c>
      <c r="D2018" s="54"/>
      <c r="E2018" s="54"/>
      <c r="F2018" s="54"/>
      <c r="G2018" s="7" t="s">
        <v>8562</v>
      </c>
      <c r="H2018" s="12"/>
      <c r="I2018" s="13" t="s">
        <v>8563</v>
      </c>
      <c r="J2018" s="14"/>
      <c r="K2018" s="15">
        <v>20</v>
      </c>
      <c r="L2018" s="14"/>
      <c r="M2018" s="14" t="s">
        <v>47</v>
      </c>
      <c r="N2018" s="14"/>
      <c r="O2018" s="5">
        <v>1</v>
      </c>
      <c r="P2018" s="23">
        <f>437*(1-S3/100)</f>
        <v>437</v>
      </c>
      <c r="Q2018" s="18"/>
      <c r="R2018" s="14">
        <f t="shared" si="85"/>
        <v>0</v>
      </c>
      <c r="S2018" s="24">
        <f>0.217*Q2018</f>
        <v>0</v>
      </c>
      <c r="T2018" s="25">
        <f>0.00031*Q2018</f>
        <v>0</v>
      </c>
      <c r="U2018" s="26" t="s">
        <v>62</v>
      </c>
      <c r="V2018" s="27" t="s">
        <v>8564</v>
      </c>
      <c r="W2018" s="27" t="s">
        <v>49</v>
      </c>
      <c r="X2018" s="6" t="s">
        <v>8565</v>
      </c>
      <c r="Y2018" s="6" t="s">
        <v>8566</v>
      </c>
      <c r="Z2018" s="6" t="s">
        <v>52</v>
      </c>
      <c r="AA2018" s="6"/>
      <c r="AB2018" s="6"/>
      <c r="AC2018" s="6" t="str">
        <f>HYPERLINK("https://knigipp.ru/api/getInfo/image/3b654f58-2cf7-11f1-a292-00155d82e908")</f>
        <v>https://knigipp.ru/api/getInfo/image/3b654f58-2cf7-11f1-a292-00155d82e908</v>
      </c>
      <c r="AD2018" s="33">
        <v>64</v>
      </c>
      <c r="AE2018" s="6" t="s">
        <v>481</v>
      </c>
      <c r="AF2018" s="6" t="s">
        <v>127</v>
      </c>
      <c r="AG2018" s="6"/>
      <c r="AH2018" s="6" t="s">
        <v>56</v>
      </c>
      <c r="AI2018" s="6"/>
      <c r="AJ2018" s="6"/>
      <c r="AK2018" s="6" t="str">
        <f>HYPERLINK("https://knigipp.ru/api/getInfo/item/3b654f58-2cf7-11f1-a292-00155d82e908")</f>
        <v>https://knigipp.ru/api/getInfo/item/3b654f58-2cf7-11f1-a292-00155d82e908</v>
      </c>
      <c r="AL2018" s="6" t="s">
        <v>8567</v>
      </c>
    </row>
    <row r="2019" spans="1:38" ht="21" customHeight="1" outlineLevel="3" x14ac:dyDescent="0.2">
      <c r="A2019" s="39">
        <v>1543</v>
      </c>
      <c r="B2019" s="3" t="s">
        <v>8568</v>
      </c>
      <c r="C2019" s="49" t="s">
        <v>8569</v>
      </c>
      <c r="D2019" s="49"/>
      <c r="E2019" s="49"/>
      <c r="F2019" s="49"/>
      <c r="G2019" s="4" t="s">
        <v>8570</v>
      </c>
      <c r="H2019" s="8"/>
      <c r="I2019" s="9" t="s">
        <v>8571</v>
      </c>
      <c r="J2019" s="10"/>
      <c r="K2019" s="11">
        <v>12</v>
      </c>
      <c r="L2019" s="10"/>
      <c r="M2019" s="10" t="s">
        <v>47</v>
      </c>
      <c r="N2019" s="10"/>
      <c r="O2019" s="2">
        <v>2</v>
      </c>
      <c r="P2019" s="17">
        <f>487*(1-S3/100)</f>
        <v>487</v>
      </c>
      <c r="Q2019" s="18"/>
      <c r="R2019" s="10">
        <f t="shared" si="85"/>
        <v>0</v>
      </c>
      <c r="S2019" s="19">
        <f>0.253*Q2019</f>
        <v>0</v>
      </c>
      <c r="T2019" s="20">
        <f>0.00035*Q2019</f>
        <v>0</v>
      </c>
      <c r="U2019" s="21"/>
      <c r="V2019" s="22" t="s">
        <v>8572</v>
      </c>
      <c r="W2019" s="22" t="s">
        <v>49</v>
      </c>
      <c r="X2019" s="3" t="s">
        <v>8573</v>
      </c>
      <c r="Y2019" s="3" t="s">
        <v>8574</v>
      </c>
      <c r="Z2019" s="3" t="s">
        <v>52</v>
      </c>
      <c r="AA2019" s="3" t="s">
        <v>1667</v>
      </c>
      <c r="AB2019" s="3"/>
      <c r="AC2019" s="3" t="str">
        <f>HYPERLINK("https://knigipp.ru/api/getInfo/image/d05d6296-6146-11ef-a264-00155d82e908")</f>
        <v>https://knigipp.ru/api/getInfo/image/d05d6296-6146-11ef-a264-00155d82e908</v>
      </c>
      <c r="AD2019" s="32">
        <v>48</v>
      </c>
      <c r="AE2019" s="3" t="s">
        <v>2372</v>
      </c>
      <c r="AF2019" s="3" t="s">
        <v>127</v>
      </c>
      <c r="AG2019" s="3"/>
      <c r="AH2019" s="3" t="s">
        <v>56</v>
      </c>
      <c r="AI2019" s="3"/>
      <c r="AJ2019" s="3"/>
      <c r="AK2019" s="3" t="str">
        <f>HYPERLINK("https://knigipp.ru/api/getInfo/item/d05d6296-6146-11ef-a264-00155d82e908")</f>
        <v>https://knigipp.ru/api/getInfo/item/d05d6296-6146-11ef-a264-00155d82e908</v>
      </c>
      <c r="AL2019" s="3" t="s">
        <v>8546</v>
      </c>
    </row>
    <row r="2020" spans="1:38" ht="21" customHeight="1" outlineLevel="3" x14ac:dyDescent="0.2">
      <c r="A2020" s="39">
        <v>1544</v>
      </c>
      <c r="B2020" s="3" t="s">
        <v>8575</v>
      </c>
      <c r="C2020" s="49" t="s">
        <v>8576</v>
      </c>
      <c r="D2020" s="49"/>
      <c r="E2020" s="49"/>
      <c r="F2020" s="49"/>
      <c r="G2020" s="4" t="s">
        <v>8577</v>
      </c>
      <c r="H2020" s="8"/>
      <c r="I2020" s="9" t="s">
        <v>8578</v>
      </c>
      <c r="J2020" s="10"/>
      <c r="K2020" s="11">
        <v>10</v>
      </c>
      <c r="L2020" s="10"/>
      <c r="M2020" s="10" t="s">
        <v>47</v>
      </c>
      <c r="N2020" s="10"/>
      <c r="O2020" s="2">
        <v>2</v>
      </c>
      <c r="P2020" s="17">
        <f>377*(1-S3/100)</f>
        <v>377</v>
      </c>
      <c r="Q2020" s="18"/>
      <c r="R2020" s="10">
        <f t="shared" si="85"/>
        <v>0</v>
      </c>
      <c r="S2020" s="19">
        <f>0.186*Q2020</f>
        <v>0</v>
      </c>
      <c r="T2020" s="20">
        <f>0.00025*Q2020</f>
        <v>0</v>
      </c>
      <c r="U2020" s="21"/>
      <c r="V2020" s="22" t="s">
        <v>8579</v>
      </c>
      <c r="W2020" s="22" t="s">
        <v>49</v>
      </c>
      <c r="X2020" s="3" t="s">
        <v>415</v>
      </c>
      <c r="Y2020" s="3" t="s">
        <v>8580</v>
      </c>
      <c r="Z2020" s="3" t="s">
        <v>52</v>
      </c>
      <c r="AA2020" s="3"/>
      <c r="AB2020" s="3"/>
      <c r="AC2020" s="3" t="str">
        <f>HYPERLINK("https://knigipp.ru/api/getInfo/image/7abac6fb-7311-11ee-a248-00155d82e902")</f>
        <v>https://knigipp.ru/api/getInfo/image/7abac6fb-7311-11ee-a248-00155d82e902</v>
      </c>
      <c r="AD2020" s="32">
        <v>64</v>
      </c>
      <c r="AE2020" s="3" t="s">
        <v>54</v>
      </c>
      <c r="AF2020" s="3" t="s">
        <v>55</v>
      </c>
      <c r="AG2020" s="3"/>
      <c r="AH2020" s="3" t="s">
        <v>56</v>
      </c>
      <c r="AI2020" s="3"/>
      <c r="AJ2020" s="3"/>
      <c r="AK2020" s="3" t="str">
        <f>HYPERLINK("https://knigipp.ru/api/getInfo/item/7abac6fb-7311-11ee-a248-00155d82e902")</f>
        <v>https://knigipp.ru/api/getInfo/item/7abac6fb-7311-11ee-a248-00155d82e902</v>
      </c>
      <c r="AL2020" s="3" t="s">
        <v>600</v>
      </c>
    </row>
    <row r="2021" spans="1:38" ht="21" customHeight="1" outlineLevel="3" x14ac:dyDescent="0.2">
      <c r="A2021" s="39">
        <v>1545</v>
      </c>
      <c r="B2021" s="3" t="s">
        <v>8581</v>
      </c>
      <c r="C2021" s="49" t="s">
        <v>8582</v>
      </c>
      <c r="D2021" s="49"/>
      <c r="E2021" s="49"/>
      <c r="F2021" s="49"/>
      <c r="G2021" s="4" t="s">
        <v>8583</v>
      </c>
      <c r="H2021" s="8"/>
      <c r="I2021" s="9" t="s">
        <v>8584</v>
      </c>
      <c r="J2021" s="10"/>
      <c r="K2021" s="11">
        <v>10</v>
      </c>
      <c r="L2021" s="10"/>
      <c r="M2021" s="10" t="s">
        <v>47</v>
      </c>
      <c r="N2021" s="10"/>
      <c r="O2021" s="2">
        <v>1</v>
      </c>
      <c r="P2021" s="17">
        <f>637*(1-S3/100)</f>
        <v>637</v>
      </c>
      <c r="Q2021" s="18"/>
      <c r="R2021" s="10">
        <f t="shared" si="85"/>
        <v>0</v>
      </c>
      <c r="S2021" s="19">
        <f>0.301*Q2021</f>
        <v>0</v>
      </c>
      <c r="T2021" s="10">
        <v>0</v>
      </c>
      <c r="U2021" s="21"/>
      <c r="V2021" s="22" t="s">
        <v>8585</v>
      </c>
      <c r="W2021" s="22" t="s">
        <v>49</v>
      </c>
      <c r="X2021" s="3"/>
      <c r="Y2021" s="3" t="s">
        <v>8586</v>
      </c>
      <c r="Z2021" s="3" t="s">
        <v>52</v>
      </c>
      <c r="AA2021" s="3"/>
      <c r="AB2021" s="3"/>
      <c r="AC2021" s="3" t="str">
        <f>HYPERLINK("https://knigipp.ru/api/getInfo/image/6861215e-13e4-11f1-a28f-00155d82e908")</f>
        <v>https://knigipp.ru/api/getInfo/image/6861215e-13e4-11f1-a28f-00155d82e908</v>
      </c>
      <c r="AD2021" s="32">
        <v>80</v>
      </c>
      <c r="AE2021" s="3"/>
      <c r="AF2021" s="3" t="s">
        <v>127</v>
      </c>
      <c r="AG2021" s="3"/>
      <c r="AH2021" s="3" t="s">
        <v>56</v>
      </c>
      <c r="AI2021" s="3"/>
      <c r="AJ2021" s="3"/>
      <c r="AK2021" s="3" t="str">
        <f>HYPERLINK("https://knigipp.ru/api/getInfo/item/6861215e-13e4-11f1-a28f-00155d82e908")</f>
        <v>https://knigipp.ru/api/getInfo/item/6861215e-13e4-11f1-a28f-00155d82e908</v>
      </c>
      <c r="AL2021" s="3" t="s">
        <v>8567</v>
      </c>
    </row>
    <row r="2022" spans="1:38" ht="21" customHeight="1" outlineLevel="3" x14ac:dyDescent="0.2">
      <c r="A2022" s="40">
        <v>1546</v>
      </c>
      <c r="B2022" s="6" t="s">
        <v>8587</v>
      </c>
      <c r="C2022" s="54" t="s">
        <v>8588</v>
      </c>
      <c r="D2022" s="54"/>
      <c r="E2022" s="54"/>
      <c r="F2022" s="54"/>
      <c r="G2022" s="7" t="s">
        <v>8589</v>
      </c>
      <c r="H2022" s="12"/>
      <c r="I2022" s="13" t="s">
        <v>8590</v>
      </c>
      <c r="J2022" s="14"/>
      <c r="K2022" s="15">
        <v>20</v>
      </c>
      <c r="L2022" s="14"/>
      <c r="M2022" s="14" t="s">
        <v>47</v>
      </c>
      <c r="N2022" s="14"/>
      <c r="O2022" s="5">
        <v>1</v>
      </c>
      <c r="P2022" s="23">
        <f>437*(1-S3/100)</f>
        <v>437</v>
      </c>
      <c r="Q2022" s="18"/>
      <c r="R2022" s="14">
        <f t="shared" si="85"/>
        <v>0</v>
      </c>
      <c r="S2022" s="36">
        <f>0.24*Q2022</f>
        <v>0</v>
      </c>
      <c r="T2022" s="25">
        <f>0.00035*Q2022</f>
        <v>0</v>
      </c>
      <c r="U2022" s="26" t="s">
        <v>62</v>
      </c>
      <c r="V2022" s="27" t="s">
        <v>8591</v>
      </c>
      <c r="W2022" s="27" t="s">
        <v>49</v>
      </c>
      <c r="X2022" s="6" t="s">
        <v>8592</v>
      </c>
      <c r="Y2022" s="6" t="s">
        <v>8593</v>
      </c>
      <c r="Z2022" s="6" t="s">
        <v>52</v>
      </c>
      <c r="AA2022" s="6"/>
      <c r="AB2022" s="6"/>
      <c r="AC2022" s="6" t="str">
        <f>HYPERLINK("https://knigipp.ru/api/getInfo/image/6bbeea2a-13d8-11f1-a28f-00155d82e908")</f>
        <v>https://knigipp.ru/api/getInfo/image/6bbeea2a-13d8-11f1-a28f-00155d82e908</v>
      </c>
      <c r="AD2022" s="33">
        <v>80</v>
      </c>
      <c r="AE2022" s="6" t="s">
        <v>481</v>
      </c>
      <c r="AF2022" s="6" t="s">
        <v>127</v>
      </c>
      <c r="AG2022" s="6"/>
      <c r="AH2022" s="6" t="s">
        <v>56</v>
      </c>
      <c r="AI2022" s="6"/>
      <c r="AJ2022" s="6"/>
      <c r="AK2022" s="6" t="str">
        <f>HYPERLINK("https://knigipp.ru/api/getInfo/item/6bbeea2a-13d8-11f1-a28f-00155d82e908")</f>
        <v>https://knigipp.ru/api/getInfo/item/6bbeea2a-13d8-11f1-a28f-00155d82e908</v>
      </c>
      <c r="AL2022" s="6" t="s">
        <v>8567</v>
      </c>
    </row>
    <row r="2023" spans="1:38" ht="21" customHeight="1" outlineLevel="3" x14ac:dyDescent="0.2">
      <c r="A2023" s="39">
        <v>1547</v>
      </c>
      <c r="B2023" s="3" t="s">
        <v>8594</v>
      </c>
      <c r="C2023" s="49" t="s">
        <v>8595</v>
      </c>
      <c r="D2023" s="49"/>
      <c r="E2023" s="49"/>
      <c r="F2023" s="49"/>
      <c r="G2023" s="4" t="s">
        <v>8596</v>
      </c>
      <c r="H2023" s="8"/>
      <c r="I2023" s="9" t="s">
        <v>8597</v>
      </c>
      <c r="J2023" s="10"/>
      <c r="K2023" s="11">
        <v>20</v>
      </c>
      <c r="L2023" s="10"/>
      <c r="M2023" s="10" t="s">
        <v>47</v>
      </c>
      <c r="N2023" s="10"/>
      <c r="O2023" s="2">
        <v>2</v>
      </c>
      <c r="P2023" s="17">
        <f>407*(1-S3/100)</f>
        <v>407</v>
      </c>
      <c r="Q2023" s="18"/>
      <c r="R2023" s="10">
        <f t="shared" si="85"/>
        <v>0</v>
      </c>
      <c r="S2023" s="19">
        <f>0.226*Q2023</f>
        <v>0</v>
      </c>
      <c r="T2023" s="20">
        <f>0.00024*Q2023</f>
        <v>0</v>
      </c>
      <c r="U2023" s="21"/>
      <c r="V2023" s="22" t="s">
        <v>8598</v>
      </c>
      <c r="W2023" s="22" t="s">
        <v>49</v>
      </c>
      <c r="X2023" s="3" t="s">
        <v>8599</v>
      </c>
      <c r="Y2023" s="3" t="s">
        <v>8600</v>
      </c>
      <c r="Z2023" s="3" t="s">
        <v>52</v>
      </c>
      <c r="AA2023" s="3"/>
      <c r="AB2023" s="3"/>
      <c r="AC2023" s="3" t="str">
        <f>HYPERLINK("https://knigipp.ru/api/getInfo/image/a3924d50-ec4f-11ea-a254-ac1f6b442184")</f>
        <v>https://knigipp.ru/api/getInfo/image/a3924d50-ec4f-11ea-a254-ac1f6b442184</v>
      </c>
      <c r="AD2023" s="32">
        <v>48</v>
      </c>
      <c r="AE2023" s="3"/>
      <c r="AF2023" s="3" t="s">
        <v>127</v>
      </c>
      <c r="AG2023" s="3"/>
      <c r="AH2023" s="3" t="s">
        <v>56</v>
      </c>
      <c r="AI2023" s="3"/>
      <c r="AJ2023" s="3"/>
      <c r="AK2023" s="3" t="str">
        <f>HYPERLINK("https://knigipp.ru/api/getInfo/item/a3924d50-ec4f-11ea-a254-ac1f6b442184")</f>
        <v>https://knigipp.ru/api/getInfo/item/a3924d50-ec4f-11ea-a254-ac1f6b442184</v>
      </c>
      <c r="AL2023" s="3" t="s">
        <v>1294</v>
      </c>
    </row>
    <row r="2024" spans="1:38" ht="21" customHeight="1" outlineLevel="3" x14ac:dyDescent="0.2">
      <c r="A2024" s="39">
        <v>1548</v>
      </c>
      <c r="B2024" s="3" t="s">
        <v>8601</v>
      </c>
      <c r="C2024" s="49" t="s">
        <v>8602</v>
      </c>
      <c r="D2024" s="49"/>
      <c r="E2024" s="49"/>
      <c r="F2024" s="49"/>
      <c r="G2024" s="4" t="s">
        <v>8603</v>
      </c>
      <c r="H2024" s="8"/>
      <c r="I2024" s="9" t="s">
        <v>8604</v>
      </c>
      <c r="J2024" s="10"/>
      <c r="K2024" s="11">
        <v>10</v>
      </c>
      <c r="L2024" s="10"/>
      <c r="M2024" s="10" t="s">
        <v>47</v>
      </c>
      <c r="N2024" s="10"/>
      <c r="O2024" s="2">
        <v>1</v>
      </c>
      <c r="P2024" s="17">
        <f>737*(1-S3/100)</f>
        <v>737</v>
      </c>
      <c r="Q2024" s="18"/>
      <c r="R2024" s="10">
        <f t="shared" si="85"/>
        <v>0</v>
      </c>
      <c r="S2024" s="19">
        <f>0.296*Q2024</f>
        <v>0</v>
      </c>
      <c r="T2024" s="20">
        <f>0.00044*Q2024</f>
        <v>0</v>
      </c>
      <c r="U2024" s="21"/>
      <c r="V2024" s="22" t="s">
        <v>8605</v>
      </c>
      <c r="W2024" s="22" t="s">
        <v>49</v>
      </c>
      <c r="X2024" s="3" t="s">
        <v>8606</v>
      </c>
      <c r="Y2024" s="3" t="s">
        <v>8607</v>
      </c>
      <c r="Z2024" s="3" t="s">
        <v>52</v>
      </c>
      <c r="AA2024" s="3"/>
      <c r="AB2024" s="3"/>
      <c r="AC2024" s="3" t="str">
        <f>HYPERLINK("https://knigipp.ru/api/getInfo/image/fd1d3014-cc63-11f0-a28a-00155d82e908")</f>
        <v>https://knigipp.ru/api/getInfo/image/fd1d3014-cc63-11f0-a28a-00155d82e908</v>
      </c>
      <c r="AD2024" s="32">
        <v>64</v>
      </c>
      <c r="AE2024" s="3" t="s">
        <v>54</v>
      </c>
      <c r="AF2024" s="3" t="s">
        <v>127</v>
      </c>
      <c r="AG2024" s="3"/>
      <c r="AH2024" s="3" t="s">
        <v>56</v>
      </c>
      <c r="AI2024" s="3"/>
      <c r="AJ2024" s="3"/>
      <c r="AK2024" s="3" t="str">
        <f>HYPERLINK("https://knigipp.ru/api/getInfo/item/fd1d3014-cc63-11f0-a28a-00155d82e908")</f>
        <v>https://knigipp.ru/api/getInfo/item/fd1d3014-cc63-11f0-a28a-00155d82e908</v>
      </c>
      <c r="AL2024" s="3" t="s">
        <v>8608</v>
      </c>
    </row>
    <row r="2025" spans="1:38" ht="21" customHeight="1" outlineLevel="3" x14ac:dyDescent="0.2">
      <c r="A2025" s="39">
        <v>1549</v>
      </c>
      <c r="B2025" s="3" t="s">
        <v>8609</v>
      </c>
      <c r="C2025" s="49" t="s">
        <v>8610</v>
      </c>
      <c r="D2025" s="49"/>
      <c r="E2025" s="49"/>
      <c r="F2025" s="49"/>
      <c r="G2025" s="4" t="s">
        <v>8611</v>
      </c>
      <c r="H2025" s="8"/>
      <c r="I2025" s="9" t="s">
        <v>8612</v>
      </c>
      <c r="J2025" s="10"/>
      <c r="K2025" s="11">
        <v>10</v>
      </c>
      <c r="L2025" s="10"/>
      <c r="M2025" s="10" t="s">
        <v>78</v>
      </c>
      <c r="N2025" s="10"/>
      <c r="O2025" s="2">
        <v>2</v>
      </c>
      <c r="P2025" s="17">
        <f>447*(1-S3/100)</f>
        <v>447</v>
      </c>
      <c r="Q2025" s="18"/>
      <c r="R2025" s="10">
        <f t="shared" si="85"/>
        <v>0</v>
      </c>
      <c r="S2025" s="19">
        <f>0.331*Q2025</f>
        <v>0</v>
      </c>
      <c r="T2025" s="20">
        <f>0.00054*Q2025</f>
        <v>0</v>
      </c>
      <c r="U2025" s="21"/>
      <c r="V2025" s="22" t="s">
        <v>8613</v>
      </c>
      <c r="W2025" s="22" t="s">
        <v>49</v>
      </c>
      <c r="X2025" s="3" t="s">
        <v>8614</v>
      </c>
      <c r="Y2025" s="3" t="s">
        <v>8615</v>
      </c>
      <c r="Z2025" s="3" t="s">
        <v>52</v>
      </c>
      <c r="AA2025" s="3" t="s">
        <v>8616</v>
      </c>
      <c r="AB2025" s="3"/>
      <c r="AC2025" s="3" t="str">
        <f>HYPERLINK("https://knigipp.ru/api/getInfo/image/c12ae5c7-3068-11ee-a23e-00155d82e902")</f>
        <v>https://knigipp.ru/api/getInfo/image/c12ae5c7-3068-11ee-a23e-00155d82e902</v>
      </c>
      <c r="AD2025" s="32">
        <v>80</v>
      </c>
      <c r="AE2025" s="3" t="s">
        <v>481</v>
      </c>
      <c r="AF2025" s="3" t="s">
        <v>127</v>
      </c>
      <c r="AG2025" s="3"/>
      <c r="AH2025" s="3" t="s">
        <v>56</v>
      </c>
      <c r="AI2025" s="3"/>
      <c r="AJ2025" s="3"/>
      <c r="AK2025" s="3" t="str">
        <f>HYPERLINK("https://knigipp.ru/api/getInfo/item/c12ae5c7-3068-11ee-a23e-00155d82e902")</f>
        <v>https://knigipp.ru/api/getInfo/item/c12ae5c7-3068-11ee-a23e-00155d82e902</v>
      </c>
      <c r="AL2025" s="3" t="s">
        <v>8608</v>
      </c>
    </row>
    <row r="2026" spans="1:38" ht="21" customHeight="1" outlineLevel="3" x14ac:dyDescent="0.2">
      <c r="A2026" s="39">
        <v>1550</v>
      </c>
      <c r="B2026" s="3" t="s">
        <v>8617</v>
      </c>
      <c r="C2026" s="49" t="s">
        <v>8618</v>
      </c>
      <c r="D2026" s="49"/>
      <c r="E2026" s="49"/>
      <c r="F2026" s="49"/>
      <c r="G2026" s="4" t="s">
        <v>8619</v>
      </c>
      <c r="H2026" s="8"/>
      <c r="I2026" s="9" t="s">
        <v>8620</v>
      </c>
      <c r="J2026" s="10"/>
      <c r="K2026" s="11">
        <v>10</v>
      </c>
      <c r="L2026" s="10"/>
      <c r="M2026" s="10" t="s">
        <v>78</v>
      </c>
      <c r="N2026" s="10"/>
      <c r="O2026" s="2">
        <v>2</v>
      </c>
      <c r="P2026" s="17">
        <f>447*(1-S3/100)</f>
        <v>447</v>
      </c>
      <c r="Q2026" s="18"/>
      <c r="R2026" s="10">
        <f t="shared" si="85"/>
        <v>0</v>
      </c>
      <c r="S2026" s="19">
        <f>0.334*Q2026</f>
        <v>0</v>
      </c>
      <c r="T2026" s="20">
        <f>0.00049*Q2026</f>
        <v>0</v>
      </c>
      <c r="U2026" s="21"/>
      <c r="V2026" s="22" t="s">
        <v>8621</v>
      </c>
      <c r="W2026" s="22" t="s">
        <v>49</v>
      </c>
      <c r="X2026" s="3" t="s">
        <v>8622</v>
      </c>
      <c r="Y2026" s="3" t="s">
        <v>8623</v>
      </c>
      <c r="Z2026" s="3" t="s">
        <v>52</v>
      </c>
      <c r="AA2026" s="3" t="s">
        <v>8616</v>
      </c>
      <c r="AB2026" s="3"/>
      <c r="AC2026" s="3" t="str">
        <f>HYPERLINK("https://knigipp.ru/api/getInfo/image/dfc56f6e-3068-11ee-a23e-00155d82e902")</f>
        <v>https://knigipp.ru/api/getInfo/image/dfc56f6e-3068-11ee-a23e-00155d82e902</v>
      </c>
      <c r="AD2026" s="32">
        <v>80</v>
      </c>
      <c r="AE2026" s="3" t="s">
        <v>481</v>
      </c>
      <c r="AF2026" s="3" t="s">
        <v>127</v>
      </c>
      <c r="AG2026" s="3"/>
      <c r="AH2026" s="3" t="s">
        <v>56</v>
      </c>
      <c r="AI2026" s="3"/>
      <c r="AJ2026" s="3"/>
      <c r="AK2026" s="3" t="str">
        <f>HYPERLINK("https://knigipp.ru/api/getInfo/item/dfc56f6e-3068-11ee-a23e-00155d82e902")</f>
        <v>https://knigipp.ru/api/getInfo/item/dfc56f6e-3068-11ee-a23e-00155d82e902</v>
      </c>
      <c r="AL2026" s="3" t="s">
        <v>8608</v>
      </c>
    </row>
    <row r="2027" spans="1:38" ht="21" customHeight="1" outlineLevel="3" x14ac:dyDescent="0.2">
      <c r="A2027" s="40">
        <v>1551</v>
      </c>
      <c r="B2027" s="6" t="s">
        <v>8624</v>
      </c>
      <c r="C2027" s="54" t="s">
        <v>8625</v>
      </c>
      <c r="D2027" s="54"/>
      <c r="E2027" s="54"/>
      <c r="F2027" s="54"/>
      <c r="G2027" s="7" t="s">
        <v>8626</v>
      </c>
      <c r="H2027" s="12"/>
      <c r="I2027" s="13" t="s">
        <v>8627</v>
      </c>
      <c r="J2027" s="14"/>
      <c r="K2027" s="15">
        <v>20</v>
      </c>
      <c r="L2027" s="14"/>
      <c r="M2027" s="14" t="s">
        <v>47</v>
      </c>
      <c r="N2027" s="14"/>
      <c r="O2027" s="5">
        <v>2</v>
      </c>
      <c r="P2027" s="23">
        <f>437*(1-S3/100)</f>
        <v>437</v>
      </c>
      <c r="Q2027" s="18"/>
      <c r="R2027" s="14">
        <f t="shared" si="85"/>
        <v>0</v>
      </c>
      <c r="S2027" s="24">
        <f>0.248*Q2027</f>
        <v>0</v>
      </c>
      <c r="T2027" s="25">
        <f>0.00035*Q2027</f>
        <v>0</v>
      </c>
      <c r="U2027" s="26" t="s">
        <v>62</v>
      </c>
      <c r="V2027" s="27" t="s">
        <v>8628</v>
      </c>
      <c r="W2027" s="27" t="s">
        <v>49</v>
      </c>
      <c r="X2027" s="6" t="s">
        <v>8629</v>
      </c>
      <c r="Y2027" s="6" t="s">
        <v>8630</v>
      </c>
      <c r="Z2027" s="6" t="s">
        <v>52</v>
      </c>
      <c r="AA2027" s="6"/>
      <c r="AB2027" s="6"/>
      <c r="AC2027" s="6" t="str">
        <f>HYPERLINK("https://knigipp.ru/api/getInfo/image/775baac3-55a8-11f0-a27e-00155d82e908")</f>
        <v>https://knigipp.ru/api/getInfo/image/775baac3-55a8-11f0-a27e-00155d82e908</v>
      </c>
      <c r="AD2027" s="33">
        <v>80</v>
      </c>
      <c r="AE2027" s="6" t="s">
        <v>54</v>
      </c>
      <c r="AF2027" s="6" t="s">
        <v>127</v>
      </c>
      <c r="AG2027" s="6"/>
      <c r="AH2027" s="6" t="s">
        <v>56</v>
      </c>
      <c r="AI2027" s="6"/>
      <c r="AJ2027" s="6"/>
      <c r="AK2027" s="6" t="str">
        <f>HYPERLINK("https://knigipp.ru/api/getInfo/item/775baac3-55a8-11f0-a27e-00155d82e908")</f>
        <v>https://knigipp.ru/api/getInfo/item/775baac3-55a8-11f0-a27e-00155d82e908</v>
      </c>
      <c r="AL2027" s="6" t="s">
        <v>8567</v>
      </c>
    </row>
    <row r="2028" spans="1:38" ht="23.1" customHeight="1" outlineLevel="2" x14ac:dyDescent="0.2">
      <c r="A2028" s="47" t="s">
        <v>8631</v>
      </c>
      <c r="B2028" s="47"/>
      <c r="C2028" s="47"/>
      <c r="D2028" s="47"/>
      <c r="E2028" s="47"/>
      <c r="F2028" s="47"/>
    </row>
    <row r="2029" spans="1:38" ht="21" customHeight="1" outlineLevel="3" x14ac:dyDescent="0.2">
      <c r="A2029" s="39">
        <v>1552</v>
      </c>
      <c r="B2029" s="3" t="s">
        <v>8632</v>
      </c>
      <c r="C2029" s="49" t="s">
        <v>8633</v>
      </c>
      <c r="D2029" s="49"/>
      <c r="E2029" s="49"/>
      <c r="F2029" s="49"/>
      <c r="G2029" s="4" t="s">
        <v>8634</v>
      </c>
      <c r="H2029" s="8"/>
      <c r="I2029" s="9" t="s">
        <v>8635</v>
      </c>
      <c r="J2029" s="10"/>
      <c r="K2029" s="11">
        <v>5</v>
      </c>
      <c r="L2029" s="10"/>
      <c r="M2029" s="10" t="s">
        <v>47</v>
      </c>
      <c r="N2029" s="10"/>
      <c r="O2029" s="2">
        <v>1</v>
      </c>
      <c r="P2029" s="17">
        <f>879*(1-S3/100)</f>
        <v>879</v>
      </c>
      <c r="Q2029" s="18"/>
      <c r="R2029" s="10">
        <f t="shared" ref="R2029:R2044" si="86">P2029*Q2029</f>
        <v>0</v>
      </c>
      <c r="S2029" s="19">
        <f>0.749*Q2029</f>
        <v>0</v>
      </c>
      <c r="T2029" s="20">
        <f>0.00134*Q2029</f>
        <v>0</v>
      </c>
      <c r="U2029" s="21"/>
      <c r="V2029" s="22" t="s">
        <v>8636</v>
      </c>
      <c r="W2029" s="22" t="s">
        <v>49</v>
      </c>
      <c r="X2029" s="3" t="s">
        <v>8637</v>
      </c>
      <c r="Y2029" s="3"/>
      <c r="Z2029" s="3" t="s">
        <v>52</v>
      </c>
      <c r="AA2029" s="3"/>
      <c r="AB2029" s="3"/>
      <c r="AC2029" s="3" t="str">
        <f>HYPERLINK("https://knigipp.ru/api/getInfo/image/3c93176f-92cb-11eb-a233-0cc47a2bbb49")</f>
        <v>https://knigipp.ru/api/getInfo/image/3c93176f-92cb-11eb-a233-0cc47a2bbb49</v>
      </c>
      <c r="AD2029" s="32">
        <v>256</v>
      </c>
      <c r="AE2029" s="3"/>
      <c r="AF2029" s="3" t="s">
        <v>127</v>
      </c>
      <c r="AG2029" s="3"/>
      <c r="AH2029" s="3" t="s">
        <v>56</v>
      </c>
      <c r="AI2029" s="3"/>
      <c r="AJ2029" s="3"/>
      <c r="AK2029" s="3" t="str">
        <f>HYPERLINK("https://knigipp.ru/api/getInfo/item/3c93176f-92cb-11eb-a233-0cc47a2bbb49")</f>
        <v>https://knigipp.ru/api/getInfo/item/3c93176f-92cb-11eb-a233-0cc47a2bbb49</v>
      </c>
      <c r="AL2029" s="3" t="s">
        <v>8638</v>
      </c>
    </row>
    <row r="2030" spans="1:38" ht="21" customHeight="1" outlineLevel="3" x14ac:dyDescent="0.2">
      <c r="A2030" s="39">
        <v>1553</v>
      </c>
      <c r="B2030" s="3" t="s">
        <v>8639</v>
      </c>
      <c r="C2030" s="49" t="s">
        <v>8640</v>
      </c>
      <c r="D2030" s="49"/>
      <c r="E2030" s="49"/>
      <c r="F2030" s="49"/>
      <c r="G2030" s="4" t="s">
        <v>8641</v>
      </c>
      <c r="H2030" s="8"/>
      <c r="I2030" s="9" t="s">
        <v>8642</v>
      </c>
      <c r="J2030" s="10"/>
      <c r="K2030" s="11">
        <v>20</v>
      </c>
      <c r="L2030" s="10"/>
      <c r="M2030" s="10" t="s">
        <v>47</v>
      </c>
      <c r="N2030" s="10"/>
      <c r="O2030" s="2">
        <v>1</v>
      </c>
      <c r="P2030" s="17">
        <f>597*(1-S3/100)</f>
        <v>597</v>
      </c>
      <c r="Q2030" s="18"/>
      <c r="R2030" s="10">
        <f t="shared" si="86"/>
        <v>0</v>
      </c>
      <c r="S2030" s="19">
        <f>0.349*Q2030</f>
        <v>0</v>
      </c>
      <c r="T2030" s="20">
        <f>0.00048*Q2030</f>
        <v>0</v>
      </c>
      <c r="U2030" s="21"/>
      <c r="V2030" s="22" t="s">
        <v>8643</v>
      </c>
      <c r="W2030" s="22" t="s">
        <v>49</v>
      </c>
      <c r="X2030" s="3" t="s">
        <v>207</v>
      </c>
      <c r="Y2030" s="3" t="s">
        <v>8644</v>
      </c>
      <c r="Z2030" s="3" t="s">
        <v>52</v>
      </c>
      <c r="AA2030" s="3"/>
      <c r="AB2030" s="3"/>
      <c r="AC2030" s="3" t="str">
        <f>HYPERLINK("https://knigipp.ru/api/getInfo/image/74913492-f5d9-11ef-a274-00155d82e908")</f>
        <v>https://knigipp.ru/api/getInfo/image/74913492-f5d9-11ef-a274-00155d82e908</v>
      </c>
      <c r="AD2030" s="32">
        <v>144</v>
      </c>
      <c r="AE2030" s="3" t="s">
        <v>54</v>
      </c>
      <c r="AF2030" s="3" t="s">
        <v>127</v>
      </c>
      <c r="AG2030" s="3"/>
      <c r="AH2030" s="3" t="s">
        <v>56</v>
      </c>
      <c r="AI2030" s="3"/>
      <c r="AJ2030" s="3"/>
      <c r="AK2030" s="3" t="str">
        <f>HYPERLINK("https://knigipp.ru/api/getInfo/item/74913492-f5d9-11ef-a274-00155d82e908")</f>
        <v>https://knigipp.ru/api/getInfo/item/74913492-f5d9-11ef-a274-00155d82e908</v>
      </c>
      <c r="AL2030" s="3" t="s">
        <v>8645</v>
      </c>
    </row>
    <row r="2031" spans="1:38" ht="21" customHeight="1" outlineLevel="3" x14ac:dyDescent="0.2">
      <c r="A2031" s="39">
        <v>1554</v>
      </c>
      <c r="B2031" s="3" t="s">
        <v>8646</v>
      </c>
      <c r="C2031" s="49" t="s">
        <v>8647</v>
      </c>
      <c r="D2031" s="49"/>
      <c r="E2031" s="49"/>
      <c r="F2031" s="49"/>
      <c r="G2031" s="4" t="s">
        <v>8648</v>
      </c>
      <c r="H2031" s="8"/>
      <c r="I2031" s="9" t="s">
        <v>8649</v>
      </c>
      <c r="J2031" s="10"/>
      <c r="K2031" s="11">
        <v>20</v>
      </c>
      <c r="L2031" s="10"/>
      <c r="M2031" s="10" t="s">
        <v>47</v>
      </c>
      <c r="N2031" s="10"/>
      <c r="O2031" s="2">
        <v>2</v>
      </c>
      <c r="P2031" s="17">
        <f>377*(1-S3/100)</f>
        <v>377</v>
      </c>
      <c r="Q2031" s="18"/>
      <c r="R2031" s="10">
        <f t="shared" si="86"/>
        <v>0</v>
      </c>
      <c r="S2031" s="19">
        <f>0.294*Q2031</f>
        <v>0</v>
      </c>
      <c r="T2031" s="20">
        <f>0.00051*Q2031</f>
        <v>0</v>
      </c>
      <c r="U2031" s="21"/>
      <c r="V2031" s="22" t="s">
        <v>8650</v>
      </c>
      <c r="W2031" s="22" t="s">
        <v>49</v>
      </c>
      <c r="X2031" s="3" t="s">
        <v>8651</v>
      </c>
      <c r="Y2031" s="3" t="s">
        <v>8652</v>
      </c>
      <c r="Z2031" s="3" t="s">
        <v>52</v>
      </c>
      <c r="AA2031" s="3" t="s">
        <v>5472</v>
      </c>
      <c r="AB2031" s="3"/>
      <c r="AC2031" s="3" t="str">
        <f>HYPERLINK("https://knigipp.ru/api/getInfo/image/ff46f8f5-4f38-11ef-a262-00155d82e908")</f>
        <v>https://knigipp.ru/api/getInfo/image/ff46f8f5-4f38-11ef-a262-00155d82e908</v>
      </c>
      <c r="AD2031" s="32">
        <v>112</v>
      </c>
      <c r="AE2031" s="3" t="s">
        <v>54</v>
      </c>
      <c r="AF2031" s="3" t="s">
        <v>127</v>
      </c>
      <c r="AG2031" s="3"/>
      <c r="AH2031" s="3" t="s">
        <v>56</v>
      </c>
      <c r="AI2031" s="3"/>
      <c r="AJ2031" s="3"/>
      <c r="AK2031" s="3" t="str">
        <f>HYPERLINK("https://knigipp.ru/api/getInfo/item/ff46f8f5-4f38-11ef-a262-00155d82e908")</f>
        <v>https://knigipp.ru/api/getInfo/item/ff46f8f5-4f38-11ef-a262-00155d82e908</v>
      </c>
      <c r="AL2031" s="3" t="s">
        <v>185</v>
      </c>
    </row>
    <row r="2032" spans="1:38" ht="21" customHeight="1" outlineLevel="3" x14ac:dyDescent="0.2">
      <c r="A2032" s="39">
        <v>1555</v>
      </c>
      <c r="B2032" s="3" t="s">
        <v>8653</v>
      </c>
      <c r="C2032" s="49" t="s">
        <v>8654</v>
      </c>
      <c r="D2032" s="49"/>
      <c r="E2032" s="49"/>
      <c r="F2032" s="49"/>
      <c r="G2032" s="4" t="s">
        <v>8655</v>
      </c>
      <c r="H2032" s="8"/>
      <c r="I2032" s="9" t="s">
        <v>8656</v>
      </c>
      <c r="J2032" s="10"/>
      <c r="K2032" s="11">
        <v>20</v>
      </c>
      <c r="L2032" s="10"/>
      <c r="M2032" s="10" t="s">
        <v>47</v>
      </c>
      <c r="N2032" s="10"/>
      <c r="O2032" s="2">
        <v>2</v>
      </c>
      <c r="P2032" s="17">
        <f>397*(1-S3/100)</f>
        <v>397</v>
      </c>
      <c r="Q2032" s="18"/>
      <c r="R2032" s="10">
        <f t="shared" si="86"/>
        <v>0</v>
      </c>
      <c r="S2032" s="19">
        <f>0.263*Q2032</f>
        <v>0</v>
      </c>
      <c r="T2032" s="20">
        <f>0.00043*Q2032</f>
        <v>0</v>
      </c>
      <c r="U2032" s="21"/>
      <c r="V2032" s="22" t="s">
        <v>8657</v>
      </c>
      <c r="W2032" s="22" t="s">
        <v>49</v>
      </c>
      <c r="X2032" s="3" t="s">
        <v>8658</v>
      </c>
      <c r="Y2032" s="3" t="s">
        <v>8659</v>
      </c>
      <c r="Z2032" s="3" t="s">
        <v>52</v>
      </c>
      <c r="AA2032" s="3" t="s">
        <v>2727</v>
      </c>
      <c r="AB2032" s="3"/>
      <c r="AC2032" s="3" t="str">
        <f>HYPERLINK("https://knigipp.ru/api/getInfo/image/d63bf325-7fc3-11ef-a265-00155d82e908")</f>
        <v>https://knigipp.ru/api/getInfo/image/d63bf325-7fc3-11ef-a265-00155d82e908</v>
      </c>
      <c r="AD2032" s="32">
        <v>96</v>
      </c>
      <c r="AE2032" s="3" t="s">
        <v>54</v>
      </c>
      <c r="AF2032" s="3" t="s">
        <v>127</v>
      </c>
      <c r="AG2032" s="3"/>
      <c r="AH2032" s="3" t="s">
        <v>56</v>
      </c>
      <c r="AI2032" s="3"/>
      <c r="AJ2032" s="3"/>
      <c r="AK2032" s="3" t="str">
        <f>HYPERLINK("https://knigipp.ru/api/getInfo/item/d63bf325-7fc3-11ef-a265-00155d82e908")</f>
        <v>https://knigipp.ru/api/getInfo/item/d63bf325-7fc3-11ef-a265-00155d82e908</v>
      </c>
      <c r="AL2032" s="3" t="s">
        <v>8660</v>
      </c>
    </row>
    <row r="2033" spans="1:38" ht="21" customHeight="1" outlineLevel="3" x14ac:dyDescent="0.2">
      <c r="A2033" s="40">
        <v>1556</v>
      </c>
      <c r="B2033" s="6" t="s">
        <v>8661</v>
      </c>
      <c r="C2033" s="54" t="s">
        <v>8662</v>
      </c>
      <c r="D2033" s="54"/>
      <c r="E2033" s="54"/>
      <c r="F2033" s="54"/>
      <c r="G2033" s="7" t="s">
        <v>8663</v>
      </c>
      <c r="H2033" s="12"/>
      <c r="I2033" s="13" t="s">
        <v>8664</v>
      </c>
      <c r="J2033" s="14"/>
      <c r="K2033" s="15">
        <v>10</v>
      </c>
      <c r="L2033" s="14"/>
      <c r="M2033" s="14" t="s">
        <v>47</v>
      </c>
      <c r="N2033" s="14"/>
      <c r="O2033" s="5">
        <v>1</v>
      </c>
      <c r="P2033" s="23">
        <f>399*(1-S3/100)</f>
        <v>399</v>
      </c>
      <c r="Q2033" s="18"/>
      <c r="R2033" s="14">
        <f t="shared" si="86"/>
        <v>0</v>
      </c>
      <c r="S2033" s="24">
        <f>0.231*Q2033</f>
        <v>0</v>
      </c>
      <c r="T2033" s="25">
        <f>0.00037*Q2033</f>
        <v>0</v>
      </c>
      <c r="U2033" s="26" t="s">
        <v>62</v>
      </c>
      <c r="V2033" s="27" t="s">
        <v>8665</v>
      </c>
      <c r="W2033" s="27" t="s">
        <v>49</v>
      </c>
      <c r="X2033" s="6" t="s">
        <v>8666</v>
      </c>
      <c r="Y2033" s="6"/>
      <c r="Z2033" s="6" t="s">
        <v>384</v>
      </c>
      <c r="AA2033" s="6"/>
      <c r="AB2033" s="6"/>
      <c r="AC2033" s="6" t="str">
        <f>HYPERLINK("https://knigipp.ru/api/getInfo/image/97ae4ad0-2cfc-11f1-a292-00155d82e908")</f>
        <v>https://knigipp.ru/api/getInfo/image/97ae4ad0-2cfc-11f1-a292-00155d82e908</v>
      </c>
      <c r="AD2033" s="33">
        <v>144</v>
      </c>
      <c r="AE2033" s="6" t="s">
        <v>355</v>
      </c>
      <c r="AF2033" s="6" t="s">
        <v>127</v>
      </c>
      <c r="AG2033" s="6"/>
      <c r="AH2033" s="6" t="s">
        <v>56</v>
      </c>
      <c r="AI2033" s="6"/>
      <c r="AJ2033" s="6"/>
      <c r="AK2033" s="6" t="str">
        <f>HYPERLINK("https://knigipp.ru/api/getInfo/item/97ae4ad0-2cfc-11f1-a292-00155d82e908")</f>
        <v>https://knigipp.ru/api/getInfo/item/97ae4ad0-2cfc-11f1-a292-00155d82e908</v>
      </c>
      <c r="AL2033" s="6" t="s">
        <v>3450</v>
      </c>
    </row>
    <row r="2034" spans="1:38" ht="21" customHeight="1" outlineLevel="3" x14ac:dyDescent="0.2">
      <c r="A2034" s="39">
        <v>1557</v>
      </c>
      <c r="B2034" s="3" t="s">
        <v>8667</v>
      </c>
      <c r="C2034" s="49" t="s">
        <v>8668</v>
      </c>
      <c r="D2034" s="49"/>
      <c r="E2034" s="49"/>
      <c r="F2034" s="49"/>
      <c r="G2034" s="4" t="s">
        <v>8669</v>
      </c>
      <c r="H2034" s="8"/>
      <c r="I2034" s="9" t="s">
        <v>8670</v>
      </c>
      <c r="J2034" s="10"/>
      <c r="K2034" s="11">
        <v>20</v>
      </c>
      <c r="L2034" s="10"/>
      <c r="M2034" s="10" t="s">
        <v>47</v>
      </c>
      <c r="N2034" s="10"/>
      <c r="O2034" s="2">
        <v>2</v>
      </c>
      <c r="P2034" s="17">
        <f>347*(1-S3/100)</f>
        <v>347</v>
      </c>
      <c r="Q2034" s="18"/>
      <c r="R2034" s="10">
        <f t="shared" si="86"/>
        <v>0</v>
      </c>
      <c r="S2034" s="10">
        <v>0</v>
      </c>
      <c r="T2034" s="10">
        <v>0</v>
      </c>
      <c r="U2034" s="21"/>
      <c r="V2034" s="22" t="s">
        <v>8671</v>
      </c>
      <c r="W2034" s="22" t="s">
        <v>49</v>
      </c>
      <c r="X2034" s="3" t="s">
        <v>72</v>
      </c>
      <c r="Y2034" s="3" t="s">
        <v>8672</v>
      </c>
      <c r="Z2034" s="3" t="s">
        <v>384</v>
      </c>
      <c r="AA2034" s="3" t="s">
        <v>1667</v>
      </c>
      <c r="AB2034" s="3"/>
      <c r="AC2034" s="3" t="str">
        <f>HYPERLINK("https://knigipp.ru/api/getInfo/image/a2fb664d-6147-11ef-a264-00155d82e908")</f>
        <v>https://knigipp.ru/api/getInfo/image/a2fb664d-6147-11ef-a264-00155d82e908</v>
      </c>
      <c r="AD2034" s="32">
        <v>112</v>
      </c>
      <c r="AE2034" s="3" t="s">
        <v>54</v>
      </c>
      <c r="AF2034" s="3" t="s">
        <v>127</v>
      </c>
      <c r="AG2034" s="3"/>
      <c r="AH2034" s="3" t="s">
        <v>56</v>
      </c>
      <c r="AI2034" s="3"/>
      <c r="AJ2034" s="3"/>
      <c r="AK2034" s="3" t="str">
        <f>HYPERLINK("https://knigipp.ru/api/getInfo/item/a2fb664d-6147-11ef-a264-00155d82e908")</f>
        <v>https://knigipp.ru/api/getInfo/item/a2fb664d-6147-11ef-a264-00155d82e908</v>
      </c>
      <c r="AL2034" s="3" t="s">
        <v>1294</v>
      </c>
    </row>
    <row r="2035" spans="1:38" ht="21" customHeight="1" outlineLevel="3" x14ac:dyDescent="0.2">
      <c r="A2035" s="39">
        <v>1558</v>
      </c>
      <c r="B2035" s="3" t="s">
        <v>8673</v>
      </c>
      <c r="C2035" s="49" t="s">
        <v>8674</v>
      </c>
      <c r="D2035" s="49"/>
      <c r="E2035" s="49"/>
      <c r="F2035" s="49"/>
      <c r="G2035" s="4" t="s">
        <v>8675</v>
      </c>
      <c r="H2035" s="8"/>
      <c r="I2035" s="9" t="s">
        <v>8676</v>
      </c>
      <c r="J2035" s="10"/>
      <c r="K2035" s="11">
        <v>20</v>
      </c>
      <c r="L2035" s="10"/>
      <c r="M2035" s="10" t="s">
        <v>47</v>
      </c>
      <c r="N2035" s="10"/>
      <c r="O2035" s="2">
        <v>2</v>
      </c>
      <c r="P2035" s="17">
        <f>497*(1-S3/100)</f>
        <v>497</v>
      </c>
      <c r="Q2035" s="18"/>
      <c r="R2035" s="10">
        <f t="shared" si="86"/>
        <v>0</v>
      </c>
      <c r="S2035" s="19">
        <f>0.347*Q2035</f>
        <v>0</v>
      </c>
      <c r="T2035" s="20">
        <f>0.00055*Q2035</f>
        <v>0</v>
      </c>
      <c r="U2035" s="21"/>
      <c r="V2035" s="22" t="s">
        <v>8677</v>
      </c>
      <c r="W2035" s="22" t="s">
        <v>49</v>
      </c>
      <c r="X2035" s="3" t="s">
        <v>207</v>
      </c>
      <c r="Y2035" s="3" t="s">
        <v>8678</v>
      </c>
      <c r="Z2035" s="3" t="s">
        <v>384</v>
      </c>
      <c r="AA2035" s="3"/>
      <c r="AB2035" s="3"/>
      <c r="AC2035" s="3" t="str">
        <f>HYPERLINK("https://knigipp.ru/api/getInfo/image/82552e65-c4f4-11ef-a268-00155d82e908")</f>
        <v>https://knigipp.ru/api/getInfo/image/82552e65-c4f4-11ef-a268-00155d82e908</v>
      </c>
      <c r="AD2035" s="32">
        <v>144</v>
      </c>
      <c r="AE2035" s="3" t="s">
        <v>54</v>
      </c>
      <c r="AF2035" s="3" t="s">
        <v>127</v>
      </c>
      <c r="AG2035" s="3"/>
      <c r="AH2035" s="3" t="s">
        <v>56</v>
      </c>
      <c r="AI2035" s="3"/>
      <c r="AJ2035" s="3"/>
      <c r="AK2035" s="3" t="str">
        <f>HYPERLINK("https://knigipp.ru/api/getInfo/item/82552e65-c4f4-11ef-a268-00155d82e908")</f>
        <v>https://knigipp.ru/api/getInfo/item/82552e65-c4f4-11ef-a268-00155d82e908</v>
      </c>
      <c r="AL2035" s="3" t="s">
        <v>2597</v>
      </c>
    </row>
    <row r="2036" spans="1:38" ht="21" customHeight="1" outlineLevel="3" x14ac:dyDescent="0.2">
      <c r="A2036" s="39">
        <v>1559</v>
      </c>
      <c r="B2036" s="3" t="s">
        <v>8679</v>
      </c>
      <c r="C2036" s="49" t="s">
        <v>8680</v>
      </c>
      <c r="D2036" s="49"/>
      <c r="E2036" s="49"/>
      <c r="F2036" s="49"/>
      <c r="G2036" s="4" t="s">
        <v>8681</v>
      </c>
      <c r="H2036" s="8"/>
      <c r="I2036" s="9" t="s">
        <v>8682</v>
      </c>
      <c r="J2036" s="10"/>
      <c r="K2036" s="11">
        <v>10</v>
      </c>
      <c r="L2036" s="10"/>
      <c r="M2036" s="10" t="s">
        <v>47</v>
      </c>
      <c r="N2036" s="10"/>
      <c r="O2036" s="2">
        <v>1</v>
      </c>
      <c r="P2036" s="17">
        <f>749*(1-S3/100)</f>
        <v>749</v>
      </c>
      <c r="Q2036" s="18"/>
      <c r="R2036" s="10">
        <f t="shared" si="86"/>
        <v>0</v>
      </c>
      <c r="S2036" s="19">
        <f>0.301*Q2036</f>
        <v>0</v>
      </c>
      <c r="T2036" s="20">
        <f>0.00029*Q2036</f>
        <v>0</v>
      </c>
      <c r="U2036" s="21"/>
      <c r="V2036" s="22" t="s">
        <v>8683</v>
      </c>
      <c r="W2036" s="22" t="s">
        <v>49</v>
      </c>
      <c r="X2036" s="3" t="s">
        <v>50</v>
      </c>
      <c r="Y2036" s="3" t="s">
        <v>8684</v>
      </c>
      <c r="Z2036" s="3" t="s">
        <v>52</v>
      </c>
      <c r="AA2036" s="3"/>
      <c r="AB2036" s="3"/>
      <c r="AC2036" s="3" t="str">
        <f>HYPERLINK("https://knigipp.ru/api/getInfo/image/49930dde-13e3-11f1-a28f-00155d82e908")</f>
        <v>https://knigipp.ru/api/getInfo/image/49930dde-13e3-11f1-a28f-00155d82e908</v>
      </c>
      <c r="AD2036" s="32">
        <v>64</v>
      </c>
      <c r="AE2036" s="3"/>
      <c r="AF2036" s="3" t="s">
        <v>127</v>
      </c>
      <c r="AG2036" s="3"/>
      <c r="AH2036" s="3" t="s">
        <v>56</v>
      </c>
      <c r="AI2036" s="3"/>
      <c r="AJ2036" s="3"/>
      <c r="AK2036" s="3" t="str">
        <f>HYPERLINK("https://knigipp.ru/api/getInfo/item/49930dde-13e3-11f1-a28f-00155d82e908")</f>
        <v>https://knigipp.ru/api/getInfo/item/49930dde-13e3-11f1-a28f-00155d82e908</v>
      </c>
      <c r="AL2036" s="3" t="s">
        <v>8608</v>
      </c>
    </row>
    <row r="2037" spans="1:38" ht="21" customHeight="1" outlineLevel="3" x14ac:dyDescent="0.2">
      <c r="A2037" s="39">
        <v>1560</v>
      </c>
      <c r="B2037" s="3" t="s">
        <v>8685</v>
      </c>
      <c r="C2037" s="49" t="s">
        <v>8686</v>
      </c>
      <c r="D2037" s="49"/>
      <c r="E2037" s="49"/>
      <c r="F2037" s="49"/>
      <c r="G2037" s="4" t="s">
        <v>8687</v>
      </c>
      <c r="H2037" s="8"/>
      <c r="I2037" s="9" t="s">
        <v>8688</v>
      </c>
      <c r="J2037" s="10"/>
      <c r="K2037" s="11">
        <v>20</v>
      </c>
      <c r="L2037" s="10"/>
      <c r="M2037" s="10" t="s">
        <v>304</v>
      </c>
      <c r="N2037" s="10"/>
      <c r="O2037" s="2">
        <v>2</v>
      </c>
      <c r="P2037" s="17">
        <f>309.4*(1-S3/100)</f>
        <v>309.39999999999998</v>
      </c>
      <c r="Q2037" s="18"/>
      <c r="R2037" s="10">
        <f t="shared" si="86"/>
        <v>0</v>
      </c>
      <c r="S2037" s="28">
        <f>0.23*Q2037</f>
        <v>0</v>
      </c>
      <c r="T2037" s="20">
        <f>0.00037*Q2037</f>
        <v>0</v>
      </c>
      <c r="U2037" s="21"/>
      <c r="V2037" s="22" t="s">
        <v>8689</v>
      </c>
      <c r="W2037" s="22" t="s">
        <v>49</v>
      </c>
      <c r="X2037" s="3" t="s">
        <v>8690</v>
      </c>
      <c r="Y2037" s="3"/>
      <c r="Z2037" s="3" t="s">
        <v>52</v>
      </c>
      <c r="AA2037" s="3"/>
      <c r="AB2037" s="3"/>
      <c r="AC2037" s="3" t="str">
        <f>HYPERLINK("https://knigipp.ru/api/getInfo/image/6e19842a-533c-11ec-a20f-ac1f6b442185")</f>
        <v>https://knigipp.ru/api/getInfo/image/6e19842a-533c-11ec-a20f-ac1f6b442185</v>
      </c>
      <c r="AD2037" s="32">
        <v>80</v>
      </c>
      <c r="AE2037" s="3"/>
      <c r="AF2037" s="3" t="s">
        <v>127</v>
      </c>
      <c r="AG2037" s="3"/>
      <c r="AH2037" s="3" t="s">
        <v>56</v>
      </c>
      <c r="AI2037" s="3"/>
      <c r="AJ2037" s="3"/>
      <c r="AK2037" s="3" t="str">
        <f>HYPERLINK("https://knigipp.ru/api/getInfo/item/6e19842a-533c-11ec-a20f-ac1f6b442185")</f>
        <v>https://knigipp.ru/api/getInfo/item/6e19842a-533c-11ec-a20f-ac1f6b442185</v>
      </c>
      <c r="AL2037" s="3" t="s">
        <v>8691</v>
      </c>
    </row>
    <row r="2038" spans="1:38" ht="21" customHeight="1" outlineLevel="3" x14ac:dyDescent="0.2">
      <c r="A2038" s="40">
        <v>1561</v>
      </c>
      <c r="B2038" s="6" t="s">
        <v>8692</v>
      </c>
      <c r="C2038" s="54" t="s">
        <v>8693</v>
      </c>
      <c r="D2038" s="54"/>
      <c r="E2038" s="54"/>
      <c r="F2038" s="54"/>
      <c r="G2038" s="7" t="s">
        <v>8694</v>
      </c>
      <c r="H2038" s="12"/>
      <c r="I2038" s="13" t="s">
        <v>8695</v>
      </c>
      <c r="J2038" s="14"/>
      <c r="K2038" s="15">
        <v>20</v>
      </c>
      <c r="L2038" s="14"/>
      <c r="M2038" s="14" t="s">
        <v>47</v>
      </c>
      <c r="N2038" s="14"/>
      <c r="O2038" s="5">
        <v>1</v>
      </c>
      <c r="P2038" s="23">
        <f>397*(1-S3/100)</f>
        <v>397</v>
      </c>
      <c r="Q2038" s="18"/>
      <c r="R2038" s="14">
        <f t="shared" si="86"/>
        <v>0</v>
      </c>
      <c r="S2038" s="24">
        <f>0.316*Q2038</f>
        <v>0</v>
      </c>
      <c r="T2038" s="25">
        <f>0.00044*Q2038</f>
        <v>0</v>
      </c>
      <c r="U2038" s="26" t="s">
        <v>62</v>
      </c>
      <c r="V2038" s="27" t="s">
        <v>8696</v>
      </c>
      <c r="W2038" s="27" t="s">
        <v>49</v>
      </c>
      <c r="X2038" s="6" t="s">
        <v>8697</v>
      </c>
      <c r="Y2038" s="6" t="s">
        <v>8698</v>
      </c>
      <c r="Z2038" s="6" t="s">
        <v>52</v>
      </c>
      <c r="AA2038" s="6"/>
      <c r="AB2038" s="6"/>
      <c r="AC2038" s="6" t="str">
        <f>HYPERLINK("https://knigipp.ru/api/getInfo/image/1de66e13-449c-11f1-a294-00155d82e908")</f>
        <v>https://knigipp.ru/api/getInfo/image/1de66e13-449c-11f1-a294-00155d82e908</v>
      </c>
      <c r="AD2038" s="33">
        <v>128</v>
      </c>
      <c r="AE2038" s="6" t="s">
        <v>54</v>
      </c>
      <c r="AF2038" s="6" t="s">
        <v>127</v>
      </c>
      <c r="AG2038" s="6"/>
      <c r="AH2038" s="6" t="s">
        <v>56</v>
      </c>
      <c r="AI2038" s="6"/>
      <c r="AJ2038" s="6"/>
      <c r="AK2038" s="6" t="str">
        <f>HYPERLINK("https://knigipp.ru/api/getInfo/item/1de66e13-449c-11f1-a294-00155d82e908")</f>
        <v>https://knigipp.ru/api/getInfo/item/1de66e13-449c-11f1-a294-00155d82e908</v>
      </c>
      <c r="AL2038" s="6" t="s">
        <v>185</v>
      </c>
    </row>
    <row r="2039" spans="1:38" ht="21" customHeight="1" outlineLevel="3" x14ac:dyDescent="0.2">
      <c r="A2039" s="39">
        <v>1562</v>
      </c>
      <c r="B2039" s="3" t="s">
        <v>8699</v>
      </c>
      <c r="C2039" s="49" t="s">
        <v>8700</v>
      </c>
      <c r="D2039" s="49"/>
      <c r="E2039" s="49"/>
      <c r="F2039" s="49"/>
      <c r="G2039" s="4" t="s">
        <v>8701</v>
      </c>
      <c r="H2039" s="8"/>
      <c r="I2039" s="9" t="s">
        <v>8702</v>
      </c>
      <c r="J2039" s="10"/>
      <c r="K2039" s="11">
        <v>24</v>
      </c>
      <c r="L2039" s="10"/>
      <c r="M2039" s="10" t="s">
        <v>78</v>
      </c>
      <c r="N2039" s="10"/>
      <c r="O2039" s="2">
        <v>2</v>
      </c>
      <c r="P2039" s="17">
        <f>299*(1-S3/100)</f>
        <v>299</v>
      </c>
      <c r="Q2039" s="18"/>
      <c r="R2039" s="10">
        <f t="shared" si="86"/>
        <v>0</v>
      </c>
      <c r="S2039" s="19">
        <f>0.291*Q2039</f>
        <v>0</v>
      </c>
      <c r="T2039" s="20">
        <f>0.00046*Q2039</f>
        <v>0</v>
      </c>
      <c r="U2039" s="21"/>
      <c r="V2039" s="22" t="s">
        <v>8703</v>
      </c>
      <c r="W2039" s="22" t="s">
        <v>49</v>
      </c>
      <c r="X2039" s="3" t="s">
        <v>8690</v>
      </c>
      <c r="Y2039" s="3" t="s">
        <v>8704</v>
      </c>
      <c r="Z2039" s="3" t="s">
        <v>52</v>
      </c>
      <c r="AA2039" s="3"/>
      <c r="AB2039" s="3"/>
      <c r="AC2039" s="3" t="str">
        <f>HYPERLINK("https://knigipp.ru/api/getInfo/image/ce9c880f-3063-11ee-a23e-00155d82e902")</f>
        <v>https://knigipp.ru/api/getInfo/image/ce9c880f-3063-11ee-a23e-00155d82e902</v>
      </c>
      <c r="AD2039" s="32">
        <v>112</v>
      </c>
      <c r="AE2039" s="3" t="s">
        <v>481</v>
      </c>
      <c r="AF2039" s="3" t="s">
        <v>127</v>
      </c>
      <c r="AG2039" s="3"/>
      <c r="AH2039" s="3" t="s">
        <v>56</v>
      </c>
      <c r="AI2039" s="3"/>
      <c r="AJ2039" s="3"/>
      <c r="AK2039" s="3" t="str">
        <f>HYPERLINK("https://knigipp.ru/api/getInfo/item/ce9c880f-3063-11ee-a23e-00155d82e902")</f>
        <v>https://knigipp.ru/api/getInfo/item/ce9c880f-3063-11ee-a23e-00155d82e902</v>
      </c>
      <c r="AL2039" s="3" t="s">
        <v>8705</v>
      </c>
    </row>
    <row r="2040" spans="1:38" ht="21" customHeight="1" outlineLevel="3" x14ac:dyDescent="0.2">
      <c r="A2040" s="39">
        <v>1563</v>
      </c>
      <c r="B2040" s="3" t="s">
        <v>8706</v>
      </c>
      <c r="C2040" s="49" t="s">
        <v>8707</v>
      </c>
      <c r="D2040" s="49"/>
      <c r="E2040" s="49"/>
      <c r="F2040" s="49"/>
      <c r="G2040" s="4" t="s">
        <v>8708</v>
      </c>
      <c r="H2040" s="8"/>
      <c r="I2040" s="9" t="s">
        <v>8709</v>
      </c>
      <c r="J2040" s="10"/>
      <c r="K2040" s="11">
        <v>10</v>
      </c>
      <c r="L2040" s="10"/>
      <c r="M2040" s="10" t="s">
        <v>47</v>
      </c>
      <c r="N2040" s="10"/>
      <c r="O2040" s="2">
        <v>2</v>
      </c>
      <c r="P2040" s="17">
        <f>407*(1-S3/100)</f>
        <v>407</v>
      </c>
      <c r="Q2040" s="18"/>
      <c r="R2040" s="10">
        <f t="shared" si="86"/>
        <v>0</v>
      </c>
      <c r="S2040" s="19">
        <f>0.229*Q2040</f>
        <v>0</v>
      </c>
      <c r="T2040" s="30">
        <f>0.0004*Q2040</f>
        <v>0</v>
      </c>
      <c r="U2040" s="21"/>
      <c r="V2040" s="22" t="s">
        <v>8710</v>
      </c>
      <c r="W2040" s="22" t="s">
        <v>49</v>
      </c>
      <c r="X2040" s="3" t="s">
        <v>50</v>
      </c>
      <c r="Y2040" s="3" t="s">
        <v>8711</v>
      </c>
      <c r="Z2040" s="3" t="s">
        <v>52</v>
      </c>
      <c r="AA2040" s="3"/>
      <c r="AB2040" s="3"/>
      <c r="AC2040" s="3" t="str">
        <f>HYPERLINK("https://knigipp.ru/api/getInfo/image/34b24ec6-0e3d-11f0-a279-00155d82e908")</f>
        <v>https://knigipp.ru/api/getInfo/image/34b24ec6-0e3d-11f0-a279-00155d82e908</v>
      </c>
      <c r="AD2040" s="32">
        <v>112</v>
      </c>
      <c r="AE2040" s="3" t="s">
        <v>54</v>
      </c>
      <c r="AF2040" s="3" t="s">
        <v>127</v>
      </c>
      <c r="AG2040" s="3"/>
      <c r="AH2040" s="3" t="s">
        <v>56</v>
      </c>
      <c r="AI2040" s="3"/>
      <c r="AJ2040" s="3"/>
      <c r="AK2040" s="3" t="str">
        <f>HYPERLINK("https://knigipp.ru/api/getInfo/item/34b24ec6-0e3d-11f0-a279-00155d82e908")</f>
        <v>https://knigipp.ru/api/getInfo/item/34b24ec6-0e3d-11f0-a279-00155d82e908</v>
      </c>
      <c r="AL2040" s="3" t="s">
        <v>2753</v>
      </c>
    </row>
    <row r="2041" spans="1:38" ht="21" customHeight="1" outlineLevel="3" x14ac:dyDescent="0.2">
      <c r="A2041" s="39">
        <v>1564</v>
      </c>
      <c r="B2041" s="3" t="s">
        <v>8712</v>
      </c>
      <c r="C2041" s="49" t="s">
        <v>8713</v>
      </c>
      <c r="D2041" s="49"/>
      <c r="E2041" s="49"/>
      <c r="F2041" s="49"/>
      <c r="G2041" s="4" t="s">
        <v>8714</v>
      </c>
      <c r="H2041" s="8"/>
      <c r="I2041" s="9" t="s">
        <v>8709</v>
      </c>
      <c r="J2041" s="10"/>
      <c r="K2041" s="11">
        <v>20</v>
      </c>
      <c r="L2041" s="10"/>
      <c r="M2041" s="10" t="s">
        <v>47</v>
      </c>
      <c r="N2041" s="10"/>
      <c r="O2041" s="2">
        <v>3</v>
      </c>
      <c r="P2041" s="17">
        <f>207*(1-S3/100)</f>
        <v>207</v>
      </c>
      <c r="Q2041" s="18"/>
      <c r="R2041" s="10">
        <f t="shared" si="86"/>
        <v>0</v>
      </c>
      <c r="S2041" s="19">
        <f>0.074*Q2041</f>
        <v>0</v>
      </c>
      <c r="T2041" s="20">
        <f>0.00017*Q2041</f>
        <v>0</v>
      </c>
      <c r="U2041" s="21"/>
      <c r="V2041" s="22" t="s">
        <v>8715</v>
      </c>
      <c r="W2041" s="22" t="s">
        <v>49</v>
      </c>
      <c r="X2041" s="3" t="s">
        <v>50</v>
      </c>
      <c r="Y2041" s="3" t="s">
        <v>8716</v>
      </c>
      <c r="Z2041" s="3" t="s">
        <v>52</v>
      </c>
      <c r="AA2041" s="3"/>
      <c r="AB2041" s="3"/>
      <c r="AC2041" s="3" t="str">
        <f>HYPERLINK("https://knigipp.ru/api/getInfo/image/ada300f7-6146-11ef-a264-00155d82e908")</f>
        <v>https://knigipp.ru/api/getInfo/image/ada300f7-6146-11ef-a264-00155d82e908</v>
      </c>
      <c r="AD2041" s="32">
        <v>96</v>
      </c>
      <c r="AE2041" s="3" t="s">
        <v>54</v>
      </c>
      <c r="AF2041" s="3" t="s">
        <v>55</v>
      </c>
      <c r="AG2041" s="3"/>
      <c r="AH2041" s="3" t="s">
        <v>56</v>
      </c>
      <c r="AI2041" s="3"/>
      <c r="AJ2041" s="3"/>
      <c r="AK2041" s="3" t="str">
        <f>HYPERLINK("https://knigipp.ru/api/getInfo/item/ada300f7-6146-11ef-a264-00155d82e908")</f>
        <v>https://knigipp.ru/api/getInfo/item/ada300f7-6146-11ef-a264-00155d82e908</v>
      </c>
      <c r="AL2041" s="3" t="s">
        <v>8717</v>
      </c>
    </row>
    <row r="2042" spans="1:38" ht="21" customHeight="1" outlineLevel="3" x14ac:dyDescent="0.2">
      <c r="A2042" s="39">
        <v>1565</v>
      </c>
      <c r="B2042" s="3" t="s">
        <v>8718</v>
      </c>
      <c r="C2042" s="49" t="s">
        <v>8719</v>
      </c>
      <c r="D2042" s="49"/>
      <c r="E2042" s="49"/>
      <c r="F2042" s="49"/>
      <c r="G2042" s="4" t="s">
        <v>8720</v>
      </c>
      <c r="H2042" s="8"/>
      <c r="I2042" s="9" t="s">
        <v>8721</v>
      </c>
      <c r="J2042" s="10"/>
      <c r="K2042" s="11">
        <v>10</v>
      </c>
      <c r="L2042" s="10"/>
      <c r="M2042" s="10" t="s">
        <v>47</v>
      </c>
      <c r="N2042" s="10"/>
      <c r="O2042" s="2">
        <v>2</v>
      </c>
      <c r="P2042" s="17">
        <f>407*(1-S3/100)</f>
        <v>407</v>
      </c>
      <c r="Q2042" s="18"/>
      <c r="R2042" s="10">
        <f t="shared" si="86"/>
        <v>0</v>
      </c>
      <c r="S2042" s="19">
        <f>0.257*Q2042</f>
        <v>0</v>
      </c>
      <c r="T2042" s="20">
        <f>0.00052*Q2042</f>
        <v>0</v>
      </c>
      <c r="U2042" s="21"/>
      <c r="V2042" s="22" t="s">
        <v>8722</v>
      </c>
      <c r="W2042" s="22" t="s">
        <v>49</v>
      </c>
      <c r="X2042" s="3" t="s">
        <v>8697</v>
      </c>
      <c r="Y2042" s="3" t="s">
        <v>8723</v>
      </c>
      <c r="Z2042" s="3" t="s">
        <v>52</v>
      </c>
      <c r="AA2042" s="3"/>
      <c r="AB2042" s="3"/>
      <c r="AC2042" s="3" t="str">
        <f>HYPERLINK("https://knigipp.ru/api/getInfo/image/a09a6048-6d44-11f0-a284-00155d82e908")</f>
        <v>https://knigipp.ru/api/getInfo/image/a09a6048-6d44-11f0-a284-00155d82e908</v>
      </c>
      <c r="AD2042" s="32">
        <v>128</v>
      </c>
      <c r="AE2042" s="3" t="s">
        <v>54</v>
      </c>
      <c r="AF2042" s="3" t="s">
        <v>127</v>
      </c>
      <c r="AG2042" s="3"/>
      <c r="AH2042" s="3" t="s">
        <v>56</v>
      </c>
      <c r="AI2042" s="3"/>
      <c r="AJ2042" s="3"/>
      <c r="AK2042" s="3" t="str">
        <f>HYPERLINK("https://knigipp.ru/api/getInfo/item/a09a6048-6d44-11f0-a284-00155d82e908")</f>
        <v>https://knigipp.ru/api/getInfo/item/a09a6048-6d44-11f0-a284-00155d82e908</v>
      </c>
      <c r="AL2042" s="3" t="s">
        <v>2859</v>
      </c>
    </row>
    <row r="2043" spans="1:38" ht="21" customHeight="1" outlineLevel="3" x14ac:dyDescent="0.2">
      <c r="A2043" s="39">
        <v>1566</v>
      </c>
      <c r="B2043" s="3" t="s">
        <v>8724</v>
      </c>
      <c r="C2043" s="49" t="s">
        <v>8725</v>
      </c>
      <c r="D2043" s="49"/>
      <c r="E2043" s="49"/>
      <c r="F2043" s="49"/>
      <c r="G2043" s="4" t="s">
        <v>8726</v>
      </c>
      <c r="H2043" s="8"/>
      <c r="I2043" s="9" t="s">
        <v>8727</v>
      </c>
      <c r="J2043" s="10"/>
      <c r="K2043" s="11">
        <v>10</v>
      </c>
      <c r="L2043" s="10"/>
      <c r="M2043" s="10" t="s">
        <v>47</v>
      </c>
      <c r="N2043" s="10"/>
      <c r="O2043" s="2">
        <v>2</v>
      </c>
      <c r="P2043" s="17">
        <f>407*(1-S3/100)</f>
        <v>407</v>
      </c>
      <c r="Q2043" s="18"/>
      <c r="R2043" s="10">
        <f t="shared" si="86"/>
        <v>0</v>
      </c>
      <c r="S2043" s="28">
        <f>0.23*Q2043</f>
        <v>0</v>
      </c>
      <c r="T2043" s="20">
        <f>0.00043*Q2043</f>
        <v>0</v>
      </c>
      <c r="U2043" s="21"/>
      <c r="V2043" s="22" t="s">
        <v>8728</v>
      </c>
      <c r="W2043" s="22" t="s">
        <v>49</v>
      </c>
      <c r="X2043" s="3" t="s">
        <v>8697</v>
      </c>
      <c r="Y2043" s="3" t="s">
        <v>8729</v>
      </c>
      <c r="Z2043" s="3" t="s">
        <v>52</v>
      </c>
      <c r="AA2043" s="3"/>
      <c r="AB2043" s="3"/>
      <c r="AC2043" s="3" t="str">
        <f>HYPERLINK("https://knigipp.ru/api/getInfo/image/72074ba7-0e3d-11f0-a279-00155d82e908")</f>
        <v>https://knigipp.ru/api/getInfo/image/72074ba7-0e3d-11f0-a279-00155d82e908</v>
      </c>
      <c r="AD2043" s="32">
        <v>112</v>
      </c>
      <c r="AE2043" s="3" t="s">
        <v>54</v>
      </c>
      <c r="AF2043" s="3" t="s">
        <v>127</v>
      </c>
      <c r="AG2043" s="3"/>
      <c r="AH2043" s="3" t="s">
        <v>56</v>
      </c>
      <c r="AI2043" s="3"/>
      <c r="AJ2043" s="3"/>
      <c r="AK2043" s="3" t="str">
        <f>HYPERLINK("https://knigipp.ru/api/getInfo/item/72074ba7-0e3d-11f0-a279-00155d82e908")</f>
        <v>https://knigipp.ru/api/getInfo/item/72074ba7-0e3d-11f0-a279-00155d82e908</v>
      </c>
      <c r="AL2043" s="3" t="s">
        <v>2753</v>
      </c>
    </row>
    <row r="2044" spans="1:38" ht="21" customHeight="1" outlineLevel="3" x14ac:dyDescent="0.2">
      <c r="A2044" s="39">
        <v>1567</v>
      </c>
      <c r="B2044" s="3" t="s">
        <v>8730</v>
      </c>
      <c r="C2044" s="49" t="s">
        <v>8731</v>
      </c>
      <c r="D2044" s="49"/>
      <c r="E2044" s="49"/>
      <c r="F2044" s="49"/>
      <c r="G2044" s="4" t="s">
        <v>8732</v>
      </c>
      <c r="H2044" s="8"/>
      <c r="I2044" s="9" t="s">
        <v>8733</v>
      </c>
      <c r="J2044" s="10"/>
      <c r="K2044" s="11">
        <v>20</v>
      </c>
      <c r="L2044" s="10"/>
      <c r="M2044" s="10" t="s">
        <v>78</v>
      </c>
      <c r="N2044" s="10"/>
      <c r="O2044" s="2">
        <v>3</v>
      </c>
      <c r="P2044" s="17">
        <f>207*(1-S3/100)</f>
        <v>207</v>
      </c>
      <c r="Q2044" s="18"/>
      <c r="R2044" s="10">
        <f t="shared" si="86"/>
        <v>0</v>
      </c>
      <c r="S2044" s="19">
        <f>0.076*Q2044</f>
        <v>0</v>
      </c>
      <c r="T2044" s="20">
        <f>0.00024*Q2044</f>
        <v>0</v>
      </c>
      <c r="U2044" s="21"/>
      <c r="V2044" s="22" t="s">
        <v>8734</v>
      </c>
      <c r="W2044" s="22" t="s">
        <v>49</v>
      </c>
      <c r="X2044" s="3" t="s">
        <v>8697</v>
      </c>
      <c r="Y2044" s="3" t="s">
        <v>8735</v>
      </c>
      <c r="Z2044" s="3" t="s">
        <v>52</v>
      </c>
      <c r="AA2044" s="3" t="s">
        <v>993</v>
      </c>
      <c r="AB2044" s="3"/>
      <c r="AC2044" s="3" t="str">
        <f>HYPERLINK("https://knigipp.ru/api/getInfo/image/47ebbc08-977a-11ef-a267-00155d82e908")</f>
        <v>https://knigipp.ru/api/getInfo/image/47ebbc08-977a-11ef-a267-00155d82e908</v>
      </c>
      <c r="AD2044" s="32">
        <v>96</v>
      </c>
      <c r="AE2044" s="3" t="s">
        <v>54</v>
      </c>
      <c r="AF2044" s="3" t="s">
        <v>55</v>
      </c>
      <c r="AG2044" s="3"/>
      <c r="AH2044" s="3" t="s">
        <v>56</v>
      </c>
      <c r="AI2044" s="3"/>
      <c r="AJ2044" s="3"/>
      <c r="AK2044" s="3" t="str">
        <f>HYPERLINK("https://knigipp.ru/api/getInfo/item/47ebbc08-977a-11ef-a267-00155d82e908")</f>
        <v>https://knigipp.ru/api/getInfo/item/47ebbc08-977a-11ef-a267-00155d82e908</v>
      </c>
      <c r="AL2044" s="3" t="s">
        <v>8717</v>
      </c>
    </row>
    <row r="2045" spans="1:38" ht="23.1" customHeight="1" outlineLevel="2" x14ac:dyDescent="0.2">
      <c r="A2045" s="47" t="s">
        <v>8736</v>
      </c>
      <c r="B2045" s="47"/>
      <c r="C2045" s="47"/>
      <c r="D2045" s="47"/>
      <c r="E2045" s="47"/>
      <c r="F2045" s="47"/>
    </row>
    <row r="2046" spans="1:38" ht="23.1" customHeight="1" outlineLevel="3" x14ac:dyDescent="0.2">
      <c r="A2046" s="48" t="s">
        <v>8737</v>
      </c>
      <c r="B2046" s="48"/>
      <c r="C2046" s="48"/>
      <c r="D2046" s="48"/>
      <c r="E2046" s="48"/>
      <c r="F2046" s="48"/>
    </row>
    <row r="2047" spans="1:38" ht="21" customHeight="1" outlineLevel="4" x14ac:dyDescent="0.2">
      <c r="A2047" s="39">
        <v>1568</v>
      </c>
      <c r="B2047" s="3" t="s">
        <v>8738</v>
      </c>
      <c r="C2047" s="49" t="s">
        <v>8739</v>
      </c>
      <c r="D2047" s="49"/>
      <c r="E2047" s="49"/>
      <c r="F2047" s="49"/>
      <c r="G2047" s="4" t="s">
        <v>8740</v>
      </c>
      <c r="H2047" s="8"/>
      <c r="I2047" s="9" t="s">
        <v>8741</v>
      </c>
      <c r="J2047" s="10"/>
      <c r="K2047" s="11">
        <v>14</v>
      </c>
      <c r="L2047" s="10"/>
      <c r="M2047" s="10" t="s">
        <v>47</v>
      </c>
      <c r="N2047" s="10"/>
      <c r="O2047" s="2">
        <v>1</v>
      </c>
      <c r="P2047" s="17">
        <f>699*(1-S3/100)</f>
        <v>699</v>
      </c>
      <c r="Q2047" s="18"/>
      <c r="R2047" s="10">
        <f>P2047*Q2047</f>
        <v>0</v>
      </c>
      <c r="S2047" s="19">
        <f>0.429*Q2047</f>
        <v>0</v>
      </c>
      <c r="T2047" s="20">
        <f>0.00067*Q2047</f>
        <v>0</v>
      </c>
      <c r="U2047" s="21"/>
      <c r="V2047" s="22" t="s">
        <v>8742</v>
      </c>
      <c r="W2047" s="22" t="s">
        <v>49</v>
      </c>
      <c r="X2047" s="3" t="s">
        <v>8743</v>
      </c>
      <c r="Y2047" s="3" t="s">
        <v>8744</v>
      </c>
      <c r="Z2047" s="3" t="s">
        <v>384</v>
      </c>
      <c r="AA2047" s="3"/>
      <c r="AB2047" s="3"/>
      <c r="AC2047" s="3" t="str">
        <f>HYPERLINK("https://knigipp.ru/api/getInfo/image/3f502719-3557-11ef-a261-00155d82e908")</f>
        <v>https://knigipp.ru/api/getInfo/image/3f502719-3557-11ef-a261-00155d82e908</v>
      </c>
      <c r="AD2047" s="32">
        <v>320</v>
      </c>
      <c r="AE2047" s="3" t="s">
        <v>355</v>
      </c>
      <c r="AF2047" s="3" t="s">
        <v>127</v>
      </c>
      <c r="AG2047" s="3"/>
      <c r="AH2047" s="3" t="s">
        <v>56</v>
      </c>
      <c r="AI2047" s="3"/>
      <c r="AJ2047" s="3"/>
      <c r="AK2047" s="3" t="str">
        <f>HYPERLINK("https://knigipp.ru/api/getInfo/item/3f502719-3557-11ef-a261-00155d82e908")</f>
        <v>https://knigipp.ru/api/getInfo/item/3f502719-3557-11ef-a261-00155d82e908</v>
      </c>
      <c r="AL2047" s="3" t="s">
        <v>8745</v>
      </c>
    </row>
    <row r="2048" spans="1:38" ht="21" customHeight="1" outlineLevel="4" x14ac:dyDescent="0.2">
      <c r="A2048" s="39">
        <v>1569</v>
      </c>
      <c r="B2048" s="3" t="s">
        <v>8746</v>
      </c>
      <c r="C2048" s="49" t="s">
        <v>8747</v>
      </c>
      <c r="D2048" s="49"/>
      <c r="E2048" s="49"/>
      <c r="F2048" s="49"/>
      <c r="G2048" s="4" t="s">
        <v>8748</v>
      </c>
      <c r="H2048" s="8"/>
      <c r="I2048" s="9" t="s">
        <v>8749</v>
      </c>
      <c r="J2048" s="10"/>
      <c r="K2048" s="11">
        <v>10</v>
      </c>
      <c r="L2048" s="10"/>
      <c r="M2048" s="10" t="s">
        <v>47</v>
      </c>
      <c r="N2048" s="10"/>
      <c r="O2048" s="2">
        <v>1</v>
      </c>
      <c r="P2048" s="17">
        <f>699*(1-S3/100)</f>
        <v>699</v>
      </c>
      <c r="Q2048" s="18"/>
      <c r="R2048" s="10">
        <f>P2048*Q2048</f>
        <v>0</v>
      </c>
      <c r="S2048" s="19">
        <f>0.401*Q2048</f>
        <v>0</v>
      </c>
      <c r="T2048" s="20">
        <f>0.00066*Q2048</f>
        <v>0</v>
      </c>
      <c r="U2048" s="21"/>
      <c r="V2048" s="22" t="s">
        <v>8750</v>
      </c>
      <c r="W2048" s="22" t="s">
        <v>49</v>
      </c>
      <c r="X2048" s="3" t="s">
        <v>8751</v>
      </c>
      <c r="Y2048" s="3" t="s">
        <v>8752</v>
      </c>
      <c r="Z2048" s="3" t="s">
        <v>384</v>
      </c>
      <c r="AA2048" s="3"/>
      <c r="AB2048" s="3"/>
      <c r="AC2048" s="3" t="str">
        <f>HYPERLINK("https://knigipp.ru/api/getInfo/image/36358ddc-4f1e-11ef-a262-00155d82e908")</f>
        <v>https://knigipp.ru/api/getInfo/image/36358ddc-4f1e-11ef-a262-00155d82e908</v>
      </c>
      <c r="AD2048" s="32">
        <v>320</v>
      </c>
      <c r="AE2048" s="3" t="s">
        <v>355</v>
      </c>
      <c r="AF2048" s="3" t="s">
        <v>127</v>
      </c>
      <c r="AG2048" s="3"/>
      <c r="AH2048" s="3" t="s">
        <v>56</v>
      </c>
      <c r="AI2048" s="3"/>
      <c r="AJ2048" s="3"/>
      <c r="AK2048" s="3" t="str">
        <f>HYPERLINK("https://knigipp.ru/api/getInfo/item/36358ddc-4f1e-11ef-a262-00155d82e908")</f>
        <v>https://knigipp.ru/api/getInfo/item/36358ddc-4f1e-11ef-a262-00155d82e908</v>
      </c>
      <c r="AL2048" s="3" t="s">
        <v>8745</v>
      </c>
    </row>
    <row r="2049" spans="1:38" ht="23.1" customHeight="1" outlineLevel="3" x14ac:dyDescent="0.2">
      <c r="A2049" s="48" t="s">
        <v>8753</v>
      </c>
      <c r="B2049" s="48"/>
      <c r="C2049" s="48"/>
      <c r="D2049" s="48"/>
      <c r="E2049" s="48"/>
      <c r="F2049" s="48"/>
    </row>
    <row r="2050" spans="1:38" ht="21" customHeight="1" outlineLevel="4" x14ac:dyDescent="0.2">
      <c r="A2050" s="39">
        <v>1570</v>
      </c>
      <c r="B2050" s="3" t="s">
        <v>8754</v>
      </c>
      <c r="C2050" s="49" t="s">
        <v>8755</v>
      </c>
      <c r="D2050" s="49"/>
      <c r="E2050" s="49"/>
      <c r="F2050" s="49"/>
      <c r="G2050" s="4" t="s">
        <v>8756</v>
      </c>
      <c r="H2050" s="8"/>
      <c r="I2050" s="9" t="s">
        <v>8757</v>
      </c>
      <c r="J2050" s="10"/>
      <c r="K2050" s="11">
        <v>20</v>
      </c>
      <c r="L2050" s="10"/>
      <c r="M2050" s="10" t="s">
        <v>47</v>
      </c>
      <c r="N2050" s="10"/>
      <c r="O2050" s="2">
        <v>1</v>
      </c>
      <c r="P2050" s="17">
        <f>499*(1-S3/100)</f>
        <v>499</v>
      </c>
      <c r="Q2050" s="18"/>
      <c r="R2050" s="10">
        <f>P2050*Q2050</f>
        <v>0</v>
      </c>
      <c r="S2050" s="19">
        <f>0.175*Q2050</f>
        <v>0</v>
      </c>
      <c r="T2050" s="20">
        <f>0.00029*Q2050</f>
        <v>0</v>
      </c>
      <c r="U2050" s="21"/>
      <c r="V2050" s="22" t="s">
        <v>8758</v>
      </c>
      <c r="W2050" s="22" t="s">
        <v>49</v>
      </c>
      <c r="X2050" s="3" t="s">
        <v>8759</v>
      </c>
      <c r="Y2050" s="3" t="s">
        <v>8760</v>
      </c>
      <c r="Z2050" s="3" t="s">
        <v>384</v>
      </c>
      <c r="AA2050" s="3"/>
      <c r="AB2050" s="3"/>
      <c r="AC2050" s="3" t="str">
        <f>HYPERLINK("https://knigipp.ru/api/getInfo/image/752dd9e2-13d5-11f1-a28f-00155d82e908")</f>
        <v>https://knigipp.ru/api/getInfo/image/752dd9e2-13d5-11f1-a28f-00155d82e908</v>
      </c>
      <c r="AD2050" s="32">
        <v>80</v>
      </c>
      <c r="AE2050" s="3" t="s">
        <v>54</v>
      </c>
      <c r="AF2050" s="3" t="s">
        <v>55</v>
      </c>
      <c r="AG2050" s="3"/>
      <c r="AH2050" s="3" t="s">
        <v>56</v>
      </c>
      <c r="AI2050" s="3"/>
      <c r="AJ2050" s="3"/>
      <c r="AK2050" s="3" t="str">
        <f>HYPERLINK("https://knigipp.ru/api/getInfo/item/752dd9e2-13d5-11f1-a28f-00155d82e908")</f>
        <v>https://knigipp.ru/api/getInfo/item/752dd9e2-13d5-11f1-a28f-00155d82e908</v>
      </c>
      <c r="AL2050" s="3" t="s">
        <v>57</v>
      </c>
    </row>
    <row r="2051" spans="1:38" ht="23.1" customHeight="1" outlineLevel="3" x14ac:dyDescent="0.2">
      <c r="A2051" s="48" t="s">
        <v>8761</v>
      </c>
      <c r="B2051" s="48"/>
      <c r="C2051" s="48"/>
      <c r="D2051" s="48"/>
      <c r="E2051" s="48"/>
      <c r="F2051" s="48"/>
    </row>
    <row r="2052" spans="1:38" ht="21" customHeight="1" outlineLevel="4" x14ac:dyDescent="0.2">
      <c r="A2052" s="40">
        <v>1571</v>
      </c>
      <c r="B2052" s="6" t="s">
        <v>8762</v>
      </c>
      <c r="C2052" s="54" t="s">
        <v>8763</v>
      </c>
      <c r="D2052" s="54"/>
      <c r="E2052" s="54"/>
      <c r="F2052" s="54"/>
      <c r="G2052" s="7" t="s">
        <v>8764</v>
      </c>
      <c r="H2052" s="12"/>
      <c r="I2052" s="13" t="s">
        <v>8765</v>
      </c>
      <c r="J2052" s="14"/>
      <c r="K2052" s="15">
        <v>20</v>
      </c>
      <c r="L2052" s="14"/>
      <c r="M2052" s="14" t="s">
        <v>47</v>
      </c>
      <c r="N2052" s="14"/>
      <c r="O2052" s="5">
        <v>2</v>
      </c>
      <c r="P2052" s="23">
        <f>297*(1-S3/100)</f>
        <v>297</v>
      </c>
      <c r="Q2052" s="18"/>
      <c r="R2052" s="14">
        <f>P2052*Q2052</f>
        <v>0</v>
      </c>
      <c r="S2052" s="24">
        <f>0.174*Q2052</f>
        <v>0</v>
      </c>
      <c r="T2052" s="25">
        <f>0.00043*Q2052</f>
        <v>0</v>
      </c>
      <c r="U2052" s="26" t="s">
        <v>62</v>
      </c>
      <c r="V2052" s="27" t="s">
        <v>8766</v>
      </c>
      <c r="W2052" s="27" t="s">
        <v>49</v>
      </c>
      <c r="X2052" s="6" t="s">
        <v>8767</v>
      </c>
      <c r="Y2052" s="6"/>
      <c r="Z2052" s="6" t="s">
        <v>52</v>
      </c>
      <c r="AA2052" s="6"/>
      <c r="AB2052" s="6"/>
      <c r="AC2052" s="6" t="str">
        <f>HYPERLINK("https://knigipp.ru/api/getInfo/image/e570f36b-479b-11f1-a294-00155d82e908")</f>
        <v>https://knigipp.ru/api/getInfo/image/e570f36b-479b-11f1-a294-00155d82e908</v>
      </c>
      <c r="AD2052" s="33">
        <v>208</v>
      </c>
      <c r="AE2052" s="6" t="s">
        <v>54</v>
      </c>
      <c r="AF2052" s="6" t="s">
        <v>55</v>
      </c>
      <c r="AG2052" s="6"/>
      <c r="AH2052" s="6"/>
      <c r="AI2052" s="6"/>
      <c r="AJ2052" s="6"/>
      <c r="AK2052" s="6" t="str">
        <f>HYPERLINK("https://knigipp.ru/api/getInfo/item/e570f36b-479b-11f1-a294-00155d82e908")</f>
        <v>https://knigipp.ru/api/getInfo/item/e570f36b-479b-11f1-a294-00155d82e908</v>
      </c>
      <c r="AL2052" s="6" t="s">
        <v>8768</v>
      </c>
    </row>
    <row r="2053" spans="1:38" ht="23.1" customHeight="1" outlineLevel="3" x14ac:dyDescent="0.2">
      <c r="A2053" s="48" t="s">
        <v>8769</v>
      </c>
      <c r="B2053" s="48"/>
      <c r="C2053" s="48"/>
      <c r="D2053" s="48"/>
      <c r="E2053" s="48"/>
      <c r="F2053" s="48"/>
    </row>
    <row r="2054" spans="1:38" ht="21" customHeight="1" outlineLevel="4" x14ac:dyDescent="0.2">
      <c r="A2054" s="39">
        <v>1572</v>
      </c>
      <c r="B2054" s="3" t="s">
        <v>8770</v>
      </c>
      <c r="C2054" s="49" t="s">
        <v>8771</v>
      </c>
      <c r="D2054" s="49"/>
      <c r="E2054" s="49"/>
      <c r="F2054" s="49"/>
      <c r="G2054" s="4" t="s">
        <v>8772</v>
      </c>
      <c r="H2054" s="8"/>
      <c r="I2054" s="9" t="s">
        <v>8773</v>
      </c>
      <c r="J2054" s="10"/>
      <c r="K2054" s="11">
        <v>20</v>
      </c>
      <c r="L2054" s="10"/>
      <c r="M2054" s="10" t="s">
        <v>78</v>
      </c>
      <c r="N2054" s="10"/>
      <c r="O2054" s="2">
        <v>2</v>
      </c>
      <c r="P2054" s="17">
        <f>317*(1-S3/100)</f>
        <v>317</v>
      </c>
      <c r="Q2054" s="18"/>
      <c r="R2054" s="10">
        <f t="shared" ref="R2054:R2059" si="87">P2054*Q2054</f>
        <v>0</v>
      </c>
      <c r="S2054" s="19">
        <f>0.122*Q2054</f>
        <v>0</v>
      </c>
      <c r="T2054" s="20">
        <f>0.00016*Q2054</f>
        <v>0</v>
      </c>
      <c r="U2054" s="21"/>
      <c r="V2054" s="22" t="s">
        <v>8774</v>
      </c>
      <c r="W2054" s="22" t="s">
        <v>49</v>
      </c>
      <c r="X2054" s="3" t="s">
        <v>8751</v>
      </c>
      <c r="Y2054" s="3" t="s">
        <v>8775</v>
      </c>
      <c r="Z2054" s="3" t="s">
        <v>384</v>
      </c>
      <c r="AA2054" s="3" t="s">
        <v>8776</v>
      </c>
      <c r="AB2054" s="3"/>
      <c r="AC2054" s="3" t="str">
        <f>HYPERLINK("https://knigipp.ru/api/getInfo/image/ae286be8-9785-11ef-a267-00155d82e908")</f>
        <v>https://knigipp.ru/api/getInfo/image/ae286be8-9785-11ef-a267-00155d82e908</v>
      </c>
      <c r="AD2054" s="32">
        <v>128</v>
      </c>
      <c r="AE2054" s="3" t="s">
        <v>2372</v>
      </c>
      <c r="AF2054" s="3" t="s">
        <v>55</v>
      </c>
      <c r="AG2054" s="3"/>
      <c r="AH2054" s="3" t="s">
        <v>56</v>
      </c>
      <c r="AI2054" s="3"/>
      <c r="AJ2054" s="3"/>
      <c r="AK2054" s="3" t="str">
        <f>HYPERLINK("https://knigipp.ru/api/getInfo/item/ae286be8-9785-11ef-a267-00155d82e908")</f>
        <v>https://knigipp.ru/api/getInfo/item/ae286be8-9785-11ef-a267-00155d82e908</v>
      </c>
      <c r="AL2054" s="3" t="s">
        <v>8777</v>
      </c>
    </row>
    <row r="2055" spans="1:38" ht="21" customHeight="1" outlineLevel="4" x14ac:dyDescent="0.2">
      <c r="A2055" s="39">
        <v>1573</v>
      </c>
      <c r="B2055" s="3" t="s">
        <v>8778</v>
      </c>
      <c r="C2055" s="49" t="s">
        <v>8779</v>
      </c>
      <c r="D2055" s="49"/>
      <c r="E2055" s="49"/>
      <c r="F2055" s="49"/>
      <c r="G2055" s="4" t="s">
        <v>8780</v>
      </c>
      <c r="H2055" s="8"/>
      <c r="I2055" s="9" t="s">
        <v>8781</v>
      </c>
      <c r="J2055" s="10"/>
      <c r="K2055" s="11">
        <v>20</v>
      </c>
      <c r="L2055" s="10"/>
      <c r="M2055" s="10" t="s">
        <v>47</v>
      </c>
      <c r="N2055" s="10"/>
      <c r="O2055" s="2">
        <v>2</v>
      </c>
      <c r="P2055" s="17">
        <f>317*(1-S3/100)</f>
        <v>317</v>
      </c>
      <c r="Q2055" s="18"/>
      <c r="R2055" s="10">
        <f t="shared" si="87"/>
        <v>0</v>
      </c>
      <c r="S2055" s="19">
        <f>0.124*Q2055</f>
        <v>0</v>
      </c>
      <c r="T2055" s="20">
        <f>0.00032*Q2055</f>
        <v>0</v>
      </c>
      <c r="U2055" s="21"/>
      <c r="V2055" s="22" t="s">
        <v>8782</v>
      </c>
      <c r="W2055" s="22" t="s">
        <v>49</v>
      </c>
      <c r="X2055" s="3" t="s">
        <v>8783</v>
      </c>
      <c r="Y2055" s="3" t="s">
        <v>8784</v>
      </c>
      <c r="Z2055" s="3" t="s">
        <v>384</v>
      </c>
      <c r="AA2055" s="3"/>
      <c r="AB2055" s="3"/>
      <c r="AC2055" s="3" t="str">
        <f>HYPERLINK("https://knigipp.ru/api/getInfo/image/84bc1a84-0e32-11f0-a279-00155d82e908")</f>
        <v>https://knigipp.ru/api/getInfo/image/84bc1a84-0e32-11f0-a279-00155d82e908</v>
      </c>
      <c r="AD2055" s="32">
        <v>96</v>
      </c>
      <c r="AE2055" s="3" t="s">
        <v>2372</v>
      </c>
      <c r="AF2055" s="3" t="s">
        <v>55</v>
      </c>
      <c r="AG2055" s="3"/>
      <c r="AH2055" s="3" t="s">
        <v>56</v>
      </c>
      <c r="AI2055" s="3"/>
      <c r="AJ2055" s="3"/>
      <c r="AK2055" s="3" t="str">
        <f>HYPERLINK("https://knigipp.ru/api/getInfo/item/84bc1a84-0e32-11f0-a279-00155d82e908")</f>
        <v>https://knigipp.ru/api/getInfo/item/84bc1a84-0e32-11f0-a279-00155d82e908</v>
      </c>
      <c r="AL2055" s="3" t="s">
        <v>8785</v>
      </c>
    </row>
    <row r="2056" spans="1:38" ht="21" customHeight="1" outlineLevel="4" x14ac:dyDescent="0.2">
      <c r="A2056" s="40">
        <v>1574</v>
      </c>
      <c r="B2056" s="6" t="s">
        <v>8786</v>
      </c>
      <c r="C2056" s="54" t="s">
        <v>8787</v>
      </c>
      <c r="D2056" s="54"/>
      <c r="E2056" s="54"/>
      <c r="F2056" s="54"/>
      <c r="G2056" s="7" t="s">
        <v>8788</v>
      </c>
      <c r="H2056" s="12"/>
      <c r="I2056" s="13" t="s">
        <v>8789</v>
      </c>
      <c r="J2056" s="14"/>
      <c r="K2056" s="15">
        <v>20</v>
      </c>
      <c r="L2056" s="14"/>
      <c r="M2056" s="14" t="s">
        <v>47</v>
      </c>
      <c r="N2056" s="14"/>
      <c r="O2056" s="5">
        <v>2</v>
      </c>
      <c r="P2056" s="23">
        <f>317*(1-S3/100)</f>
        <v>317</v>
      </c>
      <c r="Q2056" s="18"/>
      <c r="R2056" s="14">
        <f t="shared" si="87"/>
        <v>0</v>
      </c>
      <c r="S2056" s="24">
        <f>0.137*Q2056</f>
        <v>0</v>
      </c>
      <c r="T2056" s="25">
        <f>0.00034*Q2056</f>
        <v>0</v>
      </c>
      <c r="U2056" s="26" t="s">
        <v>62</v>
      </c>
      <c r="V2056" s="27" t="s">
        <v>8790</v>
      </c>
      <c r="W2056" s="27" t="s">
        <v>49</v>
      </c>
      <c r="X2056" s="6" t="s">
        <v>8791</v>
      </c>
      <c r="Y2056" s="6"/>
      <c r="Z2056" s="6" t="s">
        <v>384</v>
      </c>
      <c r="AA2056" s="6"/>
      <c r="AB2056" s="6"/>
      <c r="AC2056" s="6" t="str">
        <f>HYPERLINK("https://knigipp.ru/api/getInfo/image/dc94ee54-5b66-11f1-a295-00155d82e908")</f>
        <v>https://knigipp.ru/api/getInfo/image/dc94ee54-5b66-11f1-a295-00155d82e908</v>
      </c>
      <c r="AD2056" s="33">
        <v>128</v>
      </c>
      <c r="AE2056" s="6" t="s">
        <v>2372</v>
      </c>
      <c r="AF2056" s="6" t="s">
        <v>55</v>
      </c>
      <c r="AG2056" s="6"/>
      <c r="AH2056" s="6" t="s">
        <v>56</v>
      </c>
      <c r="AI2056" s="6"/>
      <c r="AJ2056" s="6"/>
      <c r="AK2056" s="6" t="str">
        <f>HYPERLINK("https://knigipp.ru/api/getInfo/item/dc94ee54-5b66-11f1-a295-00155d82e908")</f>
        <v>https://knigipp.ru/api/getInfo/item/dc94ee54-5b66-11f1-a295-00155d82e908</v>
      </c>
      <c r="AL2056" s="6" t="s">
        <v>8792</v>
      </c>
    </row>
    <row r="2057" spans="1:38" ht="21" customHeight="1" outlineLevel="4" x14ac:dyDescent="0.2">
      <c r="A2057" s="39">
        <v>1575</v>
      </c>
      <c r="B2057" s="3" t="s">
        <v>8793</v>
      </c>
      <c r="C2057" s="49" t="s">
        <v>8794</v>
      </c>
      <c r="D2057" s="49"/>
      <c r="E2057" s="49"/>
      <c r="F2057" s="49"/>
      <c r="G2057" s="4" t="s">
        <v>8795</v>
      </c>
      <c r="H2057" s="8"/>
      <c r="I2057" s="9" t="s">
        <v>8796</v>
      </c>
      <c r="J2057" s="10"/>
      <c r="K2057" s="11">
        <v>10</v>
      </c>
      <c r="L2057" s="10"/>
      <c r="M2057" s="10" t="s">
        <v>47</v>
      </c>
      <c r="N2057" s="10"/>
      <c r="O2057" s="2">
        <v>2</v>
      </c>
      <c r="P2057" s="17">
        <f>447*(1-S3/100)</f>
        <v>447</v>
      </c>
      <c r="Q2057" s="18"/>
      <c r="R2057" s="10">
        <f t="shared" si="87"/>
        <v>0</v>
      </c>
      <c r="S2057" s="19">
        <f>0.338*Q2057</f>
        <v>0</v>
      </c>
      <c r="T2057" s="20">
        <f>0.00082*Q2057</f>
        <v>0</v>
      </c>
      <c r="U2057" s="21"/>
      <c r="V2057" s="22" t="s">
        <v>8797</v>
      </c>
      <c r="W2057" s="22" t="s">
        <v>49</v>
      </c>
      <c r="X2057" s="3" t="s">
        <v>8751</v>
      </c>
      <c r="Y2057" s="3" t="s">
        <v>8798</v>
      </c>
      <c r="Z2057" s="3" t="s">
        <v>384</v>
      </c>
      <c r="AA2057" s="3"/>
      <c r="AB2057" s="3"/>
      <c r="AC2057" s="3" t="str">
        <f>HYPERLINK("https://knigipp.ru/api/getInfo/image/77e69af5-8fd4-11f0-a284-00155d82e908")</f>
        <v>https://knigipp.ru/api/getInfo/image/77e69af5-8fd4-11f0-a284-00155d82e908</v>
      </c>
      <c r="AD2057" s="32">
        <v>352</v>
      </c>
      <c r="AE2057" s="3" t="s">
        <v>2372</v>
      </c>
      <c r="AF2057" s="3" t="s">
        <v>55</v>
      </c>
      <c r="AG2057" s="3"/>
      <c r="AH2057" s="3" t="s">
        <v>56</v>
      </c>
      <c r="AI2057" s="3"/>
      <c r="AJ2057" s="3"/>
      <c r="AK2057" s="3" t="str">
        <f>HYPERLINK("https://knigipp.ru/api/getInfo/item/77e69af5-8fd4-11f0-a284-00155d82e908")</f>
        <v>https://knigipp.ru/api/getInfo/item/77e69af5-8fd4-11f0-a284-00155d82e908</v>
      </c>
      <c r="AL2057" s="3" t="s">
        <v>8785</v>
      </c>
    </row>
    <row r="2058" spans="1:38" ht="21" customHeight="1" outlineLevel="4" x14ac:dyDescent="0.2">
      <c r="A2058" s="39">
        <v>1576</v>
      </c>
      <c r="B2058" s="3" t="s">
        <v>8799</v>
      </c>
      <c r="C2058" s="49" t="s">
        <v>8800</v>
      </c>
      <c r="D2058" s="49"/>
      <c r="E2058" s="49"/>
      <c r="F2058" s="49"/>
      <c r="G2058" s="4" t="s">
        <v>8801</v>
      </c>
      <c r="H2058" s="8"/>
      <c r="I2058" s="9" t="s">
        <v>8802</v>
      </c>
      <c r="J2058" s="10"/>
      <c r="K2058" s="11">
        <v>20</v>
      </c>
      <c r="L2058" s="10"/>
      <c r="M2058" s="10" t="s">
        <v>47</v>
      </c>
      <c r="N2058" s="10"/>
      <c r="O2058" s="2">
        <v>2</v>
      </c>
      <c r="P2058" s="17">
        <f>317*(1-S3/100)</f>
        <v>317</v>
      </c>
      <c r="Q2058" s="18"/>
      <c r="R2058" s="10">
        <f t="shared" si="87"/>
        <v>0</v>
      </c>
      <c r="S2058" s="19">
        <f>0.137*Q2058</f>
        <v>0</v>
      </c>
      <c r="T2058" s="20">
        <f>0.00075*Q2058</f>
        <v>0</v>
      </c>
      <c r="U2058" s="21"/>
      <c r="V2058" s="22" t="s">
        <v>8803</v>
      </c>
      <c r="W2058" s="22" t="s">
        <v>49</v>
      </c>
      <c r="X2058" s="3" t="s">
        <v>8751</v>
      </c>
      <c r="Y2058" s="3" t="s">
        <v>8804</v>
      </c>
      <c r="Z2058" s="3" t="s">
        <v>384</v>
      </c>
      <c r="AA2058" s="3"/>
      <c r="AB2058" s="3"/>
      <c r="AC2058" s="3" t="str">
        <f>HYPERLINK("https://knigipp.ru/api/getInfo/image/3b239569-0e32-11f0-a279-00155d82e908")</f>
        <v>https://knigipp.ru/api/getInfo/image/3b239569-0e32-11f0-a279-00155d82e908</v>
      </c>
      <c r="AD2058" s="32">
        <v>128</v>
      </c>
      <c r="AE2058" s="3" t="s">
        <v>2372</v>
      </c>
      <c r="AF2058" s="3" t="s">
        <v>55</v>
      </c>
      <c r="AG2058" s="3"/>
      <c r="AH2058" s="3" t="s">
        <v>56</v>
      </c>
      <c r="AI2058" s="3"/>
      <c r="AJ2058" s="3"/>
      <c r="AK2058" s="3" t="str">
        <f>HYPERLINK("https://knigipp.ru/api/getInfo/item/3b239569-0e32-11f0-a279-00155d82e908")</f>
        <v>https://knigipp.ru/api/getInfo/item/3b239569-0e32-11f0-a279-00155d82e908</v>
      </c>
      <c r="AL2058" s="3" t="s">
        <v>8785</v>
      </c>
    </row>
    <row r="2059" spans="1:38" ht="21" customHeight="1" outlineLevel="4" x14ac:dyDescent="0.2">
      <c r="A2059" s="39">
        <v>1577</v>
      </c>
      <c r="B2059" s="3" t="s">
        <v>8805</v>
      </c>
      <c r="C2059" s="49" t="s">
        <v>8806</v>
      </c>
      <c r="D2059" s="49"/>
      <c r="E2059" s="49"/>
      <c r="F2059" s="49"/>
      <c r="G2059" s="4" t="s">
        <v>8807</v>
      </c>
      <c r="H2059" s="8"/>
      <c r="I2059" s="9" t="s">
        <v>8808</v>
      </c>
      <c r="J2059" s="10"/>
      <c r="K2059" s="11">
        <v>10</v>
      </c>
      <c r="L2059" s="10"/>
      <c r="M2059" s="10" t="s">
        <v>47</v>
      </c>
      <c r="N2059" s="10"/>
      <c r="O2059" s="2">
        <v>2</v>
      </c>
      <c r="P2059" s="17">
        <f>317*(1-S3/100)</f>
        <v>317</v>
      </c>
      <c r="Q2059" s="18"/>
      <c r="R2059" s="10">
        <f t="shared" si="87"/>
        <v>0</v>
      </c>
      <c r="S2059" s="19">
        <f>0.138*Q2059</f>
        <v>0</v>
      </c>
      <c r="T2059" s="20">
        <f>0.00035*Q2059</f>
        <v>0</v>
      </c>
      <c r="U2059" s="21"/>
      <c r="V2059" s="22" t="s">
        <v>8809</v>
      </c>
      <c r="W2059" s="22" t="s">
        <v>49</v>
      </c>
      <c r="X2059" s="3" t="s">
        <v>8791</v>
      </c>
      <c r="Y2059" s="3" t="s">
        <v>8810</v>
      </c>
      <c r="Z2059" s="3" t="s">
        <v>384</v>
      </c>
      <c r="AA2059" s="3"/>
      <c r="AB2059" s="3"/>
      <c r="AC2059" s="3" t="str">
        <f>HYPERLINK("https://knigipp.ru/api/getInfo/image/a823dbb8-8fd4-11f0-a284-00155d82e908")</f>
        <v>https://knigipp.ru/api/getInfo/image/a823dbb8-8fd4-11f0-a284-00155d82e908</v>
      </c>
      <c r="AD2059" s="32">
        <v>128</v>
      </c>
      <c r="AE2059" s="3" t="s">
        <v>2372</v>
      </c>
      <c r="AF2059" s="3" t="s">
        <v>55</v>
      </c>
      <c r="AG2059" s="3"/>
      <c r="AH2059" s="3" t="s">
        <v>56</v>
      </c>
      <c r="AI2059" s="3"/>
      <c r="AJ2059" s="3"/>
      <c r="AK2059" s="3" t="str">
        <f>HYPERLINK("https://knigipp.ru/api/getInfo/item/a823dbb8-8fd4-11f0-a284-00155d82e908")</f>
        <v>https://knigipp.ru/api/getInfo/item/a823dbb8-8fd4-11f0-a284-00155d82e908</v>
      </c>
      <c r="AL2059" s="3" t="s">
        <v>8785</v>
      </c>
    </row>
    <row r="2060" spans="1:38" ht="23.1" customHeight="1" outlineLevel="3" x14ac:dyDescent="0.2">
      <c r="A2060" s="48" t="s">
        <v>8811</v>
      </c>
      <c r="B2060" s="48"/>
      <c r="C2060" s="48"/>
      <c r="D2060" s="48"/>
      <c r="E2060" s="48"/>
      <c r="F2060" s="48"/>
    </row>
    <row r="2061" spans="1:38" ht="21" customHeight="1" outlineLevel="4" x14ac:dyDescent="0.2">
      <c r="A2061" s="39">
        <v>1578</v>
      </c>
      <c r="B2061" s="3" t="s">
        <v>8812</v>
      </c>
      <c r="C2061" s="49" t="s">
        <v>8813</v>
      </c>
      <c r="D2061" s="49"/>
      <c r="E2061" s="49"/>
      <c r="F2061" s="49"/>
      <c r="G2061" s="4" t="s">
        <v>8814</v>
      </c>
      <c r="H2061" s="8"/>
      <c r="I2061" s="9" t="s">
        <v>8815</v>
      </c>
      <c r="J2061" s="10"/>
      <c r="K2061" s="11">
        <v>20</v>
      </c>
      <c r="L2061" s="10"/>
      <c r="M2061" s="10" t="s">
        <v>47</v>
      </c>
      <c r="N2061" s="10"/>
      <c r="O2061" s="2">
        <v>2</v>
      </c>
      <c r="P2061" s="17">
        <f>299*(1-S3/100)</f>
        <v>299</v>
      </c>
      <c r="Q2061" s="18"/>
      <c r="R2061" s="10">
        <f>P2061*Q2061</f>
        <v>0</v>
      </c>
      <c r="S2061" s="19">
        <f>0.298*Q2061</f>
        <v>0</v>
      </c>
      <c r="T2061" s="20">
        <f>0.00047*Q2061</f>
        <v>0</v>
      </c>
      <c r="U2061" s="21"/>
      <c r="V2061" s="22" t="s">
        <v>8816</v>
      </c>
      <c r="W2061" s="22" t="s">
        <v>49</v>
      </c>
      <c r="X2061" s="3" t="s">
        <v>8817</v>
      </c>
      <c r="Y2061" s="3" t="s">
        <v>8818</v>
      </c>
      <c r="Z2061" s="3" t="s">
        <v>52</v>
      </c>
      <c r="AA2061" s="3"/>
      <c r="AB2061" s="3"/>
      <c r="AC2061" s="3" t="str">
        <f>HYPERLINK("https://knigipp.ru/api/getInfo/image/237f53bb-3063-11ee-a23e-00155d82e902")</f>
        <v>https://knigipp.ru/api/getInfo/image/237f53bb-3063-11ee-a23e-00155d82e902</v>
      </c>
      <c r="AD2061" s="32">
        <v>144</v>
      </c>
      <c r="AE2061" s="3" t="s">
        <v>481</v>
      </c>
      <c r="AF2061" s="3" t="s">
        <v>127</v>
      </c>
      <c r="AG2061" s="3"/>
      <c r="AH2061" s="3" t="s">
        <v>56</v>
      </c>
      <c r="AI2061" s="3"/>
      <c r="AJ2061" s="3"/>
      <c r="AK2061" s="3" t="str">
        <f>HYPERLINK("https://knigipp.ru/api/getInfo/item/237f53bb-3063-11ee-a23e-00155d82e902")</f>
        <v>https://knigipp.ru/api/getInfo/item/237f53bb-3063-11ee-a23e-00155d82e902</v>
      </c>
      <c r="AL2061" s="3" t="s">
        <v>8819</v>
      </c>
    </row>
    <row r="2062" spans="1:38" ht="21" customHeight="1" outlineLevel="4" x14ac:dyDescent="0.2">
      <c r="A2062" s="39">
        <v>1579</v>
      </c>
      <c r="B2062" s="3" t="s">
        <v>8820</v>
      </c>
      <c r="C2062" s="49" t="s">
        <v>8821</v>
      </c>
      <c r="D2062" s="49"/>
      <c r="E2062" s="49"/>
      <c r="F2062" s="49"/>
      <c r="G2062" s="4" t="s">
        <v>8822</v>
      </c>
      <c r="H2062" s="8"/>
      <c r="I2062" s="9" t="s">
        <v>8823</v>
      </c>
      <c r="J2062" s="10"/>
      <c r="K2062" s="11">
        <v>20</v>
      </c>
      <c r="L2062" s="10"/>
      <c r="M2062" s="10" t="s">
        <v>47</v>
      </c>
      <c r="N2062" s="10"/>
      <c r="O2062" s="2">
        <v>3</v>
      </c>
      <c r="P2062" s="17">
        <f>249*(1-S3/100)</f>
        <v>249</v>
      </c>
      <c r="Q2062" s="18"/>
      <c r="R2062" s="10">
        <f>P2062*Q2062</f>
        <v>0</v>
      </c>
      <c r="S2062" s="19">
        <f>0.194*Q2062</f>
        <v>0</v>
      </c>
      <c r="T2062" s="20">
        <f>0.00033*Q2062</f>
        <v>0</v>
      </c>
      <c r="U2062" s="21"/>
      <c r="V2062" s="22" t="s">
        <v>8824</v>
      </c>
      <c r="W2062" s="22" t="s">
        <v>49</v>
      </c>
      <c r="X2062" s="3" t="s">
        <v>8825</v>
      </c>
      <c r="Y2062" s="3" t="s">
        <v>8826</v>
      </c>
      <c r="Z2062" s="3" t="s">
        <v>52</v>
      </c>
      <c r="AA2062" s="3"/>
      <c r="AB2062" s="3"/>
      <c r="AC2062" s="3" t="str">
        <f>HYPERLINK("https://knigipp.ru/api/getInfo/image/fff447a0-d7cd-11ee-a25a-00155d82e908")</f>
        <v>https://knigipp.ru/api/getInfo/image/fff447a0-d7cd-11ee-a25a-00155d82e908</v>
      </c>
      <c r="AD2062" s="32">
        <v>80</v>
      </c>
      <c r="AE2062" s="3" t="s">
        <v>481</v>
      </c>
      <c r="AF2062" s="3" t="s">
        <v>127</v>
      </c>
      <c r="AG2062" s="3"/>
      <c r="AH2062" s="3" t="s">
        <v>56</v>
      </c>
      <c r="AI2062" s="3"/>
      <c r="AJ2062" s="3"/>
      <c r="AK2062" s="3" t="str">
        <f>HYPERLINK("https://knigipp.ru/api/getInfo/item/fff447a0-d7cd-11ee-a25a-00155d82e908")</f>
        <v>https://knigipp.ru/api/getInfo/item/fff447a0-d7cd-11ee-a25a-00155d82e908</v>
      </c>
      <c r="AL2062" s="3" t="s">
        <v>8827</v>
      </c>
    </row>
    <row r="2063" spans="1:38" ht="21" customHeight="1" outlineLevel="4" x14ac:dyDescent="0.2">
      <c r="A2063" s="39">
        <v>1580</v>
      </c>
      <c r="B2063" s="3" t="s">
        <v>8828</v>
      </c>
      <c r="C2063" s="49" t="s">
        <v>8829</v>
      </c>
      <c r="D2063" s="49"/>
      <c r="E2063" s="49"/>
      <c r="F2063" s="49"/>
      <c r="G2063" s="4" t="s">
        <v>8830</v>
      </c>
      <c r="H2063" s="8"/>
      <c r="I2063" s="9" t="s">
        <v>8831</v>
      </c>
      <c r="J2063" s="10"/>
      <c r="K2063" s="11">
        <v>20</v>
      </c>
      <c r="L2063" s="10"/>
      <c r="M2063" s="10" t="s">
        <v>47</v>
      </c>
      <c r="N2063" s="10"/>
      <c r="O2063" s="2">
        <v>3</v>
      </c>
      <c r="P2063" s="17">
        <f>249*(1-S3/100)</f>
        <v>249</v>
      </c>
      <c r="Q2063" s="18"/>
      <c r="R2063" s="10">
        <f>P2063*Q2063</f>
        <v>0</v>
      </c>
      <c r="S2063" s="10">
        <v>0</v>
      </c>
      <c r="T2063" s="10">
        <v>0</v>
      </c>
      <c r="U2063" s="21"/>
      <c r="V2063" s="22" t="s">
        <v>8832</v>
      </c>
      <c r="W2063" s="22" t="s">
        <v>49</v>
      </c>
      <c r="X2063" s="3" t="s">
        <v>8825</v>
      </c>
      <c r="Y2063" s="3" t="s">
        <v>8833</v>
      </c>
      <c r="Z2063" s="3" t="s">
        <v>52</v>
      </c>
      <c r="AA2063" s="3"/>
      <c r="AB2063" s="3"/>
      <c r="AC2063" s="3" t="str">
        <f>HYPERLINK("https://knigipp.ru/api/getInfo/image/65bb9f24-4d4c-11ee-a244-00155d82e902")</f>
        <v>https://knigipp.ru/api/getInfo/image/65bb9f24-4d4c-11ee-a244-00155d82e902</v>
      </c>
      <c r="AD2063" s="32">
        <v>96</v>
      </c>
      <c r="AE2063" s="3" t="s">
        <v>481</v>
      </c>
      <c r="AF2063" s="3" t="s">
        <v>127</v>
      </c>
      <c r="AG2063" s="3"/>
      <c r="AH2063" s="3" t="s">
        <v>56</v>
      </c>
      <c r="AI2063" s="3"/>
      <c r="AJ2063" s="3"/>
      <c r="AK2063" s="3" t="str">
        <f>HYPERLINK("https://knigipp.ru/api/getInfo/item/65bb9f24-4d4c-11ee-a244-00155d82e902")</f>
        <v>https://knigipp.ru/api/getInfo/item/65bb9f24-4d4c-11ee-a244-00155d82e902</v>
      </c>
      <c r="AL2063" s="3" t="s">
        <v>8827</v>
      </c>
    </row>
    <row r="2064" spans="1:38" ht="23.1" customHeight="1" outlineLevel="3" x14ac:dyDescent="0.2">
      <c r="A2064" s="48" t="s">
        <v>8834</v>
      </c>
      <c r="B2064" s="48"/>
      <c r="C2064" s="48"/>
      <c r="D2064" s="48"/>
      <c r="E2064" s="48"/>
      <c r="F2064" s="48"/>
    </row>
    <row r="2065" spans="1:38" ht="21" customHeight="1" outlineLevel="4" x14ac:dyDescent="0.2">
      <c r="A2065" s="39">
        <v>1581</v>
      </c>
      <c r="B2065" s="3" t="s">
        <v>8835</v>
      </c>
      <c r="C2065" s="49" t="s">
        <v>8836</v>
      </c>
      <c r="D2065" s="49"/>
      <c r="E2065" s="49"/>
      <c r="F2065" s="49"/>
      <c r="G2065" s="4" t="s">
        <v>8837</v>
      </c>
      <c r="H2065" s="8"/>
      <c r="I2065" s="9" t="s">
        <v>8773</v>
      </c>
      <c r="J2065" s="10"/>
      <c r="K2065" s="11">
        <v>20</v>
      </c>
      <c r="L2065" s="10"/>
      <c r="M2065" s="10" t="s">
        <v>47</v>
      </c>
      <c r="N2065" s="10"/>
      <c r="O2065" s="2">
        <v>2</v>
      </c>
      <c r="P2065" s="17">
        <f>384*(1-S3/100)</f>
        <v>384</v>
      </c>
      <c r="Q2065" s="18"/>
      <c r="R2065" s="10">
        <f t="shared" ref="R2065:R2077" si="88">P2065*Q2065</f>
        <v>0</v>
      </c>
      <c r="S2065" s="19">
        <f>0.328*Q2065</f>
        <v>0</v>
      </c>
      <c r="T2065" s="20">
        <f>0.00046*Q2065</f>
        <v>0</v>
      </c>
      <c r="U2065" s="21"/>
      <c r="V2065" s="22" t="s">
        <v>8838</v>
      </c>
      <c r="W2065" s="22" t="s">
        <v>49</v>
      </c>
      <c r="X2065" s="3" t="s">
        <v>8751</v>
      </c>
      <c r="Y2065" s="3" t="s">
        <v>8839</v>
      </c>
      <c r="Z2065" s="3" t="s">
        <v>384</v>
      </c>
      <c r="AA2065" s="3"/>
      <c r="AB2065" s="3"/>
      <c r="AC2065" s="3" t="str">
        <f>HYPERLINK("https://knigipp.ru/api/getInfo/image/d74cb13f-513a-11ed-a21d-ac1f6b442185")</f>
        <v>https://knigipp.ru/api/getInfo/image/d74cb13f-513a-11ed-a21d-ac1f6b442185</v>
      </c>
      <c r="AD2065" s="32">
        <v>128</v>
      </c>
      <c r="AE2065" s="3" t="s">
        <v>54</v>
      </c>
      <c r="AF2065" s="3" t="s">
        <v>127</v>
      </c>
      <c r="AG2065" s="3"/>
      <c r="AH2065" s="3" t="s">
        <v>56</v>
      </c>
      <c r="AI2065" s="3"/>
      <c r="AJ2065" s="3"/>
      <c r="AK2065" s="3" t="str">
        <f>HYPERLINK("https://knigipp.ru/api/getInfo/item/d74cb13f-513a-11ed-a21d-ac1f6b442185")</f>
        <v>https://knigipp.ru/api/getInfo/item/d74cb13f-513a-11ed-a21d-ac1f6b442185</v>
      </c>
      <c r="AL2065" s="3" t="s">
        <v>8840</v>
      </c>
    </row>
    <row r="2066" spans="1:38" ht="21" customHeight="1" outlineLevel="4" x14ac:dyDescent="0.2">
      <c r="A2066" s="39">
        <v>1582</v>
      </c>
      <c r="B2066" s="3" t="s">
        <v>8841</v>
      </c>
      <c r="C2066" s="49" t="s">
        <v>8842</v>
      </c>
      <c r="D2066" s="49"/>
      <c r="E2066" s="49"/>
      <c r="F2066" s="49"/>
      <c r="G2066" s="4" t="s">
        <v>8843</v>
      </c>
      <c r="H2066" s="8"/>
      <c r="I2066" s="9" t="s">
        <v>8844</v>
      </c>
      <c r="J2066" s="10"/>
      <c r="K2066" s="11">
        <v>20</v>
      </c>
      <c r="L2066" s="10"/>
      <c r="M2066" s="10" t="s">
        <v>47</v>
      </c>
      <c r="N2066" s="10"/>
      <c r="O2066" s="2">
        <v>2</v>
      </c>
      <c r="P2066" s="17">
        <f>357*(1-S3/100)</f>
        <v>357</v>
      </c>
      <c r="Q2066" s="18"/>
      <c r="R2066" s="10">
        <f t="shared" si="88"/>
        <v>0</v>
      </c>
      <c r="S2066" s="28">
        <f>0.27*Q2066</f>
        <v>0</v>
      </c>
      <c r="T2066" s="20">
        <f>0.00044*Q2066</f>
        <v>0</v>
      </c>
      <c r="U2066" s="21"/>
      <c r="V2066" s="22" t="s">
        <v>8845</v>
      </c>
      <c r="W2066" s="22" t="s">
        <v>49</v>
      </c>
      <c r="X2066" s="3" t="s">
        <v>8783</v>
      </c>
      <c r="Y2066" s="3" t="s">
        <v>8846</v>
      </c>
      <c r="Z2066" s="3" t="s">
        <v>384</v>
      </c>
      <c r="AA2066" s="3"/>
      <c r="AB2066" s="3"/>
      <c r="AC2066" s="3" t="str">
        <f>HYPERLINK("https://knigipp.ru/api/getInfo/image/9bef203b-3557-11ef-a261-00155d82e908")</f>
        <v>https://knigipp.ru/api/getInfo/image/9bef203b-3557-11ef-a261-00155d82e908</v>
      </c>
      <c r="AD2066" s="32">
        <v>96</v>
      </c>
      <c r="AE2066" s="3" t="s">
        <v>54</v>
      </c>
      <c r="AF2066" s="3" t="s">
        <v>127</v>
      </c>
      <c r="AG2066" s="3"/>
      <c r="AH2066" s="3" t="s">
        <v>56</v>
      </c>
      <c r="AI2066" s="3"/>
      <c r="AJ2066" s="3"/>
      <c r="AK2066" s="3" t="str">
        <f>HYPERLINK("https://knigipp.ru/api/getInfo/item/9bef203b-3557-11ef-a261-00155d82e908")</f>
        <v>https://knigipp.ru/api/getInfo/item/9bef203b-3557-11ef-a261-00155d82e908</v>
      </c>
      <c r="AL2066" s="3" t="s">
        <v>8840</v>
      </c>
    </row>
    <row r="2067" spans="1:38" ht="21" customHeight="1" outlineLevel="4" x14ac:dyDescent="0.2">
      <c r="A2067" s="39">
        <v>1583</v>
      </c>
      <c r="B2067" s="3" t="s">
        <v>8847</v>
      </c>
      <c r="C2067" s="49" t="s">
        <v>8848</v>
      </c>
      <c r="D2067" s="49"/>
      <c r="E2067" s="49"/>
      <c r="F2067" s="49"/>
      <c r="G2067" s="4" t="s">
        <v>8849</v>
      </c>
      <c r="H2067" s="8"/>
      <c r="I2067" s="9" t="s">
        <v>8850</v>
      </c>
      <c r="J2067" s="10"/>
      <c r="K2067" s="11">
        <v>20</v>
      </c>
      <c r="L2067" s="10"/>
      <c r="M2067" s="10" t="s">
        <v>47</v>
      </c>
      <c r="N2067" s="10"/>
      <c r="O2067" s="2">
        <v>2</v>
      </c>
      <c r="P2067" s="17">
        <f>384*(1-S3/100)</f>
        <v>384</v>
      </c>
      <c r="Q2067" s="18"/>
      <c r="R2067" s="10">
        <f t="shared" si="88"/>
        <v>0</v>
      </c>
      <c r="S2067" s="19">
        <f>0.301*Q2067</f>
        <v>0</v>
      </c>
      <c r="T2067" s="20">
        <f>0.00058*Q2067</f>
        <v>0</v>
      </c>
      <c r="U2067" s="21"/>
      <c r="V2067" s="22" t="s">
        <v>8851</v>
      </c>
      <c r="W2067" s="22" t="s">
        <v>49</v>
      </c>
      <c r="X2067" s="3" t="s">
        <v>8852</v>
      </c>
      <c r="Y2067" s="3" t="s">
        <v>8853</v>
      </c>
      <c r="Z2067" s="3" t="s">
        <v>384</v>
      </c>
      <c r="AA2067" s="3"/>
      <c r="AB2067" s="3"/>
      <c r="AC2067" s="3" t="str">
        <f>HYPERLINK("https://knigipp.ru/api/getInfo/image/44daf266-513b-11ed-a21d-ac1f6b442185")</f>
        <v>https://knigipp.ru/api/getInfo/image/44daf266-513b-11ed-a21d-ac1f6b442185</v>
      </c>
      <c r="AD2067" s="32">
        <v>128</v>
      </c>
      <c r="AE2067" s="3" t="s">
        <v>54</v>
      </c>
      <c r="AF2067" s="3" t="s">
        <v>127</v>
      </c>
      <c r="AG2067" s="3"/>
      <c r="AH2067" s="3" t="s">
        <v>56</v>
      </c>
      <c r="AI2067" s="3"/>
      <c r="AJ2067" s="3"/>
      <c r="AK2067" s="3" t="str">
        <f>HYPERLINK("https://knigipp.ru/api/getInfo/item/44daf266-513b-11ed-a21d-ac1f6b442185")</f>
        <v>https://knigipp.ru/api/getInfo/item/44daf266-513b-11ed-a21d-ac1f6b442185</v>
      </c>
      <c r="AL2067" s="3" t="s">
        <v>8840</v>
      </c>
    </row>
    <row r="2068" spans="1:38" ht="21" customHeight="1" outlineLevel="4" x14ac:dyDescent="0.2">
      <c r="A2068" s="39">
        <v>1584</v>
      </c>
      <c r="B2068" s="3" t="s">
        <v>8854</v>
      </c>
      <c r="C2068" s="49" t="s">
        <v>8855</v>
      </c>
      <c r="D2068" s="49"/>
      <c r="E2068" s="49"/>
      <c r="F2068" s="49"/>
      <c r="G2068" s="4" t="s">
        <v>8856</v>
      </c>
      <c r="H2068" s="8"/>
      <c r="I2068" s="9" t="s">
        <v>8857</v>
      </c>
      <c r="J2068" s="10"/>
      <c r="K2068" s="11">
        <v>20</v>
      </c>
      <c r="L2068" s="10"/>
      <c r="M2068" s="10" t="s">
        <v>47</v>
      </c>
      <c r="N2068" s="10"/>
      <c r="O2068" s="2">
        <v>2</v>
      </c>
      <c r="P2068" s="17">
        <f>357*(1-S3/100)</f>
        <v>357</v>
      </c>
      <c r="Q2068" s="18"/>
      <c r="R2068" s="10">
        <f t="shared" si="88"/>
        <v>0</v>
      </c>
      <c r="S2068" s="19">
        <f>0.265*Q2068</f>
        <v>0</v>
      </c>
      <c r="T2068" s="20">
        <f>0.00031*Q2068</f>
        <v>0</v>
      </c>
      <c r="U2068" s="21"/>
      <c r="V2068" s="22" t="s">
        <v>8858</v>
      </c>
      <c r="W2068" s="22" t="s">
        <v>49</v>
      </c>
      <c r="X2068" s="3" t="s">
        <v>8751</v>
      </c>
      <c r="Y2068" s="3" t="s">
        <v>8859</v>
      </c>
      <c r="Z2068" s="3" t="s">
        <v>52</v>
      </c>
      <c r="AA2068" s="3"/>
      <c r="AB2068" s="3"/>
      <c r="AC2068" s="3" t="str">
        <f>HYPERLINK("https://knigipp.ru/api/getInfo/image/4fcfa28d-3a2d-11f0-a27c-00155d82e908")</f>
        <v>https://knigipp.ru/api/getInfo/image/4fcfa28d-3a2d-11f0-a27c-00155d82e908</v>
      </c>
      <c r="AD2068" s="32">
        <v>96</v>
      </c>
      <c r="AE2068" s="3" t="s">
        <v>54</v>
      </c>
      <c r="AF2068" s="3" t="s">
        <v>127</v>
      </c>
      <c r="AG2068" s="3"/>
      <c r="AH2068" s="3" t="s">
        <v>56</v>
      </c>
      <c r="AI2068" s="3"/>
      <c r="AJ2068" s="3"/>
      <c r="AK2068" s="3" t="str">
        <f>HYPERLINK("https://knigipp.ru/api/getInfo/item/4fcfa28d-3a2d-11f0-a27c-00155d82e908")</f>
        <v>https://knigipp.ru/api/getInfo/item/4fcfa28d-3a2d-11f0-a27c-00155d82e908</v>
      </c>
      <c r="AL2068" s="3" t="s">
        <v>8567</v>
      </c>
    </row>
    <row r="2069" spans="1:38" ht="21" customHeight="1" outlineLevel="4" x14ac:dyDescent="0.2">
      <c r="A2069" s="39">
        <v>1585</v>
      </c>
      <c r="B2069" s="3" t="s">
        <v>8860</v>
      </c>
      <c r="C2069" s="49" t="s">
        <v>8861</v>
      </c>
      <c r="D2069" s="49"/>
      <c r="E2069" s="49"/>
      <c r="F2069" s="49"/>
      <c r="G2069" s="4" t="s">
        <v>8862</v>
      </c>
      <c r="H2069" s="8"/>
      <c r="I2069" s="9" t="s">
        <v>8863</v>
      </c>
      <c r="J2069" s="10"/>
      <c r="K2069" s="11">
        <v>20</v>
      </c>
      <c r="L2069" s="10"/>
      <c r="M2069" s="10" t="s">
        <v>47</v>
      </c>
      <c r="N2069" s="10"/>
      <c r="O2069" s="2">
        <v>2</v>
      </c>
      <c r="P2069" s="17">
        <f>384*(1-S3/100)</f>
        <v>384</v>
      </c>
      <c r="Q2069" s="18"/>
      <c r="R2069" s="10">
        <f t="shared" si="88"/>
        <v>0</v>
      </c>
      <c r="S2069" s="19">
        <f>0.327*Q2069</f>
        <v>0</v>
      </c>
      <c r="T2069" s="20">
        <f>0.00043*Q2069</f>
        <v>0</v>
      </c>
      <c r="U2069" s="21"/>
      <c r="V2069" s="22" t="s">
        <v>8864</v>
      </c>
      <c r="W2069" s="22" t="s">
        <v>49</v>
      </c>
      <c r="X2069" s="3" t="s">
        <v>8751</v>
      </c>
      <c r="Y2069" s="3" t="s">
        <v>8865</v>
      </c>
      <c r="Z2069" s="3" t="s">
        <v>384</v>
      </c>
      <c r="AA2069" s="3"/>
      <c r="AB2069" s="3"/>
      <c r="AC2069" s="3" t="str">
        <f>HYPERLINK("https://knigipp.ru/api/getInfo/image/ffa44383-fdd6-11f0-a28e-00155d82e908")</f>
        <v>https://knigipp.ru/api/getInfo/image/ffa44383-fdd6-11f0-a28e-00155d82e908</v>
      </c>
      <c r="AD2069" s="32">
        <v>128</v>
      </c>
      <c r="AE2069" s="3" t="s">
        <v>54</v>
      </c>
      <c r="AF2069" s="3" t="s">
        <v>127</v>
      </c>
      <c r="AG2069" s="3"/>
      <c r="AH2069" s="3" t="s">
        <v>56</v>
      </c>
      <c r="AI2069" s="3"/>
      <c r="AJ2069" s="3"/>
      <c r="AK2069" s="3" t="str">
        <f>HYPERLINK("https://knigipp.ru/api/getInfo/item/ffa44383-fdd6-11f0-a28e-00155d82e908")</f>
        <v>https://knigipp.ru/api/getInfo/item/ffa44383-fdd6-11f0-a28e-00155d82e908</v>
      </c>
      <c r="AL2069" s="3" t="s">
        <v>8866</v>
      </c>
    </row>
    <row r="2070" spans="1:38" ht="21" customHeight="1" outlineLevel="4" x14ac:dyDescent="0.2">
      <c r="A2070" s="39">
        <v>1586</v>
      </c>
      <c r="B2070" s="3" t="s">
        <v>8867</v>
      </c>
      <c r="C2070" s="49" t="s">
        <v>8868</v>
      </c>
      <c r="D2070" s="49"/>
      <c r="E2070" s="49"/>
      <c r="F2070" s="49"/>
      <c r="G2070" s="4" t="s">
        <v>8869</v>
      </c>
      <c r="H2070" s="8"/>
      <c r="I2070" s="9" t="s">
        <v>8870</v>
      </c>
      <c r="J2070" s="10"/>
      <c r="K2070" s="11">
        <v>20</v>
      </c>
      <c r="L2070" s="10"/>
      <c r="M2070" s="10" t="s">
        <v>47</v>
      </c>
      <c r="N2070" s="10"/>
      <c r="O2070" s="2">
        <v>2</v>
      </c>
      <c r="P2070" s="17">
        <f>357*(1-S3/100)</f>
        <v>357</v>
      </c>
      <c r="Q2070" s="18"/>
      <c r="R2070" s="10">
        <f t="shared" si="88"/>
        <v>0</v>
      </c>
      <c r="S2070" s="28">
        <f>0.27*Q2070</f>
        <v>0</v>
      </c>
      <c r="T2070" s="20">
        <f>0.00044*Q2070</f>
        <v>0</v>
      </c>
      <c r="U2070" s="21"/>
      <c r="V2070" s="22" t="s">
        <v>8871</v>
      </c>
      <c r="W2070" s="22" t="s">
        <v>49</v>
      </c>
      <c r="X2070" s="3" t="s">
        <v>8751</v>
      </c>
      <c r="Y2070" s="3" t="s">
        <v>8872</v>
      </c>
      <c r="Z2070" s="3" t="s">
        <v>384</v>
      </c>
      <c r="AA2070" s="3"/>
      <c r="AB2070" s="3"/>
      <c r="AC2070" s="3" t="str">
        <f>HYPERLINK("https://knigipp.ru/api/getInfo/image/6a4e9228-9dfd-11f0-a285-00155d82e908")</f>
        <v>https://knigipp.ru/api/getInfo/image/6a4e9228-9dfd-11f0-a285-00155d82e908</v>
      </c>
      <c r="AD2070" s="32">
        <v>96</v>
      </c>
      <c r="AE2070" s="3" t="s">
        <v>54</v>
      </c>
      <c r="AF2070" s="3" t="s">
        <v>127</v>
      </c>
      <c r="AG2070" s="3"/>
      <c r="AH2070" s="3" t="s">
        <v>56</v>
      </c>
      <c r="AI2070" s="3"/>
      <c r="AJ2070" s="3"/>
      <c r="AK2070" s="3" t="str">
        <f>HYPERLINK("https://knigipp.ru/api/getInfo/item/6a4e9228-9dfd-11f0-a285-00155d82e908")</f>
        <v>https://knigipp.ru/api/getInfo/item/6a4e9228-9dfd-11f0-a285-00155d82e908</v>
      </c>
      <c r="AL2070" s="3" t="s">
        <v>185</v>
      </c>
    </row>
    <row r="2071" spans="1:38" ht="21" customHeight="1" outlineLevel="4" x14ac:dyDescent="0.2">
      <c r="A2071" s="39">
        <v>1587</v>
      </c>
      <c r="B2071" s="3" t="s">
        <v>8873</v>
      </c>
      <c r="C2071" s="49" t="s">
        <v>8874</v>
      </c>
      <c r="D2071" s="49"/>
      <c r="E2071" s="49"/>
      <c r="F2071" s="49"/>
      <c r="G2071" s="4" t="s">
        <v>8875</v>
      </c>
      <c r="H2071" s="8"/>
      <c r="I2071" s="9" t="s">
        <v>8876</v>
      </c>
      <c r="J2071" s="10"/>
      <c r="K2071" s="11">
        <v>20</v>
      </c>
      <c r="L2071" s="10"/>
      <c r="M2071" s="10" t="s">
        <v>47</v>
      </c>
      <c r="N2071" s="10"/>
      <c r="O2071" s="2">
        <v>2</v>
      </c>
      <c r="P2071" s="17">
        <f>357*(1-S3/100)</f>
        <v>357</v>
      </c>
      <c r="Q2071" s="18"/>
      <c r="R2071" s="10">
        <f t="shared" si="88"/>
        <v>0</v>
      </c>
      <c r="S2071" s="19">
        <f>0.262*Q2071</f>
        <v>0</v>
      </c>
      <c r="T2071" s="20">
        <f>0.00047*Q2071</f>
        <v>0</v>
      </c>
      <c r="U2071" s="21"/>
      <c r="V2071" s="22" t="s">
        <v>8877</v>
      </c>
      <c r="W2071" s="22" t="s">
        <v>49</v>
      </c>
      <c r="X2071" s="3" t="s">
        <v>8751</v>
      </c>
      <c r="Y2071" s="3" t="s">
        <v>8878</v>
      </c>
      <c r="Z2071" s="3" t="s">
        <v>384</v>
      </c>
      <c r="AA2071" s="3" t="s">
        <v>8879</v>
      </c>
      <c r="AB2071" s="3"/>
      <c r="AC2071" s="3" t="str">
        <f>HYPERLINK("https://knigipp.ru/api/getInfo/image/898c1592-991e-11ef-a267-00155d82e908")</f>
        <v>https://knigipp.ru/api/getInfo/image/898c1592-991e-11ef-a267-00155d82e908</v>
      </c>
      <c r="AD2071" s="32">
        <v>96</v>
      </c>
      <c r="AE2071" s="3" t="s">
        <v>54</v>
      </c>
      <c r="AF2071" s="3" t="s">
        <v>127</v>
      </c>
      <c r="AG2071" s="3"/>
      <c r="AH2071" s="3" t="s">
        <v>56</v>
      </c>
      <c r="AI2071" s="3"/>
      <c r="AJ2071" s="3"/>
      <c r="AK2071" s="3" t="str">
        <f>HYPERLINK("https://knigipp.ru/api/getInfo/item/898c1592-991e-11ef-a267-00155d82e908")</f>
        <v>https://knigipp.ru/api/getInfo/item/898c1592-991e-11ef-a267-00155d82e908</v>
      </c>
      <c r="AL2071" s="3" t="s">
        <v>8567</v>
      </c>
    </row>
    <row r="2072" spans="1:38" ht="21" customHeight="1" outlineLevel="4" x14ac:dyDescent="0.2">
      <c r="A2072" s="39">
        <v>1588</v>
      </c>
      <c r="B2072" s="3" t="s">
        <v>8880</v>
      </c>
      <c r="C2072" s="49" t="s">
        <v>8881</v>
      </c>
      <c r="D2072" s="49"/>
      <c r="E2072" s="49"/>
      <c r="F2072" s="49"/>
      <c r="G2072" s="4" t="s">
        <v>8882</v>
      </c>
      <c r="H2072" s="8"/>
      <c r="I2072" s="9" t="s">
        <v>8883</v>
      </c>
      <c r="J2072" s="10"/>
      <c r="K2072" s="11">
        <v>20</v>
      </c>
      <c r="L2072" s="10"/>
      <c r="M2072" s="10" t="s">
        <v>47</v>
      </c>
      <c r="N2072" s="10"/>
      <c r="O2072" s="2">
        <v>2</v>
      </c>
      <c r="P2072" s="17">
        <f>384*(1-S3/100)</f>
        <v>384</v>
      </c>
      <c r="Q2072" s="18"/>
      <c r="R2072" s="10">
        <f t="shared" si="88"/>
        <v>0</v>
      </c>
      <c r="S2072" s="19">
        <f>0.325*Q2072</f>
        <v>0</v>
      </c>
      <c r="T2072" s="20">
        <f>0.00047*Q2072</f>
        <v>0</v>
      </c>
      <c r="U2072" s="21"/>
      <c r="V2072" s="22" t="s">
        <v>8884</v>
      </c>
      <c r="W2072" s="22" t="s">
        <v>49</v>
      </c>
      <c r="X2072" s="3" t="s">
        <v>8885</v>
      </c>
      <c r="Y2072" s="3" t="s">
        <v>8886</v>
      </c>
      <c r="Z2072" s="3" t="s">
        <v>384</v>
      </c>
      <c r="AA2072" s="3"/>
      <c r="AB2072" s="3"/>
      <c r="AC2072" s="3" t="str">
        <f>HYPERLINK("https://knigipp.ru/api/getInfo/image/94fb8b98-513b-11ed-a21d-ac1f6b442185")</f>
        <v>https://knigipp.ru/api/getInfo/image/94fb8b98-513b-11ed-a21d-ac1f6b442185</v>
      </c>
      <c r="AD2072" s="32">
        <v>128</v>
      </c>
      <c r="AE2072" s="3" t="s">
        <v>54</v>
      </c>
      <c r="AF2072" s="3" t="s">
        <v>127</v>
      </c>
      <c r="AG2072" s="3"/>
      <c r="AH2072" s="3" t="s">
        <v>56</v>
      </c>
      <c r="AI2072" s="3"/>
      <c r="AJ2072" s="3"/>
      <c r="AK2072" s="3" t="str">
        <f>HYPERLINK("https://knigipp.ru/api/getInfo/item/94fb8b98-513b-11ed-a21d-ac1f6b442185")</f>
        <v>https://knigipp.ru/api/getInfo/item/94fb8b98-513b-11ed-a21d-ac1f6b442185</v>
      </c>
      <c r="AL2072" s="3" t="s">
        <v>8840</v>
      </c>
    </row>
    <row r="2073" spans="1:38" ht="21" customHeight="1" outlineLevel="4" x14ac:dyDescent="0.2">
      <c r="A2073" s="39">
        <v>1589</v>
      </c>
      <c r="B2073" s="3" t="s">
        <v>8887</v>
      </c>
      <c r="C2073" s="49" t="s">
        <v>8888</v>
      </c>
      <c r="D2073" s="49"/>
      <c r="E2073" s="49"/>
      <c r="F2073" s="49"/>
      <c r="G2073" s="4" t="s">
        <v>8889</v>
      </c>
      <c r="H2073" s="8"/>
      <c r="I2073" s="9" t="s">
        <v>8890</v>
      </c>
      <c r="J2073" s="10"/>
      <c r="K2073" s="11">
        <v>20</v>
      </c>
      <c r="L2073" s="10"/>
      <c r="M2073" s="10" t="s">
        <v>47</v>
      </c>
      <c r="N2073" s="10"/>
      <c r="O2073" s="2">
        <v>2</v>
      </c>
      <c r="P2073" s="17">
        <f>384*(1-S3/100)</f>
        <v>384</v>
      </c>
      <c r="Q2073" s="18"/>
      <c r="R2073" s="10">
        <f t="shared" si="88"/>
        <v>0</v>
      </c>
      <c r="S2073" s="19">
        <f>0.324*Q2073</f>
        <v>0</v>
      </c>
      <c r="T2073" s="20">
        <f>0.00055*Q2073</f>
        <v>0</v>
      </c>
      <c r="U2073" s="21"/>
      <c r="V2073" s="22" t="s">
        <v>8891</v>
      </c>
      <c r="W2073" s="22" t="s">
        <v>49</v>
      </c>
      <c r="X2073" s="3" t="s">
        <v>8751</v>
      </c>
      <c r="Y2073" s="3" t="s">
        <v>8892</v>
      </c>
      <c r="Z2073" s="3" t="s">
        <v>384</v>
      </c>
      <c r="AA2073" s="3" t="s">
        <v>2784</v>
      </c>
      <c r="AB2073" s="3"/>
      <c r="AC2073" s="3" t="str">
        <f>HYPERLINK("https://knigipp.ru/api/getInfo/image/a8ae5be0-66a2-11ee-a245-00155d82e902")</f>
        <v>https://knigipp.ru/api/getInfo/image/a8ae5be0-66a2-11ee-a245-00155d82e902</v>
      </c>
      <c r="AD2073" s="32">
        <v>128</v>
      </c>
      <c r="AE2073" s="3" t="s">
        <v>54</v>
      </c>
      <c r="AF2073" s="3" t="s">
        <v>127</v>
      </c>
      <c r="AG2073" s="3"/>
      <c r="AH2073" s="3" t="s">
        <v>56</v>
      </c>
      <c r="AI2073" s="3"/>
      <c r="AJ2073" s="3"/>
      <c r="AK2073" s="3" t="str">
        <f>HYPERLINK("https://knigipp.ru/api/getInfo/item/a8ae5be0-66a2-11ee-a245-00155d82e902")</f>
        <v>https://knigipp.ru/api/getInfo/item/a8ae5be0-66a2-11ee-a245-00155d82e902</v>
      </c>
      <c r="AL2073" s="3" t="s">
        <v>8840</v>
      </c>
    </row>
    <row r="2074" spans="1:38" ht="21" customHeight="1" outlineLevel="4" x14ac:dyDescent="0.2">
      <c r="A2074" s="39">
        <v>1590</v>
      </c>
      <c r="B2074" s="3" t="s">
        <v>8893</v>
      </c>
      <c r="C2074" s="49" t="s">
        <v>8894</v>
      </c>
      <c r="D2074" s="49"/>
      <c r="E2074" s="49"/>
      <c r="F2074" s="49"/>
      <c r="G2074" s="4" t="s">
        <v>8895</v>
      </c>
      <c r="H2074" s="8"/>
      <c r="I2074" s="9" t="s">
        <v>8896</v>
      </c>
      <c r="J2074" s="10"/>
      <c r="K2074" s="11">
        <v>20</v>
      </c>
      <c r="L2074" s="10"/>
      <c r="M2074" s="10" t="s">
        <v>47</v>
      </c>
      <c r="N2074" s="10"/>
      <c r="O2074" s="2">
        <v>2</v>
      </c>
      <c r="P2074" s="17">
        <f>384*(1-S3/100)</f>
        <v>384</v>
      </c>
      <c r="Q2074" s="18"/>
      <c r="R2074" s="10">
        <f t="shared" si="88"/>
        <v>0</v>
      </c>
      <c r="S2074" s="19">
        <f>0.301*Q2074</f>
        <v>0</v>
      </c>
      <c r="T2074" s="20">
        <f>0.00048*Q2074</f>
        <v>0</v>
      </c>
      <c r="U2074" s="21"/>
      <c r="V2074" s="22" t="s">
        <v>8897</v>
      </c>
      <c r="W2074" s="22" t="s">
        <v>49</v>
      </c>
      <c r="X2074" s="3" t="s">
        <v>8898</v>
      </c>
      <c r="Y2074" s="3" t="s">
        <v>8899</v>
      </c>
      <c r="Z2074" s="3" t="s">
        <v>384</v>
      </c>
      <c r="AA2074" s="3"/>
      <c r="AB2074" s="3"/>
      <c r="AC2074" s="3" t="str">
        <f>HYPERLINK("https://knigipp.ru/api/getInfo/image/465e5210-24c2-11ef-a25f-00155d82e908")</f>
        <v>https://knigipp.ru/api/getInfo/image/465e5210-24c2-11ef-a25f-00155d82e908</v>
      </c>
      <c r="AD2074" s="32">
        <v>128</v>
      </c>
      <c r="AE2074" s="3" t="s">
        <v>54</v>
      </c>
      <c r="AF2074" s="3" t="s">
        <v>127</v>
      </c>
      <c r="AG2074" s="3"/>
      <c r="AH2074" s="3" t="s">
        <v>56</v>
      </c>
      <c r="AI2074" s="3"/>
      <c r="AJ2074" s="3"/>
      <c r="AK2074" s="3" t="str">
        <f>HYPERLINK("https://knigipp.ru/api/getInfo/item/465e5210-24c2-11ef-a25f-00155d82e908")</f>
        <v>https://knigipp.ru/api/getInfo/item/465e5210-24c2-11ef-a25f-00155d82e908</v>
      </c>
      <c r="AL2074" s="3" t="s">
        <v>8840</v>
      </c>
    </row>
    <row r="2075" spans="1:38" ht="21" customHeight="1" outlineLevel="4" x14ac:dyDescent="0.2">
      <c r="A2075" s="39">
        <v>1591</v>
      </c>
      <c r="B2075" s="3" t="s">
        <v>8900</v>
      </c>
      <c r="C2075" s="49" t="s">
        <v>8901</v>
      </c>
      <c r="D2075" s="49"/>
      <c r="E2075" s="49"/>
      <c r="F2075" s="49"/>
      <c r="G2075" s="4" t="s">
        <v>8902</v>
      </c>
      <c r="H2075" s="8"/>
      <c r="I2075" s="9" t="s">
        <v>8802</v>
      </c>
      <c r="J2075" s="10"/>
      <c r="K2075" s="11">
        <v>20</v>
      </c>
      <c r="L2075" s="10"/>
      <c r="M2075" s="10" t="s">
        <v>47</v>
      </c>
      <c r="N2075" s="10"/>
      <c r="O2075" s="2">
        <v>2</v>
      </c>
      <c r="P2075" s="17">
        <f>384*(1-S3/100)</f>
        <v>384</v>
      </c>
      <c r="Q2075" s="18"/>
      <c r="R2075" s="10">
        <f t="shared" si="88"/>
        <v>0</v>
      </c>
      <c r="S2075" s="19">
        <f>0.323*Q2075</f>
        <v>0</v>
      </c>
      <c r="T2075" s="20">
        <f>0.00051*Q2075</f>
        <v>0</v>
      </c>
      <c r="U2075" s="21"/>
      <c r="V2075" s="22" t="s">
        <v>8903</v>
      </c>
      <c r="W2075" s="22" t="s">
        <v>49</v>
      </c>
      <c r="X2075" s="3" t="s">
        <v>8751</v>
      </c>
      <c r="Y2075" s="3" t="s">
        <v>8904</v>
      </c>
      <c r="Z2075" s="3" t="s">
        <v>384</v>
      </c>
      <c r="AA2075" s="3"/>
      <c r="AB2075" s="3"/>
      <c r="AC2075" s="3" t="str">
        <f>HYPERLINK("https://knigipp.ru/api/getInfo/image/e6a0c87d-c4f8-11ef-a268-00155d82e908")</f>
        <v>https://knigipp.ru/api/getInfo/image/e6a0c87d-c4f8-11ef-a268-00155d82e908</v>
      </c>
      <c r="AD2075" s="32">
        <v>128</v>
      </c>
      <c r="AE2075" s="3" t="s">
        <v>54</v>
      </c>
      <c r="AF2075" s="3" t="s">
        <v>127</v>
      </c>
      <c r="AG2075" s="3"/>
      <c r="AH2075" s="3" t="s">
        <v>56</v>
      </c>
      <c r="AI2075" s="3"/>
      <c r="AJ2075" s="3"/>
      <c r="AK2075" s="3" t="str">
        <f>HYPERLINK("https://knigipp.ru/api/getInfo/item/e6a0c87d-c4f8-11ef-a268-00155d82e908")</f>
        <v>https://knigipp.ru/api/getInfo/item/e6a0c87d-c4f8-11ef-a268-00155d82e908</v>
      </c>
      <c r="AL2075" s="3" t="s">
        <v>8866</v>
      </c>
    </row>
    <row r="2076" spans="1:38" ht="21" customHeight="1" outlineLevel="4" x14ac:dyDescent="0.2">
      <c r="A2076" s="40">
        <v>1592</v>
      </c>
      <c r="B2076" s="6" t="s">
        <v>8905</v>
      </c>
      <c r="C2076" s="54" t="s">
        <v>8906</v>
      </c>
      <c r="D2076" s="54"/>
      <c r="E2076" s="54"/>
      <c r="F2076" s="54"/>
      <c r="G2076" s="7" t="s">
        <v>8907</v>
      </c>
      <c r="H2076" s="12"/>
      <c r="I2076" s="13" t="s">
        <v>8908</v>
      </c>
      <c r="J2076" s="14"/>
      <c r="K2076" s="15">
        <v>20</v>
      </c>
      <c r="L2076" s="14"/>
      <c r="M2076" s="14" t="s">
        <v>47</v>
      </c>
      <c r="N2076" s="14"/>
      <c r="O2076" s="5">
        <v>2</v>
      </c>
      <c r="P2076" s="23">
        <f>384*(1-S3/100)</f>
        <v>384</v>
      </c>
      <c r="Q2076" s="18"/>
      <c r="R2076" s="14">
        <f t="shared" si="88"/>
        <v>0</v>
      </c>
      <c r="S2076" s="24">
        <f>0.318*Q2076</f>
        <v>0</v>
      </c>
      <c r="T2076" s="25">
        <f>0.00043*Q2076</f>
        <v>0</v>
      </c>
      <c r="U2076" s="26" t="s">
        <v>62</v>
      </c>
      <c r="V2076" s="27" t="s">
        <v>8909</v>
      </c>
      <c r="W2076" s="27" t="s">
        <v>49</v>
      </c>
      <c r="X2076" s="6" t="s">
        <v>8751</v>
      </c>
      <c r="Y2076" s="6"/>
      <c r="Z2076" s="6" t="s">
        <v>384</v>
      </c>
      <c r="AA2076" s="6"/>
      <c r="AB2076" s="6"/>
      <c r="AC2076" s="6" t="str">
        <f>HYPERLINK("https://knigipp.ru/api/getInfo/image/fcb5fa93-5b65-11f1-a295-00155d82e908")</f>
        <v>https://knigipp.ru/api/getInfo/image/fcb5fa93-5b65-11f1-a295-00155d82e908</v>
      </c>
      <c r="AD2076" s="33">
        <v>128</v>
      </c>
      <c r="AE2076" s="6" t="s">
        <v>54</v>
      </c>
      <c r="AF2076" s="6" t="s">
        <v>127</v>
      </c>
      <c r="AG2076" s="6"/>
      <c r="AH2076" s="6" t="s">
        <v>56</v>
      </c>
      <c r="AI2076" s="6"/>
      <c r="AJ2076" s="6"/>
      <c r="AK2076" s="6" t="str">
        <f>HYPERLINK("https://knigipp.ru/api/getInfo/item/fcb5fa93-5b65-11f1-a295-00155d82e908")</f>
        <v>https://knigipp.ru/api/getInfo/item/fcb5fa93-5b65-11f1-a295-00155d82e908</v>
      </c>
      <c r="AL2076" s="6" t="s">
        <v>2597</v>
      </c>
    </row>
    <row r="2077" spans="1:38" ht="21" customHeight="1" outlineLevel="4" x14ac:dyDescent="0.2">
      <c r="A2077" s="40">
        <v>1593</v>
      </c>
      <c r="B2077" s="6" t="s">
        <v>8910</v>
      </c>
      <c r="C2077" s="54" t="s">
        <v>8911</v>
      </c>
      <c r="D2077" s="54"/>
      <c r="E2077" s="54"/>
      <c r="F2077" s="54"/>
      <c r="G2077" s="7" t="s">
        <v>8912</v>
      </c>
      <c r="H2077" s="12"/>
      <c r="I2077" s="13" t="s">
        <v>8913</v>
      </c>
      <c r="J2077" s="14"/>
      <c r="K2077" s="15">
        <v>20</v>
      </c>
      <c r="L2077" s="14"/>
      <c r="M2077" s="14" t="s">
        <v>47</v>
      </c>
      <c r="N2077" s="14"/>
      <c r="O2077" s="5">
        <v>2</v>
      </c>
      <c r="P2077" s="23">
        <f>384*(1-S3/100)</f>
        <v>384</v>
      </c>
      <c r="Q2077" s="18"/>
      <c r="R2077" s="14">
        <f t="shared" si="88"/>
        <v>0</v>
      </c>
      <c r="S2077" s="24">
        <f>0.348*Q2077</f>
        <v>0</v>
      </c>
      <c r="T2077" s="25">
        <f>0.00043*Q2077</f>
        <v>0</v>
      </c>
      <c r="U2077" s="26" t="s">
        <v>62</v>
      </c>
      <c r="V2077" s="27" t="s">
        <v>8914</v>
      </c>
      <c r="W2077" s="27" t="s">
        <v>49</v>
      </c>
      <c r="X2077" s="6" t="s">
        <v>8791</v>
      </c>
      <c r="Y2077" s="6"/>
      <c r="Z2077" s="6" t="s">
        <v>384</v>
      </c>
      <c r="AA2077" s="6"/>
      <c r="AB2077" s="6"/>
      <c r="AC2077" s="6" t="str">
        <f>HYPERLINK("https://knigipp.ru/api/getInfo/image/aba42897-5b65-11f1-a295-00155d82e908")</f>
        <v>https://knigipp.ru/api/getInfo/image/aba42897-5b65-11f1-a295-00155d82e908</v>
      </c>
      <c r="AD2077" s="33">
        <v>144</v>
      </c>
      <c r="AE2077" s="6" t="s">
        <v>54</v>
      </c>
      <c r="AF2077" s="6" t="s">
        <v>127</v>
      </c>
      <c r="AG2077" s="6"/>
      <c r="AH2077" s="6" t="s">
        <v>56</v>
      </c>
      <c r="AI2077" s="6"/>
      <c r="AJ2077" s="6"/>
      <c r="AK2077" s="6" t="str">
        <f>HYPERLINK("https://knigipp.ru/api/getInfo/item/aba42897-5b65-11f1-a295-00155d82e908")</f>
        <v>https://knigipp.ru/api/getInfo/item/aba42897-5b65-11f1-a295-00155d82e908</v>
      </c>
      <c r="AL2077" s="6" t="s">
        <v>2234</v>
      </c>
    </row>
    <row r="2078" spans="1:38" ht="23.1" customHeight="1" outlineLevel="3" x14ac:dyDescent="0.2">
      <c r="A2078" s="48" t="s">
        <v>8915</v>
      </c>
      <c r="B2078" s="48"/>
      <c r="C2078" s="48"/>
      <c r="D2078" s="48"/>
      <c r="E2078" s="48"/>
      <c r="F2078" s="48"/>
    </row>
    <row r="2079" spans="1:38" ht="21" customHeight="1" outlineLevel="4" x14ac:dyDescent="0.2">
      <c r="A2079" s="39">
        <v>1594</v>
      </c>
      <c r="B2079" s="3" t="s">
        <v>8916</v>
      </c>
      <c r="C2079" s="49" t="s">
        <v>8917</v>
      </c>
      <c r="D2079" s="49"/>
      <c r="E2079" s="49"/>
      <c r="F2079" s="49"/>
      <c r="G2079" s="4" t="s">
        <v>8918</v>
      </c>
      <c r="H2079" s="8"/>
      <c r="I2079" s="9" t="s">
        <v>8919</v>
      </c>
      <c r="J2079" s="10"/>
      <c r="K2079" s="11">
        <v>10</v>
      </c>
      <c r="L2079" s="10"/>
      <c r="M2079" s="10" t="s">
        <v>47</v>
      </c>
      <c r="N2079" s="10"/>
      <c r="O2079" s="2">
        <v>2</v>
      </c>
      <c r="P2079" s="17">
        <f>487*(1-S3/100)</f>
        <v>487</v>
      </c>
      <c r="Q2079" s="18"/>
      <c r="R2079" s="10">
        <f t="shared" ref="R2079:R2088" si="89">P2079*Q2079</f>
        <v>0</v>
      </c>
      <c r="S2079" s="19">
        <f>0.055*Q2079</f>
        <v>0</v>
      </c>
      <c r="T2079" s="30">
        <f>0.0004*Q2079</f>
        <v>0</v>
      </c>
      <c r="U2079" s="21"/>
      <c r="V2079" s="22" t="s">
        <v>8920</v>
      </c>
      <c r="W2079" s="22" t="s">
        <v>49</v>
      </c>
      <c r="X2079" s="3" t="s">
        <v>8921</v>
      </c>
      <c r="Y2079" s="3" t="s">
        <v>8922</v>
      </c>
      <c r="Z2079" s="3" t="s">
        <v>52</v>
      </c>
      <c r="AA2079" s="3"/>
      <c r="AB2079" s="3"/>
      <c r="AC2079" s="3" t="str">
        <f>HYPERLINK("https://knigipp.ru/api/getInfo/image/fb920a8c-f5d4-11ef-a274-00155d82e908")</f>
        <v>https://knigipp.ru/api/getInfo/image/fb920a8c-f5d4-11ef-a274-00155d82e908</v>
      </c>
      <c r="AD2079" s="32">
        <v>144</v>
      </c>
      <c r="AE2079" s="3" t="s">
        <v>481</v>
      </c>
      <c r="AF2079" s="3" t="s">
        <v>127</v>
      </c>
      <c r="AG2079" s="3"/>
      <c r="AH2079" s="3" t="s">
        <v>56</v>
      </c>
      <c r="AI2079" s="3"/>
      <c r="AJ2079" s="3"/>
      <c r="AK2079" s="3" t="str">
        <f>HYPERLINK("https://knigipp.ru/api/getInfo/item/fb920a8c-f5d4-11ef-a274-00155d82e908")</f>
        <v>https://knigipp.ru/api/getInfo/item/fb920a8c-f5d4-11ef-a274-00155d82e908</v>
      </c>
      <c r="AL2079" s="3" t="s">
        <v>8923</v>
      </c>
    </row>
    <row r="2080" spans="1:38" ht="21" customHeight="1" outlineLevel="4" x14ac:dyDescent="0.2">
      <c r="A2080" s="40">
        <v>1595</v>
      </c>
      <c r="B2080" s="6" t="s">
        <v>8924</v>
      </c>
      <c r="C2080" s="54" t="s">
        <v>8925</v>
      </c>
      <c r="D2080" s="54"/>
      <c r="E2080" s="54"/>
      <c r="F2080" s="54"/>
      <c r="G2080" s="7" t="s">
        <v>8926</v>
      </c>
      <c r="H2080" s="12"/>
      <c r="I2080" s="13" t="s">
        <v>8927</v>
      </c>
      <c r="J2080" s="14"/>
      <c r="K2080" s="15">
        <v>10</v>
      </c>
      <c r="L2080" s="14"/>
      <c r="M2080" s="14" t="s">
        <v>47</v>
      </c>
      <c r="N2080" s="14"/>
      <c r="O2080" s="5">
        <v>1</v>
      </c>
      <c r="P2080" s="23">
        <f>537*(1-S3/100)</f>
        <v>537</v>
      </c>
      <c r="Q2080" s="18"/>
      <c r="R2080" s="14">
        <f t="shared" si="89"/>
        <v>0</v>
      </c>
      <c r="S2080" s="24">
        <f>0.088*Q2080</f>
        <v>0</v>
      </c>
      <c r="T2080" s="25">
        <f>0.00054*Q2080</f>
        <v>0</v>
      </c>
      <c r="U2080" s="26" t="s">
        <v>62</v>
      </c>
      <c r="V2080" s="27" t="s">
        <v>8928</v>
      </c>
      <c r="W2080" s="27" t="s">
        <v>49</v>
      </c>
      <c r="X2080" s="6" t="s">
        <v>8929</v>
      </c>
      <c r="Y2080" s="6" t="s">
        <v>8930</v>
      </c>
      <c r="Z2080" s="6" t="s">
        <v>384</v>
      </c>
      <c r="AA2080" s="6"/>
      <c r="AB2080" s="6"/>
      <c r="AC2080" s="6" t="str">
        <f>HYPERLINK("https://knigipp.ru/api/getInfo/image/34fe6007-479c-11f1-a294-00155d82e908")</f>
        <v>https://knigipp.ru/api/getInfo/image/34fe6007-479c-11f1-a294-00155d82e908</v>
      </c>
      <c r="AD2080" s="33">
        <v>144</v>
      </c>
      <c r="AE2080" s="6" t="s">
        <v>65</v>
      </c>
      <c r="AF2080" s="6" t="s">
        <v>127</v>
      </c>
      <c r="AG2080" s="6"/>
      <c r="AH2080" s="6" t="s">
        <v>56</v>
      </c>
      <c r="AI2080" s="6"/>
      <c r="AJ2080" s="6"/>
      <c r="AK2080" s="6" t="str">
        <f>HYPERLINK("https://knigipp.ru/api/getInfo/item/34fe6007-479c-11f1-a294-00155d82e908")</f>
        <v>https://knigipp.ru/api/getInfo/item/34fe6007-479c-11f1-a294-00155d82e908</v>
      </c>
      <c r="AL2080" s="6" t="s">
        <v>8931</v>
      </c>
    </row>
    <row r="2081" spans="1:38" ht="21" customHeight="1" outlineLevel="4" x14ac:dyDescent="0.2">
      <c r="A2081" s="39">
        <v>1596</v>
      </c>
      <c r="B2081" s="3" t="s">
        <v>8932</v>
      </c>
      <c r="C2081" s="49" t="s">
        <v>8933</v>
      </c>
      <c r="D2081" s="49"/>
      <c r="E2081" s="49"/>
      <c r="F2081" s="49"/>
      <c r="G2081" s="4" t="s">
        <v>8934</v>
      </c>
      <c r="H2081" s="8"/>
      <c r="I2081" s="9" t="s">
        <v>8935</v>
      </c>
      <c r="J2081" s="10"/>
      <c r="K2081" s="11">
        <v>10</v>
      </c>
      <c r="L2081" s="10"/>
      <c r="M2081" s="10" t="s">
        <v>47</v>
      </c>
      <c r="N2081" s="10"/>
      <c r="O2081" s="2">
        <v>2</v>
      </c>
      <c r="P2081" s="17">
        <f>387*(1-S3/100)</f>
        <v>387</v>
      </c>
      <c r="Q2081" s="18"/>
      <c r="R2081" s="10">
        <f t="shared" si="89"/>
        <v>0</v>
      </c>
      <c r="S2081" s="19">
        <f>0.218*Q2081</f>
        <v>0</v>
      </c>
      <c r="T2081" s="20">
        <f>0.00037*Q2081</f>
        <v>0</v>
      </c>
      <c r="U2081" s="21"/>
      <c r="V2081" s="22" t="s">
        <v>8936</v>
      </c>
      <c r="W2081" s="22" t="s">
        <v>49</v>
      </c>
      <c r="X2081" s="3" t="s">
        <v>50</v>
      </c>
      <c r="Y2081" s="3" t="s">
        <v>8937</v>
      </c>
      <c r="Z2081" s="3" t="s">
        <v>52</v>
      </c>
      <c r="AA2081" s="3"/>
      <c r="AB2081" s="3"/>
      <c r="AC2081" s="3" t="str">
        <f>HYPERLINK("https://knigipp.ru/api/getInfo/image/6f71a844-9046-11ee-a250-00155d82e908")</f>
        <v>https://knigipp.ru/api/getInfo/image/6f71a844-9046-11ee-a250-00155d82e908</v>
      </c>
      <c r="AD2081" s="32">
        <v>80</v>
      </c>
      <c r="AE2081" s="3" t="s">
        <v>54</v>
      </c>
      <c r="AF2081" s="3" t="s">
        <v>127</v>
      </c>
      <c r="AG2081" s="3"/>
      <c r="AH2081" s="3" t="s">
        <v>56</v>
      </c>
      <c r="AI2081" s="3"/>
      <c r="AJ2081" s="3"/>
      <c r="AK2081" s="3" t="str">
        <f>HYPERLINK("https://knigipp.ru/api/getInfo/item/6f71a844-9046-11ee-a250-00155d82e908")</f>
        <v>https://knigipp.ru/api/getInfo/item/6f71a844-9046-11ee-a250-00155d82e908</v>
      </c>
      <c r="AL2081" s="3" t="s">
        <v>8938</v>
      </c>
    </row>
    <row r="2082" spans="1:38" ht="21" customHeight="1" outlineLevel="4" x14ac:dyDescent="0.2">
      <c r="A2082" s="39">
        <v>1597</v>
      </c>
      <c r="B2082" s="3" t="s">
        <v>8939</v>
      </c>
      <c r="C2082" s="49" t="s">
        <v>8940</v>
      </c>
      <c r="D2082" s="49"/>
      <c r="E2082" s="49"/>
      <c r="F2082" s="49"/>
      <c r="G2082" s="4" t="s">
        <v>8941</v>
      </c>
      <c r="H2082" s="8"/>
      <c r="I2082" s="9" t="s">
        <v>8942</v>
      </c>
      <c r="J2082" s="10"/>
      <c r="K2082" s="11">
        <v>20</v>
      </c>
      <c r="L2082" s="10"/>
      <c r="M2082" s="10" t="s">
        <v>47</v>
      </c>
      <c r="N2082" s="10"/>
      <c r="O2082" s="2">
        <v>2</v>
      </c>
      <c r="P2082" s="17">
        <f>442*(1-S3/100)</f>
        <v>442</v>
      </c>
      <c r="Q2082" s="18"/>
      <c r="R2082" s="10">
        <f t="shared" si="89"/>
        <v>0</v>
      </c>
      <c r="S2082" s="19">
        <f>0.168*Q2082</f>
        <v>0</v>
      </c>
      <c r="T2082" s="20">
        <f>0.00029*Q2082</f>
        <v>0</v>
      </c>
      <c r="U2082" s="21"/>
      <c r="V2082" s="22" t="s">
        <v>8943</v>
      </c>
      <c r="W2082" s="22" t="s">
        <v>49</v>
      </c>
      <c r="X2082" s="3" t="s">
        <v>8944</v>
      </c>
      <c r="Y2082" s="3" t="s">
        <v>8945</v>
      </c>
      <c r="Z2082" s="3" t="s">
        <v>52</v>
      </c>
      <c r="AA2082" s="3" t="s">
        <v>2727</v>
      </c>
      <c r="AB2082" s="3"/>
      <c r="AC2082" s="3" t="str">
        <f>HYPERLINK("https://knigipp.ru/api/getInfo/image/a48aa5ed-978e-11ef-a267-00155d82e908")</f>
        <v>https://knigipp.ru/api/getInfo/image/a48aa5ed-978e-11ef-a267-00155d82e908</v>
      </c>
      <c r="AD2082" s="32">
        <v>192</v>
      </c>
      <c r="AE2082" s="3" t="s">
        <v>54</v>
      </c>
      <c r="AF2082" s="3" t="s">
        <v>127</v>
      </c>
      <c r="AG2082" s="3"/>
      <c r="AH2082" s="3" t="s">
        <v>56</v>
      </c>
      <c r="AI2082" s="3"/>
      <c r="AJ2082" s="3"/>
      <c r="AK2082" s="3" t="str">
        <f>HYPERLINK("https://knigipp.ru/api/getInfo/item/a48aa5ed-978e-11ef-a267-00155d82e908")</f>
        <v>https://knigipp.ru/api/getInfo/item/a48aa5ed-978e-11ef-a267-00155d82e908</v>
      </c>
      <c r="AL2082" s="3" t="s">
        <v>8946</v>
      </c>
    </row>
    <row r="2083" spans="1:38" ht="21" customHeight="1" outlineLevel="4" x14ac:dyDescent="0.2">
      <c r="A2083" s="39">
        <v>1598</v>
      </c>
      <c r="B2083" s="3" t="s">
        <v>8947</v>
      </c>
      <c r="C2083" s="49" t="s">
        <v>8948</v>
      </c>
      <c r="D2083" s="49"/>
      <c r="E2083" s="49"/>
      <c r="F2083" s="49"/>
      <c r="G2083" s="4" t="s">
        <v>8949</v>
      </c>
      <c r="H2083" s="8"/>
      <c r="I2083" s="9" t="s">
        <v>8950</v>
      </c>
      <c r="J2083" s="10"/>
      <c r="K2083" s="11">
        <v>10</v>
      </c>
      <c r="L2083" s="10"/>
      <c r="M2083" s="10" t="s">
        <v>47</v>
      </c>
      <c r="N2083" s="10"/>
      <c r="O2083" s="2">
        <v>1</v>
      </c>
      <c r="P2083" s="17">
        <f>537*(1-S3/100)</f>
        <v>537</v>
      </c>
      <c r="Q2083" s="18"/>
      <c r="R2083" s="10">
        <f t="shared" si="89"/>
        <v>0</v>
      </c>
      <c r="S2083" s="19">
        <f>0.353*Q2083</f>
        <v>0</v>
      </c>
      <c r="T2083" s="20">
        <f>0.00065*Q2083</f>
        <v>0</v>
      </c>
      <c r="U2083" s="21"/>
      <c r="V2083" s="22" t="s">
        <v>8951</v>
      </c>
      <c r="W2083" s="22" t="s">
        <v>49</v>
      </c>
      <c r="X2083" s="3" t="s">
        <v>8767</v>
      </c>
      <c r="Y2083" s="3" t="s">
        <v>8952</v>
      </c>
      <c r="Z2083" s="3" t="s">
        <v>52</v>
      </c>
      <c r="AA2083" s="3"/>
      <c r="AB2083" s="3"/>
      <c r="AC2083" s="3" t="str">
        <f>HYPERLINK("https://knigipp.ru/api/getInfo/image/b50952b9-fdd5-11f0-a28e-00155d82e908")</f>
        <v>https://knigipp.ru/api/getInfo/image/b50952b9-fdd5-11f0-a28e-00155d82e908</v>
      </c>
      <c r="AD2083" s="32">
        <v>208</v>
      </c>
      <c r="AE2083" s="3" t="s">
        <v>54</v>
      </c>
      <c r="AF2083" s="3" t="s">
        <v>127</v>
      </c>
      <c r="AG2083" s="3"/>
      <c r="AH2083" s="3" t="s">
        <v>56</v>
      </c>
      <c r="AI2083" s="3"/>
      <c r="AJ2083" s="3"/>
      <c r="AK2083" s="3" t="str">
        <f>HYPERLINK("https://knigipp.ru/api/getInfo/item/b50952b9-fdd5-11f0-a28e-00155d82e908")</f>
        <v>https://knigipp.ru/api/getInfo/item/b50952b9-fdd5-11f0-a28e-00155d82e908</v>
      </c>
      <c r="AL2083" s="3" t="s">
        <v>8953</v>
      </c>
    </row>
    <row r="2084" spans="1:38" ht="21" customHeight="1" outlineLevel="4" x14ac:dyDescent="0.2">
      <c r="A2084" s="39">
        <v>1599</v>
      </c>
      <c r="B2084" s="3" t="s">
        <v>8954</v>
      </c>
      <c r="C2084" s="49" t="s">
        <v>8955</v>
      </c>
      <c r="D2084" s="49"/>
      <c r="E2084" s="49"/>
      <c r="F2084" s="49"/>
      <c r="G2084" s="4" t="s">
        <v>8956</v>
      </c>
      <c r="H2084" s="8"/>
      <c r="I2084" s="9" t="s">
        <v>8957</v>
      </c>
      <c r="J2084" s="10"/>
      <c r="K2084" s="11">
        <v>10</v>
      </c>
      <c r="L2084" s="10"/>
      <c r="M2084" s="10" t="s">
        <v>47</v>
      </c>
      <c r="N2084" s="10"/>
      <c r="O2084" s="2">
        <v>2</v>
      </c>
      <c r="P2084" s="17">
        <f>477*(1-S3/100)</f>
        <v>477</v>
      </c>
      <c r="Q2084" s="18"/>
      <c r="R2084" s="10">
        <f t="shared" si="89"/>
        <v>0</v>
      </c>
      <c r="S2084" s="19">
        <f>0.189*Q2084</f>
        <v>0</v>
      </c>
      <c r="T2084" s="20">
        <f>0.00022*Q2084</f>
        <v>0</v>
      </c>
      <c r="U2084" s="21"/>
      <c r="V2084" s="22" t="s">
        <v>8958</v>
      </c>
      <c r="W2084" s="22" t="s">
        <v>49</v>
      </c>
      <c r="X2084" s="3" t="s">
        <v>1337</v>
      </c>
      <c r="Y2084" s="3" t="s">
        <v>8959</v>
      </c>
      <c r="Z2084" s="3" t="s">
        <v>52</v>
      </c>
      <c r="AA2084" s="3"/>
      <c r="AB2084" s="3"/>
      <c r="AC2084" s="3" t="str">
        <f>HYPERLINK("https://knigipp.ru/api/getInfo/image/89117056-f5d4-11ef-a274-00155d82e908")</f>
        <v>https://knigipp.ru/api/getInfo/image/89117056-f5d4-11ef-a274-00155d82e908</v>
      </c>
      <c r="AD2084" s="32">
        <v>80</v>
      </c>
      <c r="AE2084" s="3" t="s">
        <v>481</v>
      </c>
      <c r="AF2084" s="3" t="s">
        <v>127</v>
      </c>
      <c r="AG2084" s="3"/>
      <c r="AH2084" s="3" t="s">
        <v>56</v>
      </c>
      <c r="AI2084" s="3"/>
      <c r="AJ2084" s="3"/>
      <c r="AK2084" s="3" t="str">
        <f>HYPERLINK("https://knigipp.ru/api/getInfo/item/89117056-f5d4-11ef-a274-00155d82e908")</f>
        <v>https://knigipp.ru/api/getInfo/item/89117056-f5d4-11ef-a274-00155d82e908</v>
      </c>
      <c r="AL2084" s="3" t="s">
        <v>8960</v>
      </c>
    </row>
    <row r="2085" spans="1:38" ht="21" customHeight="1" outlineLevel="4" x14ac:dyDescent="0.2">
      <c r="A2085" s="40">
        <v>1600</v>
      </c>
      <c r="B2085" s="6" t="s">
        <v>8961</v>
      </c>
      <c r="C2085" s="54" t="s">
        <v>8962</v>
      </c>
      <c r="D2085" s="54"/>
      <c r="E2085" s="54"/>
      <c r="F2085" s="54"/>
      <c r="G2085" s="7" t="s">
        <v>8963</v>
      </c>
      <c r="H2085" s="12"/>
      <c r="I2085" s="13" t="s">
        <v>8964</v>
      </c>
      <c r="J2085" s="14"/>
      <c r="K2085" s="15">
        <v>10</v>
      </c>
      <c r="L2085" s="14"/>
      <c r="M2085" s="14" t="s">
        <v>47</v>
      </c>
      <c r="N2085" s="14"/>
      <c r="O2085" s="5">
        <v>1</v>
      </c>
      <c r="P2085" s="23">
        <f>447*(1-S3/100)</f>
        <v>447</v>
      </c>
      <c r="Q2085" s="18"/>
      <c r="R2085" s="14">
        <f t="shared" si="89"/>
        <v>0</v>
      </c>
      <c r="S2085" s="24">
        <f>0.298*Q2085</f>
        <v>0</v>
      </c>
      <c r="T2085" s="31">
        <f>0.0004*Q2085</f>
        <v>0</v>
      </c>
      <c r="U2085" s="26" t="s">
        <v>62</v>
      </c>
      <c r="V2085" s="27" t="s">
        <v>8965</v>
      </c>
      <c r="W2085" s="27" t="s">
        <v>49</v>
      </c>
      <c r="X2085" s="6" t="s">
        <v>337</v>
      </c>
      <c r="Y2085" s="6"/>
      <c r="Z2085" s="6" t="s">
        <v>52</v>
      </c>
      <c r="AA2085" s="6"/>
      <c r="AB2085" s="6"/>
      <c r="AC2085" s="6" t="str">
        <f>HYPERLINK("https://knigipp.ru/api/getInfo/image/9498660c-7489-11f1-a29a-00155d82e908")</f>
        <v>https://knigipp.ru/api/getInfo/image/9498660c-7489-11f1-a29a-00155d82e908</v>
      </c>
      <c r="AD2085" s="33">
        <v>160</v>
      </c>
      <c r="AE2085" s="6" t="s">
        <v>54</v>
      </c>
      <c r="AF2085" s="6" t="s">
        <v>127</v>
      </c>
      <c r="AG2085" s="6"/>
      <c r="AH2085" s="6" t="s">
        <v>56</v>
      </c>
      <c r="AI2085" s="6"/>
      <c r="AJ2085" s="6"/>
      <c r="AK2085" s="6" t="str">
        <f>HYPERLINK("https://knigipp.ru/api/getInfo/item/9498660c-7489-11f1-a29a-00155d82e908")</f>
        <v>https://knigipp.ru/api/getInfo/item/9498660c-7489-11f1-a29a-00155d82e908</v>
      </c>
      <c r="AL2085" s="6" t="s">
        <v>8966</v>
      </c>
    </row>
    <row r="2086" spans="1:38" ht="21" customHeight="1" outlineLevel="4" x14ac:dyDescent="0.2">
      <c r="A2086" s="39">
        <v>1601</v>
      </c>
      <c r="B2086" s="3" t="s">
        <v>8967</v>
      </c>
      <c r="C2086" s="49" t="s">
        <v>8968</v>
      </c>
      <c r="D2086" s="49"/>
      <c r="E2086" s="49"/>
      <c r="F2086" s="49"/>
      <c r="G2086" s="4" t="s">
        <v>8969</v>
      </c>
      <c r="H2086" s="8"/>
      <c r="I2086" s="9" t="s">
        <v>8970</v>
      </c>
      <c r="J2086" s="10"/>
      <c r="K2086" s="11">
        <v>10</v>
      </c>
      <c r="L2086" s="10"/>
      <c r="M2086" s="10" t="s">
        <v>47</v>
      </c>
      <c r="N2086" s="10"/>
      <c r="O2086" s="2">
        <v>1</v>
      </c>
      <c r="P2086" s="17">
        <f>887*(1-S3/100)</f>
        <v>887</v>
      </c>
      <c r="Q2086" s="18"/>
      <c r="R2086" s="10">
        <f t="shared" si="89"/>
        <v>0</v>
      </c>
      <c r="S2086" s="19">
        <f>0.362*Q2086</f>
        <v>0</v>
      </c>
      <c r="T2086" s="20">
        <f>0.00213*Q2086</f>
        <v>0</v>
      </c>
      <c r="U2086" s="21"/>
      <c r="V2086" s="22" t="s">
        <v>8971</v>
      </c>
      <c r="W2086" s="22" t="s">
        <v>49</v>
      </c>
      <c r="X2086" s="3" t="s">
        <v>8972</v>
      </c>
      <c r="Y2086" s="3" t="s">
        <v>8973</v>
      </c>
      <c r="Z2086" s="3" t="s">
        <v>52</v>
      </c>
      <c r="AA2086" s="3"/>
      <c r="AB2086" s="3"/>
      <c r="AC2086" s="3" t="str">
        <f>HYPERLINK("https://knigipp.ru/api/getInfo/image/b88ad24d-0e3d-11f0-a279-00155d82e908")</f>
        <v>https://knigipp.ru/api/getInfo/image/b88ad24d-0e3d-11f0-a279-00155d82e908</v>
      </c>
      <c r="AD2086" s="32">
        <v>208</v>
      </c>
      <c r="AE2086" s="3" t="s">
        <v>54</v>
      </c>
      <c r="AF2086" s="3" t="s">
        <v>127</v>
      </c>
      <c r="AG2086" s="3"/>
      <c r="AH2086" s="3" t="s">
        <v>56</v>
      </c>
      <c r="AI2086" s="3"/>
      <c r="AJ2086" s="3"/>
      <c r="AK2086" s="3" t="str">
        <f>HYPERLINK("https://knigipp.ru/api/getInfo/item/b88ad24d-0e3d-11f0-a279-00155d82e908")</f>
        <v>https://knigipp.ru/api/getInfo/item/b88ad24d-0e3d-11f0-a279-00155d82e908</v>
      </c>
      <c r="AL2086" s="3" t="s">
        <v>356</v>
      </c>
    </row>
    <row r="2087" spans="1:38" ht="21" customHeight="1" outlineLevel="4" x14ac:dyDescent="0.2">
      <c r="A2087" s="39">
        <v>1602</v>
      </c>
      <c r="B2087" s="3" t="s">
        <v>8974</v>
      </c>
      <c r="C2087" s="49" t="s">
        <v>8975</v>
      </c>
      <c r="D2087" s="49"/>
      <c r="E2087" s="49"/>
      <c r="F2087" s="49"/>
      <c r="G2087" s="4" t="s">
        <v>8976</v>
      </c>
      <c r="H2087" s="8"/>
      <c r="I2087" s="9" t="s">
        <v>8977</v>
      </c>
      <c r="J2087" s="10"/>
      <c r="K2087" s="11">
        <v>20</v>
      </c>
      <c r="L2087" s="10"/>
      <c r="M2087" s="10" t="s">
        <v>47</v>
      </c>
      <c r="N2087" s="10"/>
      <c r="O2087" s="2">
        <v>2</v>
      </c>
      <c r="P2087" s="17">
        <f>357*(1-S3/100)</f>
        <v>357</v>
      </c>
      <c r="Q2087" s="18"/>
      <c r="R2087" s="10">
        <f t="shared" si="89"/>
        <v>0</v>
      </c>
      <c r="S2087" s="19">
        <f>0.164*Q2087</f>
        <v>0</v>
      </c>
      <c r="T2087" s="20">
        <f>0.00012*Q2087</f>
        <v>0</v>
      </c>
      <c r="U2087" s="21"/>
      <c r="V2087" s="22" t="s">
        <v>8978</v>
      </c>
      <c r="W2087" s="22" t="s">
        <v>49</v>
      </c>
      <c r="X2087" s="3" t="s">
        <v>8979</v>
      </c>
      <c r="Y2087" s="3" t="s">
        <v>8980</v>
      </c>
      <c r="Z2087" s="3" t="s">
        <v>52</v>
      </c>
      <c r="AA2087" s="3"/>
      <c r="AB2087" s="3"/>
      <c r="AC2087" s="3" t="str">
        <f>HYPERLINK("https://knigipp.ru/api/getInfo/image/bf238339-978e-11ef-a267-00155d82e908")</f>
        <v>https://knigipp.ru/api/getInfo/image/bf238339-978e-11ef-a267-00155d82e908</v>
      </c>
      <c r="AD2087" s="32">
        <v>80</v>
      </c>
      <c r="AE2087" s="3" t="s">
        <v>54</v>
      </c>
      <c r="AF2087" s="3" t="s">
        <v>127</v>
      </c>
      <c r="AG2087" s="3"/>
      <c r="AH2087" s="3" t="s">
        <v>56</v>
      </c>
      <c r="AI2087" s="3"/>
      <c r="AJ2087" s="3"/>
      <c r="AK2087" s="3" t="str">
        <f>HYPERLINK("https://knigipp.ru/api/getInfo/item/bf238339-978e-11ef-a267-00155d82e908")</f>
        <v>https://knigipp.ru/api/getInfo/item/bf238339-978e-11ef-a267-00155d82e908</v>
      </c>
      <c r="AL2087" s="3" t="s">
        <v>8938</v>
      </c>
    </row>
    <row r="2088" spans="1:38" ht="21" customHeight="1" outlineLevel="4" x14ac:dyDescent="0.2">
      <c r="A2088" s="39">
        <v>1603</v>
      </c>
      <c r="B2088" s="3" t="s">
        <v>8981</v>
      </c>
      <c r="C2088" s="49" t="s">
        <v>8982</v>
      </c>
      <c r="D2088" s="49"/>
      <c r="E2088" s="49"/>
      <c r="F2088" s="49"/>
      <c r="G2088" s="4" t="s">
        <v>8983</v>
      </c>
      <c r="H2088" s="8"/>
      <c r="I2088" s="9" t="s">
        <v>8984</v>
      </c>
      <c r="J2088" s="10"/>
      <c r="K2088" s="11">
        <v>10</v>
      </c>
      <c r="L2088" s="10"/>
      <c r="M2088" s="10" t="s">
        <v>47</v>
      </c>
      <c r="N2088" s="10"/>
      <c r="O2088" s="2">
        <v>2</v>
      </c>
      <c r="P2088" s="17">
        <f>357*(1-S3/100)</f>
        <v>357</v>
      </c>
      <c r="Q2088" s="18"/>
      <c r="R2088" s="10">
        <f t="shared" si="89"/>
        <v>0</v>
      </c>
      <c r="S2088" s="19">
        <f>0.186*Q2088</f>
        <v>0</v>
      </c>
      <c r="T2088" s="20">
        <f>0.00031*Q2088</f>
        <v>0</v>
      </c>
      <c r="U2088" s="21"/>
      <c r="V2088" s="22" t="s">
        <v>8985</v>
      </c>
      <c r="W2088" s="22" t="s">
        <v>49</v>
      </c>
      <c r="X2088" s="3" t="s">
        <v>50</v>
      </c>
      <c r="Y2088" s="3" t="s">
        <v>8986</v>
      </c>
      <c r="Z2088" s="3" t="s">
        <v>52</v>
      </c>
      <c r="AA2088" s="3"/>
      <c r="AB2088" s="3"/>
      <c r="AC2088" s="3" t="str">
        <f>HYPERLINK("https://knigipp.ru/api/getInfo/image/d70bae29-9046-11ee-a250-00155d82e908")</f>
        <v>https://knigipp.ru/api/getInfo/image/d70bae29-9046-11ee-a250-00155d82e908</v>
      </c>
      <c r="AD2088" s="32">
        <v>80</v>
      </c>
      <c r="AE2088" s="3" t="s">
        <v>54</v>
      </c>
      <c r="AF2088" s="3" t="s">
        <v>127</v>
      </c>
      <c r="AG2088" s="3"/>
      <c r="AH2088" s="3" t="s">
        <v>56</v>
      </c>
      <c r="AI2088" s="3"/>
      <c r="AJ2088" s="3"/>
      <c r="AK2088" s="3" t="str">
        <f>HYPERLINK("https://knigipp.ru/api/getInfo/item/d70bae29-9046-11ee-a250-00155d82e908")</f>
        <v>https://knigipp.ru/api/getInfo/item/d70bae29-9046-11ee-a250-00155d82e908</v>
      </c>
      <c r="AL2088" s="3" t="s">
        <v>8987</v>
      </c>
    </row>
    <row r="2089" spans="1:38" ht="23.1" customHeight="1" outlineLevel="3" x14ac:dyDescent="0.2">
      <c r="A2089" s="48" t="s">
        <v>8988</v>
      </c>
      <c r="B2089" s="48"/>
      <c r="C2089" s="48"/>
      <c r="D2089" s="48"/>
      <c r="E2089" s="48"/>
      <c r="F2089" s="48"/>
    </row>
    <row r="2090" spans="1:38" ht="21" customHeight="1" outlineLevel="4" x14ac:dyDescent="0.2">
      <c r="A2090" s="39">
        <v>1604</v>
      </c>
      <c r="B2090" s="3" t="s">
        <v>8989</v>
      </c>
      <c r="C2090" s="49" t="s">
        <v>8990</v>
      </c>
      <c r="D2090" s="49"/>
      <c r="E2090" s="49"/>
      <c r="F2090" s="49"/>
      <c r="G2090" s="4" t="s">
        <v>8991</v>
      </c>
      <c r="H2090" s="8"/>
      <c r="I2090" s="9" t="s">
        <v>8992</v>
      </c>
      <c r="J2090" s="10"/>
      <c r="K2090" s="11">
        <v>10</v>
      </c>
      <c r="L2090" s="10"/>
      <c r="M2090" s="10" t="s">
        <v>47</v>
      </c>
      <c r="N2090" s="10"/>
      <c r="O2090" s="2">
        <v>1</v>
      </c>
      <c r="P2090" s="17">
        <f>597*(1-S3/100)</f>
        <v>597</v>
      </c>
      <c r="Q2090" s="18"/>
      <c r="R2090" s="10">
        <f>P2090*Q2090</f>
        <v>0</v>
      </c>
      <c r="S2090" s="19">
        <f>0.385*Q2090</f>
        <v>0</v>
      </c>
      <c r="T2090" s="20">
        <f>0.00043*Q2090</f>
        <v>0</v>
      </c>
      <c r="U2090" s="21"/>
      <c r="V2090" s="22" t="s">
        <v>8993</v>
      </c>
      <c r="W2090" s="22" t="s">
        <v>49</v>
      </c>
      <c r="X2090" s="3" t="s">
        <v>8994</v>
      </c>
      <c r="Y2090" s="3" t="s">
        <v>8995</v>
      </c>
      <c r="Z2090" s="3" t="s">
        <v>52</v>
      </c>
      <c r="AA2090" s="3"/>
      <c r="AB2090" s="3"/>
      <c r="AC2090" s="3" t="str">
        <f>HYPERLINK("https://knigipp.ru/api/getInfo/image/d5e9330e-25c0-11f0-a279-00155d82e908")</f>
        <v>https://knigipp.ru/api/getInfo/image/d5e9330e-25c0-11f0-a279-00155d82e908</v>
      </c>
      <c r="AD2090" s="32">
        <v>224</v>
      </c>
      <c r="AE2090" s="3" t="s">
        <v>692</v>
      </c>
      <c r="AF2090" s="3" t="s">
        <v>127</v>
      </c>
      <c r="AG2090" s="3"/>
      <c r="AH2090" s="3" t="s">
        <v>56</v>
      </c>
      <c r="AI2090" s="3"/>
      <c r="AJ2090" s="3"/>
      <c r="AK2090" s="3" t="str">
        <f>HYPERLINK("https://knigipp.ru/api/getInfo/item/d5e9330e-25c0-11f0-a279-00155d82e908")</f>
        <v>https://knigipp.ru/api/getInfo/item/d5e9330e-25c0-11f0-a279-00155d82e908</v>
      </c>
      <c r="AL2090" s="3" t="s">
        <v>3207</v>
      </c>
    </row>
    <row r="2091" spans="1:38" ht="21" customHeight="1" outlineLevel="4" x14ac:dyDescent="0.2">
      <c r="A2091" s="39">
        <v>1605</v>
      </c>
      <c r="B2091" s="3" t="s">
        <v>8996</v>
      </c>
      <c r="C2091" s="49" t="s">
        <v>8997</v>
      </c>
      <c r="D2091" s="49"/>
      <c r="E2091" s="49"/>
      <c r="F2091" s="49"/>
      <c r="G2091" s="4" t="s">
        <v>8998</v>
      </c>
      <c r="H2091" s="8"/>
      <c r="I2091" s="9" t="s">
        <v>8999</v>
      </c>
      <c r="J2091" s="10"/>
      <c r="K2091" s="11">
        <v>20</v>
      </c>
      <c r="L2091" s="10"/>
      <c r="M2091" s="10" t="s">
        <v>47</v>
      </c>
      <c r="N2091" s="10"/>
      <c r="O2091" s="2">
        <v>1</v>
      </c>
      <c r="P2091" s="17">
        <f>597*(1-S3/100)</f>
        <v>597</v>
      </c>
      <c r="Q2091" s="18"/>
      <c r="R2091" s="10">
        <f>P2091*Q2091</f>
        <v>0</v>
      </c>
      <c r="S2091" s="19">
        <f>0.387*Q2091</f>
        <v>0</v>
      </c>
      <c r="T2091" s="20">
        <f>0.00062*Q2091</f>
        <v>0</v>
      </c>
      <c r="U2091" s="21"/>
      <c r="V2091" s="22" t="s">
        <v>9000</v>
      </c>
      <c r="W2091" s="22" t="s">
        <v>49</v>
      </c>
      <c r="X2091" s="3" t="s">
        <v>8994</v>
      </c>
      <c r="Y2091" s="3" t="s">
        <v>9001</v>
      </c>
      <c r="Z2091" s="3" t="s">
        <v>384</v>
      </c>
      <c r="AA2091" s="3"/>
      <c r="AB2091" s="3"/>
      <c r="AC2091" s="3" t="str">
        <f>HYPERLINK("https://knigipp.ru/api/getInfo/image/ab1e65cb-9e07-11f0-a285-00155d82e908")</f>
        <v>https://knigipp.ru/api/getInfo/image/ab1e65cb-9e07-11f0-a285-00155d82e908</v>
      </c>
      <c r="AD2091" s="32">
        <v>224</v>
      </c>
      <c r="AE2091" s="3" t="s">
        <v>1406</v>
      </c>
      <c r="AF2091" s="3" t="s">
        <v>127</v>
      </c>
      <c r="AG2091" s="3"/>
      <c r="AH2091" s="3" t="s">
        <v>56</v>
      </c>
      <c r="AI2091" s="3"/>
      <c r="AJ2091" s="3"/>
      <c r="AK2091" s="3" t="str">
        <f>HYPERLINK("https://knigipp.ru/api/getInfo/item/ab1e65cb-9e07-11f0-a285-00155d82e908")</f>
        <v>https://knigipp.ru/api/getInfo/item/ab1e65cb-9e07-11f0-a285-00155d82e908</v>
      </c>
      <c r="AL2091" s="3" t="s">
        <v>3207</v>
      </c>
    </row>
    <row r="2092" spans="1:38" ht="21" customHeight="1" outlineLevel="4" x14ac:dyDescent="0.2">
      <c r="A2092" s="39">
        <v>1606</v>
      </c>
      <c r="B2092" s="3" t="s">
        <v>9002</v>
      </c>
      <c r="C2092" s="49" t="s">
        <v>9003</v>
      </c>
      <c r="D2092" s="49"/>
      <c r="E2092" s="49"/>
      <c r="F2092" s="49"/>
      <c r="G2092" s="4" t="s">
        <v>9004</v>
      </c>
      <c r="H2092" s="8"/>
      <c r="I2092" s="9" t="s">
        <v>9005</v>
      </c>
      <c r="J2092" s="10"/>
      <c r="K2092" s="11">
        <v>20</v>
      </c>
      <c r="L2092" s="10"/>
      <c r="M2092" s="10" t="s">
        <v>304</v>
      </c>
      <c r="N2092" s="10"/>
      <c r="O2092" s="2">
        <v>1</v>
      </c>
      <c r="P2092" s="17">
        <f>497*(1-S3/100)</f>
        <v>497</v>
      </c>
      <c r="Q2092" s="18"/>
      <c r="R2092" s="10">
        <f>P2092*Q2092</f>
        <v>0</v>
      </c>
      <c r="S2092" s="19">
        <f>0.272*Q2092</f>
        <v>0</v>
      </c>
      <c r="T2092" s="20">
        <f>0.00038*Q2092</f>
        <v>0</v>
      </c>
      <c r="U2092" s="21"/>
      <c r="V2092" s="22" t="s">
        <v>9006</v>
      </c>
      <c r="W2092" s="22" t="s">
        <v>49</v>
      </c>
      <c r="X2092" s="3" t="s">
        <v>8994</v>
      </c>
      <c r="Y2092" s="3" t="s">
        <v>9007</v>
      </c>
      <c r="Z2092" s="3" t="s">
        <v>384</v>
      </c>
      <c r="AA2092" s="3"/>
      <c r="AB2092" s="3"/>
      <c r="AC2092" s="3" t="str">
        <f>HYPERLINK("https://knigipp.ru/api/getInfo/image/b9373d2c-c4f3-11ef-a268-00155d82e908")</f>
        <v>https://knigipp.ru/api/getInfo/image/b9373d2c-c4f3-11ef-a268-00155d82e908</v>
      </c>
      <c r="AD2092" s="32">
        <v>176</v>
      </c>
      <c r="AE2092" s="3" t="s">
        <v>692</v>
      </c>
      <c r="AF2092" s="3" t="s">
        <v>127</v>
      </c>
      <c r="AG2092" s="3"/>
      <c r="AH2092" s="3" t="s">
        <v>56</v>
      </c>
      <c r="AI2092" s="3"/>
      <c r="AJ2092" s="3"/>
      <c r="AK2092" s="3" t="str">
        <f>HYPERLINK("https://knigipp.ru/api/getInfo/item/b9373d2c-c4f3-11ef-a268-00155d82e908")</f>
        <v>https://knigipp.ru/api/getInfo/item/b9373d2c-c4f3-11ef-a268-00155d82e908</v>
      </c>
      <c r="AL2092" s="3" t="s">
        <v>3207</v>
      </c>
    </row>
    <row r="2093" spans="1:38" ht="23.1" customHeight="1" outlineLevel="3" x14ac:dyDescent="0.2">
      <c r="A2093" s="48" t="s">
        <v>9008</v>
      </c>
      <c r="B2093" s="48"/>
      <c r="C2093" s="48"/>
      <c r="D2093" s="48"/>
      <c r="E2093" s="48"/>
      <c r="F2093" s="48"/>
    </row>
    <row r="2094" spans="1:38" ht="21" customHeight="1" outlineLevel="4" x14ac:dyDescent="0.2">
      <c r="A2094" s="39">
        <v>1607</v>
      </c>
      <c r="B2094" s="3" t="s">
        <v>9009</v>
      </c>
      <c r="C2094" s="49" t="s">
        <v>9010</v>
      </c>
      <c r="D2094" s="49"/>
      <c r="E2094" s="49"/>
      <c r="F2094" s="49"/>
      <c r="G2094" s="4" t="s">
        <v>9011</v>
      </c>
      <c r="H2094" s="8"/>
      <c r="I2094" s="9" t="s">
        <v>9012</v>
      </c>
      <c r="J2094" s="10"/>
      <c r="K2094" s="11">
        <v>10</v>
      </c>
      <c r="L2094" s="10"/>
      <c r="M2094" s="10" t="s">
        <v>47</v>
      </c>
      <c r="N2094" s="10"/>
      <c r="O2094" s="2">
        <v>1</v>
      </c>
      <c r="P2094" s="17">
        <f>497*(1-S3/100)</f>
        <v>497</v>
      </c>
      <c r="Q2094" s="18"/>
      <c r="R2094" s="10">
        <f>P2094*Q2094</f>
        <v>0</v>
      </c>
      <c r="S2094" s="19">
        <f>0.198*Q2094</f>
        <v>0</v>
      </c>
      <c r="T2094" s="20">
        <f>0.00027*Q2094</f>
        <v>0</v>
      </c>
      <c r="U2094" s="21"/>
      <c r="V2094" s="22" t="s">
        <v>9013</v>
      </c>
      <c r="W2094" s="22" t="s">
        <v>49</v>
      </c>
      <c r="X2094" s="3" t="s">
        <v>8972</v>
      </c>
      <c r="Y2094" s="3" t="s">
        <v>9014</v>
      </c>
      <c r="Z2094" s="3" t="s">
        <v>52</v>
      </c>
      <c r="AA2094" s="3"/>
      <c r="AB2094" s="3"/>
      <c r="AC2094" s="3" t="str">
        <f>HYPERLINK("https://knigipp.ru/api/getInfo/image/616731d1-55a3-11f0-a27e-00155d82e908")</f>
        <v>https://knigipp.ru/api/getInfo/image/616731d1-55a3-11f0-a27e-00155d82e908</v>
      </c>
      <c r="AD2094" s="32">
        <v>128</v>
      </c>
      <c r="AE2094" s="3" t="s">
        <v>54</v>
      </c>
      <c r="AF2094" s="3" t="s">
        <v>127</v>
      </c>
      <c r="AG2094" s="3"/>
      <c r="AH2094" s="3" t="s">
        <v>56</v>
      </c>
      <c r="AI2094" s="3"/>
      <c r="AJ2094" s="3"/>
      <c r="AK2094" s="3" t="str">
        <f>HYPERLINK("https://knigipp.ru/api/getInfo/item/616731d1-55a3-11f0-a27e-00155d82e908")</f>
        <v>https://knigipp.ru/api/getInfo/item/616731d1-55a3-11f0-a27e-00155d82e908</v>
      </c>
      <c r="AL2094" s="3" t="s">
        <v>9015</v>
      </c>
    </row>
    <row r="2095" spans="1:38" ht="23.1" customHeight="1" outlineLevel="3" x14ac:dyDescent="0.2">
      <c r="A2095" s="48" t="s">
        <v>9016</v>
      </c>
      <c r="B2095" s="48"/>
      <c r="C2095" s="48"/>
      <c r="D2095" s="48"/>
      <c r="E2095" s="48"/>
      <c r="F2095" s="48"/>
    </row>
    <row r="2096" spans="1:38" ht="21" customHeight="1" outlineLevel="4" x14ac:dyDescent="0.2">
      <c r="A2096" s="39">
        <v>1608</v>
      </c>
      <c r="B2096" s="3" t="s">
        <v>9017</v>
      </c>
      <c r="C2096" s="49" t="s">
        <v>9018</v>
      </c>
      <c r="D2096" s="49"/>
      <c r="E2096" s="49"/>
      <c r="F2096" s="49"/>
      <c r="G2096" s="4" t="s">
        <v>9019</v>
      </c>
      <c r="H2096" s="8"/>
      <c r="I2096" s="9" t="s">
        <v>9020</v>
      </c>
      <c r="J2096" s="10"/>
      <c r="K2096" s="11">
        <v>20</v>
      </c>
      <c r="L2096" s="10"/>
      <c r="M2096" s="10" t="s">
        <v>47</v>
      </c>
      <c r="N2096" s="10"/>
      <c r="O2096" s="2">
        <v>2</v>
      </c>
      <c r="P2096" s="17">
        <f>345*(1-S3/100)</f>
        <v>345</v>
      </c>
      <c r="Q2096" s="18"/>
      <c r="R2096" s="10">
        <f t="shared" ref="R2096:R2103" si="90">P2096*Q2096</f>
        <v>0</v>
      </c>
      <c r="S2096" s="19">
        <f>0.142*Q2096</f>
        <v>0</v>
      </c>
      <c r="T2096" s="20">
        <f>0.00015*Q2096</f>
        <v>0</v>
      </c>
      <c r="U2096" s="21"/>
      <c r="V2096" s="22" t="s">
        <v>9021</v>
      </c>
      <c r="W2096" s="22" t="s">
        <v>49</v>
      </c>
      <c r="X2096" s="3" t="s">
        <v>207</v>
      </c>
      <c r="Y2096" s="3" t="s">
        <v>9022</v>
      </c>
      <c r="Z2096" s="3" t="s">
        <v>52</v>
      </c>
      <c r="AA2096" s="3"/>
      <c r="AB2096" s="3"/>
      <c r="AC2096" s="3" t="str">
        <f>HYPERLINK("https://knigipp.ru/api/getInfo/image/d0baa17a-55a1-11f0-a27e-00155d82e908")</f>
        <v>https://knigipp.ru/api/getInfo/image/d0baa17a-55a1-11f0-a27e-00155d82e908</v>
      </c>
      <c r="AD2096" s="32">
        <v>48</v>
      </c>
      <c r="AE2096" s="3" t="s">
        <v>54</v>
      </c>
      <c r="AF2096" s="3" t="s">
        <v>127</v>
      </c>
      <c r="AG2096" s="3"/>
      <c r="AH2096" s="3" t="s">
        <v>56</v>
      </c>
      <c r="AI2096" s="3"/>
      <c r="AJ2096" s="3"/>
      <c r="AK2096" s="3" t="str">
        <f>HYPERLINK("https://knigipp.ru/api/getInfo/item/d0baa17a-55a1-11f0-a27e-00155d82e908")</f>
        <v>https://knigipp.ru/api/getInfo/item/d0baa17a-55a1-11f0-a27e-00155d82e908</v>
      </c>
      <c r="AL2096" s="3" t="s">
        <v>9023</v>
      </c>
    </row>
    <row r="2097" spans="1:38" ht="21" customHeight="1" outlineLevel="4" x14ac:dyDescent="0.2">
      <c r="A2097" s="39">
        <v>1609</v>
      </c>
      <c r="B2097" s="3" t="s">
        <v>9024</v>
      </c>
      <c r="C2097" s="49" t="s">
        <v>9025</v>
      </c>
      <c r="D2097" s="49"/>
      <c r="E2097" s="49"/>
      <c r="F2097" s="49"/>
      <c r="G2097" s="4" t="s">
        <v>9026</v>
      </c>
      <c r="H2097" s="8"/>
      <c r="I2097" s="9" t="s">
        <v>9027</v>
      </c>
      <c r="J2097" s="10"/>
      <c r="K2097" s="11">
        <v>20</v>
      </c>
      <c r="L2097" s="10"/>
      <c r="M2097" s="10" t="s">
        <v>47</v>
      </c>
      <c r="N2097" s="10"/>
      <c r="O2097" s="2">
        <v>2</v>
      </c>
      <c r="P2097" s="17">
        <f>345*(1-S3/100)</f>
        <v>345</v>
      </c>
      <c r="Q2097" s="18"/>
      <c r="R2097" s="10">
        <f t="shared" si="90"/>
        <v>0</v>
      </c>
      <c r="S2097" s="19">
        <f>0.146*Q2097</f>
        <v>0</v>
      </c>
      <c r="T2097" s="20">
        <f>0.00018*Q2097</f>
        <v>0</v>
      </c>
      <c r="U2097" s="21"/>
      <c r="V2097" s="22" t="s">
        <v>9028</v>
      </c>
      <c r="W2097" s="22" t="s">
        <v>49</v>
      </c>
      <c r="X2097" s="3" t="s">
        <v>207</v>
      </c>
      <c r="Y2097" s="3" t="s">
        <v>9029</v>
      </c>
      <c r="Z2097" s="3" t="s">
        <v>52</v>
      </c>
      <c r="AA2097" s="3"/>
      <c r="AB2097" s="3"/>
      <c r="AC2097" s="3" t="str">
        <f>HYPERLINK("https://knigipp.ru/api/getInfo/image/11d1074d-55a2-11f0-a27e-00155d82e908")</f>
        <v>https://knigipp.ru/api/getInfo/image/11d1074d-55a2-11f0-a27e-00155d82e908</v>
      </c>
      <c r="AD2097" s="32">
        <v>48</v>
      </c>
      <c r="AE2097" s="3" t="s">
        <v>54</v>
      </c>
      <c r="AF2097" s="3" t="s">
        <v>127</v>
      </c>
      <c r="AG2097" s="3"/>
      <c r="AH2097" s="3" t="s">
        <v>56</v>
      </c>
      <c r="AI2097" s="3"/>
      <c r="AJ2097" s="3"/>
      <c r="AK2097" s="3" t="str">
        <f>HYPERLINK("https://knigipp.ru/api/getInfo/item/11d1074d-55a2-11f0-a27e-00155d82e908")</f>
        <v>https://knigipp.ru/api/getInfo/item/11d1074d-55a2-11f0-a27e-00155d82e908</v>
      </c>
      <c r="AL2097" s="3" t="s">
        <v>9023</v>
      </c>
    </row>
    <row r="2098" spans="1:38" ht="21" customHeight="1" outlineLevel="4" x14ac:dyDescent="0.2">
      <c r="A2098" s="39">
        <v>1610</v>
      </c>
      <c r="B2098" s="3" t="s">
        <v>9030</v>
      </c>
      <c r="C2098" s="49" t="s">
        <v>9031</v>
      </c>
      <c r="D2098" s="49"/>
      <c r="E2098" s="49"/>
      <c r="F2098" s="49"/>
      <c r="G2098" s="4" t="s">
        <v>9032</v>
      </c>
      <c r="H2098" s="8"/>
      <c r="I2098" s="9" t="s">
        <v>9033</v>
      </c>
      <c r="J2098" s="10"/>
      <c r="K2098" s="11">
        <v>20</v>
      </c>
      <c r="L2098" s="10"/>
      <c r="M2098" s="10" t="s">
        <v>47</v>
      </c>
      <c r="N2098" s="10"/>
      <c r="O2098" s="2">
        <v>2</v>
      </c>
      <c r="P2098" s="17">
        <f>345*(1-S3/100)</f>
        <v>345</v>
      </c>
      <c r="Q2098" s="18"/>
      <c r="R2098" s="10">
        <f t="shared" si="90"/>
        <v>0</v>
      </c>
      <c r="S2098" s="19">
        <f>0.147*Q2098</f>
        <v>0</v>
      </c>
      <c r="T2098" s="20">
        <f>0.00016*Q2098</f>
        <v>0</v>
      </c>
      <c r="U2098" s="21"/>
      <c r="V2098" s="22" t="s">
        <v>9034</v>
      </c>
      <c r="W2098" s="22" t="s">
        <v>49</v>
      </c>
      <c r="X2098" s="3" t="s">
        <v>207</v>
      </c>
      <c r="Y2098" s="3" t="s">
        <v>9035</v>
      </c>
      <c r="Z2098" s="3" t="s">
        <v>52</v>
      </c>
      <c r="AA2098" s="3"/>
      <c r="AB2098" s="3"/>
      <c r="AC2098" s="3" t="str">
        <f>HYPERLINK("https://knigipp.ru/api/getInfo/image/fd2906df-840c-11f0-a284-00155d82e908")</f>
        <v>https://knigipp.ru/api/getInfo/image/fd2906df-840c-11f0-a284-00155d82e908</v>
      </c>
      <c r="AD2098" s="32">
        <v>48</v>
      </c>
      <c r="AE2098" s="3" t="s">
        <v>54</v>
      </c>
      <c r="AF2098" s="3" t="s">
        <v>127</v>
      </c>
      <c r="AG2098" s="3"/>
      <c r="AH2098" s="3" t="s">
        <v>56</v>
      </c>
      <c r="AI2098" s="3"/>
      <c r="AJ2098" s="3"/>
      <c r="AK2098" s="3" t="str">
        <f>HYPERLINK("https://knigipp.ru/api/getInfo/item/fd2906df-840c-11f0-a284-00155d82e908")</f>
        <v>https://knigipp.ru/api/getInfo/item/fd2906df-840c-11f0-a284-00155d82e908</v>
      </c>
      <c r="AL2098" s="3" t="s">
        <v>401</v>
      </c>
    </row>
    <row r="2099" spans="1:38" ht="21" customHeight="1" outlineLevel="4" x14ac:dyDescent="0.2">
      <c r="A2099" s="39">
        <v>1611</v>
      </c>
      <c r="B2099" s="3" t="s">
        <v>9036</v>
      </c>
      <c r="C2099" s="49" t="s">
        <v>9037</v>
      </c>
      <c r="D2099" s="49"/>
      <c r="E2099" s="49"/>
      <c r="F2099" s="49"/>
      <c r="G2099" s="4" t="s">
        <v>9038</v>
      </c>
      <c r="H2099" s="8"/>
      <c r="I2099" s="9" t="s">
        <v>9039</v>
      </c>
      <c r="J2099" s="10"/>
      <c r="K2099" s="11">
        <v>20</v>
      </c>
      <c r="L2099" s="10"/>
      <c r="M2099" s="10" t="s">
        <v>47</v>
      </c>
      <c r="N2099" s="10"/>
      <c r="O2099" s="2">
        <v>2</v>
      </c>
      <c r="P2099" s="17">
        <f>345*(1-S3/100)</f>
        <v>345</v>
      </c>
      <c r="Q2099" s="18"/>
      <c r="R2099" s="10">
        <f t="shared" si="90"/>
        <v>0</v>
      </c>
      <c r="S2099" s="19">
        <f>0.145*Q2099</f>
        <v>0</v>
      </c>
      <c r="T2099" s="20">
        <f>0.00019*Q2099</f>
        <v>0</v>
      </c>
      <c r="U2099" s="21"/>
      <c r="V2099" s="22" t="s">
        <v>9040</v>
      </c>
      <c r="W2099" s="22" t="s">
        <v>49</v>
      </c>
      <c r="X2099" s="3" t="s">
        <v>207</v>
      </c>
      <c r="Y2099" s="3" t="s">
        <v>9041</v>
      </c>
      <c r="Z2099" s="3" t="s">
        <v>52</v>
      </c>
      <c r="AA2099" s="3"/>
      <c r="AB2099" s="3"/>
      <c r="AC2099" s="3" t="str">
        <f>HYPERLINK("https://knigipp.ru/api/getInfo/image/3134fe64-840d-11f0-a284-00155d82e908")</f>
        <v>https://knigipp.ru/api/getInfo/image/3134fe64-840d-11f0-a284-00155d82e908</v>
      </c>
      <c r="AD2099" s="32">
        <v>48</v>
      </c>
      <c r="AE2099" s="3" t="s">
        <v>54</v>
      </c>
      <c r="AF2099" s="3" t="s">
        <v>127</v>
      </c>
      <c r="AG2099" s="3"/>
      <c r="AH2099" s="3" t="s">
        <v>56</v>
      </c>
      <c r="AI2099" s="3"/>
      <c r="AJ2099" s="3"/>
      <c r="AK2099" s="3" t="str">
        <f>HYPERLINK("https://knigipp.ru/api/getInfo/item/3134fe64-840d-11f0-a284-00155d82e908")</f>
        <v>https://knigipp.ru/api/getInfo/item/3134fe64-840d-11f0-a284-00155d82e908</v>
      </c>
      <c r="AL2099" s="3" t="s">
        <v>401</v>
      </c>
    </row>
    <row r="2100" spans="1:38" ht="21" customHeight="1" outlineLevel="4" x14ac:dyDescent="0.2">
      <c r="A2100" s="39">
        <v>1612</v>
      </c>
      <c r="B2100" s="3" t="s">
        <v>9042</v>
      </c>
      <c r="C2100" s="49" t="s">
        <v>9043</v>
      </c>
      <c r="D2100" s="49"/>
      <c r="E2100" s="49"/>
      <c r="F2100" s="49"/>
      <c r="G2100" s="4" t="s">
        <v>9044</v>
      </c>
      <c r="H2100" s="8"/>
      <c r="I2100" s="9" t="s">
        <v>9045</v>
      </c>
      <c r="J2100" s="10"/>
      <c r="K2100" s="11">
        <v>20</v>
      </c>
      <c r="L2100" s="10"/>
      <c r="M2100" s="10" t="s">
        <v>47</v>
      </c>
      <c r="N2100" s="10"/>
      <c r="O2100" s="2">
        <v>2</v>
      </c>
      <c r="P2100" s="17">
        <f>345*(1-S3/100)</f>
        <v>345</v>
      </c>
      <c r="Q2100" s="18"/>
      <c r="R2100" s="10">
        <f t="shared" si="90"/>
        <v>0</v>
      </c>
      <c r="S2100" s="19">
        <f>0.144*Q2100</f>
        <v>0</v>
      </c>
      <c r="T2100" s="20">
        <f>0.00018*Q2100</f>
        <v>0</v>
      </c>
      <c r="U2100" s="21"/>
      <c r="V2100" s="22" t="s">
        <v>9046</v>
      </c>
      <c r="W2100" s="22" t="s">
        <v>49</v>
      </c>
      <c r="X2100" s="3" t="s">
        <v>207</v>
      </c>
      <c r="Y2100" s="3" t="s">
        <v>9047</v>
      </c>
      <c r="Z2100" s="3" t="s">
        <v>52</v>
      </c>
      <c r="AA2100" s="3"/>
      <c r="AB2100" s="3"/>
      <c r="AC2100" s="3" t="str">
        <f>HYPERLINK("https://knigipp.ru/api/getInfo/image/da84e327-29bf-11f1-a291-00155d82e908")</f>
        <v>https://knigipp.ru/api/getInfo/image/da84e327-29bf-11f1-a291-00155d82e908</v>
      </c>
      <c r="AD2100" s="32">
        <v>48</v>
      </c>
      <c r="AE2100" s="3" t="s">
        <v>54</v>
      </c>
      <c r="AF2100" s="3" t="s">
        <v>127</v>
      </c>
      <c r="AG2100" s="3"/>
      <c r="AH2100" s="3" t="s">
        <v>56</v>
      </c>
      <c r="AI2100" s="3"/>
      <c r="AJ2100" s="3"/>
      <c r="AK2100" s="3" t="str">
        <f>HYPERLINK("https://knigipp.ru/api/getInfo/item/da84e327-29bf-11f1-a291-00155d82e908")</f>
        <v>https://knigipp.ru/api/getInfo/item/da84e327-29bf-11f1-a291-00155d82e908</v>
      </c>
      <c r="AL2100" s="3" t="s">
        <v>401</v>
      </c>
    </row>
    <row r="2101" spans="1:38" ht="21" customHeight="1" outlineLevel="4" x14ac:dyDescent="0.2">
      <c r="A2101" s="39">
        <v>1613</v>
      </c>
      <c r="B2101" s="3" t="s">
        <v>9048</v>
      </c>
      <c r="C2101" s="49" t="s">
        <v>9049</v>
      </c>
      <c r="D2101" s="49"/>
      <c r="E2101" s="49"/>
      <c r="F2101" s="49"/>
      <c r="G2101" s="4" t="s">
        <v>9050</v>
      </c>
      <c r="H2101" s="8"/>
      <c r="I2101" s="9" t="s">
        <v>9051</v>
      </c>
      <c r="J2101" s="10"/>
      <c r="K2101" s="11">
        <v>20</v>
      </c>
      <c r="L2101" s="10"/>
      <c r="M2101" s="10" t="s">
        <v>47</v>
      </c>
      <c r="N2101" s="10"/>
      <c r="O2101" s="2">
        <v>2</v>
      </c>
      <c r="P2101" s="17">
        <f>345*(1-S3/100)</f>
        <v>345</v>
      </c>
      <c r="Q2101" s="18"/>
      <c r="R2101" s="10">
        <f t="shared" si="90"/>
        <v>0</v>
      </c>
      <c r="S2101" s="19">
        <f>0.146*Q2101</f>
        <v>0</v>
      </c>
      <c r="T2101" s="20">
        <f>0.00031*Q2101</f>
        <v>0</v>
      </c>
      <c r="U2101" s="21"/>
      <c r="V2101" s="22" t="s">
        <v>9052</v>
      </c>
      <c r="W2101" s="22" t="s">
        <v>49</v>
      </c>
      <c r="X2101" s="3" t="s">
        <v>207</v>
      </c>
      <c r="Y2101" s="3" t="s">
        <v>9053</v>
      </c>
      <c r="Z2101" s="3" t="s">
        <v>52</v>
      </c>
      <c r="AA2101" s="3"/>
      <c r="AB2101" s="3"/>
      <c r="AC2101" s="3" t="str">
        <f>HYPERLINK("https://knigipp.ru/api/getInfo/image/1b384c68-29c0-11f1-a291-00155d82e908")</f>
        <v>https://knigipp.ru/api/getInfo/image/1b384c68-29c0-11f1-a291-00155d82e908</v>
      </c>
      <c r="AD2101" s="32">
        <v>48</v>
      </c>
      <c r="AE2101" s="3" t="s">
        <v>54</v>
      </c>
      <c r="AF2101" s="3" t="s">
        <v>127</v>
      </c>
      <c r="AG2101" s="3"/>
      <c r="AH2101" s="3" t="s">
        <v>56</v>
      </c>
      <c r="AI2101" s="3"/>
      <c r="AJ2101" s="3"/>
      <c r="AK2101" s="3" t="str">
        <f>HYPERLINK("https://knigipp.ru/api/getInfo/item/1b384c68-29c0-11f1-a291-00155d82e908")</f>
        <v>https://knigipp.ru/api/getInfo/item/1b384c68-29c0-11f1-a291-00155d82e908</v>
      </c>
      <c r="AL2101" s="3" t="s">
        <v>401</v>
      </c>
    </row>
    <row r="2102" spans="1:38" ht="21" customHeight="1" outlineLevel="4" x14ac:dyDescent="0.2">
      <c r="A2102" s="40">
        <v>1614</v>
      </c>
      <c r="B2102" s="6" t="s">
        <v>9054</v>
      </c>
      <c r="C2102" s="54" t="s">
        <v>9055</v>
      </c>
      <c r="D2102" s="54"/>
      <c r="E2102" s="54"/>
      <c r="F2102" s="54"/>
      <c r="G2102" s="7" t="s">
        <v>9056</v>
      </c>
      <c r="H2102" s="12"/>
      <c r="I2102" s="13" t="s">
        <v>9057</v>
      </c>
      <c r="J2102" s="14"/>
      <c r="K2102" s="15">
        <v>20</v>
      </c>
      <c r="L2102" s="14"/>
      <c r="M2102" s="14" t="s">
        <v>47</v>
      </c>
      <c r="N2102" s="14"/>
      <c r="O2102" s="5">
        <v>2</v>
      </c>
      <c r="P2102" s="23">
        <f>345*(1-S3/100)</f>
        <v>345</v>
      </c>
      <c r="Q2102" s="18"/>
      <c r="R2102" s="14">
        <f t="shared" si="90"/>
        <v>0</v>
      </c>
      <c r="S2102" s="24">
        <f>0.143*Q2102</f>
        <v>0</v>
      </c>
      <c r="T2102" s="25">
        <f>0.00019*Q2102</f>
        <v>0</v>
      </c>
      <c r="U2102" s="26" t="s">
        <v>62</v>
      </c>
      <c r="V2102" s="27" t="s">
        <v>9058</v>
      </c>
      <c r="W2102" s="27" t="s">
        <v>49</v>
      </c>
      <c r="X2102" s="6" t="s">
        <v>9059</v>
      </c>
      <c r="Y2102" s="6"/>
      <c r="Z2102" s="6" t="s">
        <v>52</v>
      </c>
      <c r="AA2102" s="6"/>
      <c r="AB2102" s="6"/>
      <c r="AC2102" s="6" t="str">
        <f>HYPERLINK("https://knigipp.ru/api/getInfo/image/6b75caf8-84f8-11f1-a29a-00155d82e908")</f>
        <v>https://knigipp.ru/api/getInfo/image/6b75caf8-84f8-11f1-a29a-00155d82e908</v>
      </c>
      <c r="AD2102" s="33">
        <v>48</v>
      </c>
      <c r="AE2102" s="6" t="s">
        <v>54</v>
      </c>
      <c r="AF2102" s="6" t="s">
        <v>127</v>
      </c>
      <c r="AG2102" s="6"/>
      <c r="AH2102" s="6" t="s">
        <v>56</v>
      </c>
      <c r="AI2102" s="6"/>
      <c r="AJ2102" s="6"/>
      <c r="AK2102" s="6" t="str">
        <f>HYPERLINK("https://knigipp.ru/api/getInfo/item/6b75caf8-84f8-11f1-a29a-00155d82e908")</f>
        <v>https://knigipp.ru/api/getInfo/item/6b75caf8-84f8-11f1-a29a-00155d82e908</v>
      </c>
      <c r="AL2102" s="6" t="s">
        <v>401</v>
      </c>
    </row>
    <row r="2103" spans="1:38" ht="21" customHeight="1" outlineLevel="4" x14ac:dyDescent="0.2">
      <c r="A2103" s="40">
        <v>1615</v>
      </c>
      <c r="B2103" s="6" t="s">
        <v>9060</v>
      </c>
      <c r="C2103" s="54" t="s">
        <v>9061</v>
      </c>
      <c r="D2103" s="54"/>
      <c r="E2103" s="54"/>
      <c r="F2103" s="54"/>
      <c r="G2103" s="7" t="s">
        <v>9062</v>
      </c>
      <c r="H2103" s="12"/>
      <c r="I2103" s="13" t="s">
        <v>9063</v>
      </c>
      <c r="J2103" s="14"/>
      <c r="K2103" s="15">
        <v>20</v>
      </c>
      <c r="L2103" s="14"/>
      <c r="M2103" s="14" t="s">
        <v>47</v>
      </c>
      <c r="N2103" s="14"/>
      <c r="O2103" s="5">
        <v>2</v>
      </c>
      <c r="P2103" s="23">
        <f>345*(1-S3/100)</f>
        <v>345</v>
      </c>
      <c r="Q2103" s="18"/>
      <c r="R2103" s="14">
        <f t="shared" si="90"/>
        <v>0</v>
      </c>
      <c r="S2103" s="24">
        <f>0.146*Q2103</f>
        <v>0</v>
      </c>
      <c r="T2103" s="25">
        <f>0.00019*Q2103</f>
        <v>0</v>
      </c>
      <c r="U2103" s="26" t="s">
        <v>62</v>
      </c>
      <c r="V2103" s="27" t="s">
        <v>9064</v>
      </c>
      <c r="W2103" s="27" t="s">
        <v>49</v>
      </c>
      <c r="X2103" s="6" t="s">
        <v>207</v>
      </c>
      <c r="Y2103" s="6"/>
      <c r="Z2103" s="6" t="s">
        <v>52</v>
      </c>
      <c r="AA2103" s="6"/>
      <c r="AB2103" s="6"/>
      <c r="AC2103" s="6" t="str">
        <f>HYPERLINK("https://knigipp.ru/api/getInfo/image/c5b60916-84f8-11f1-a29a-00155d82e908")</f>
        <v>https://knigipp.ru/api/getInfo/image/c5b60916-84f8-11f1-a29a-00155d82e908</v>
      </c>
      <c r="AD2103" s="33">
        <v>48</v>
      </c>
      <c r="AE2103" s="6" t="s">
        <v>54</v>
      </c>
      <c r="AF2103" s="6" t="s">
        <v>127</v>
      </c>
      <c r="AG2103" s="6"/>
      <c r="AH2103" s="6" t="s">
        <v>56</v>
      </c>
      <c r="AI2103" s="6"/>
      <c r="AJ2103" s="6"/>
      <c r="AK2103" s="6" t="str">
        <f>HYPERLINK("https://knigipp.ru/api/getInfo/item/c5b60916-84f8-11f1-a29a-00155d82e908")</f>
        <v>https://knigipp.ru/api/getInfo/item/c5b60916-84f8-11f1-a29a-00155d82e908</v>
      </c>
      <c r="AL2103" s="6" t="s">
        <v>401</v>
      </c>
    </row>
    <row r="2104" spans="1:38" ht="23.1" customHeight="1" outlineLevel="3" x14ac:dyDescent="0.2">
      <c r="A2104" s="48" t="s">
        <v>9065</v>
      </c>
      <c r="B2104" s="48"/>
      <c r="C2104" s="48"/>
      <c r="D2104" s="48"/>
      <c r="E2104" s="48"/>
      <c r="F2104" s="48"/>
    </row>
    <row r="2105" spans="1:38" ht="21" customHeight="1" outlineLevel="4" x14ac:dyDescent="0.2">
      <c r="A2105" s="39">
        <v>1616</v>
      </c>
      <c r="B2105" s="3" t="s">
        <v>9066</v>
      </c>
      <c r="C2105" s="49" t="s">
        <v>9067</v>
      </c>
      <c r="D2105" s="49"/>
      <c r="E2105" s="49"/>
      <c r="F2105" s="49"/>
      <c r="G2105" s="4" t="s">
        <v>9068</v>
      </c>
      <c r="H2105" s="8"/>
      <c r="I2105" s="9" t="s">
        <v>9069</v>
      </c>
      <c r="J2105" s="10"/>
      <c r="K2105" s="11">
        <v>20</v>
      </c>
      <c r="L2105" s="10"/>
      <c r="M2105" s="10" t="s">
        <v>47</v>
      </c>
      <c r="N2105" s="10"/>
      <c r="O2105" s="2">
        <v>2</v>
      </c>
      <c r="P2105" s="17">
        <f>407*(1-S3/100)</f>
        <v>407</v>
      </c>
      <c r="Q2105" s="18"/>
      <c r="R2105" s="10">
        <f>P2105*Q2105</f>
        <v>0</v>
      </c>
      <c r="S2105" s="19">
        <f>0.231*Q2105</f>
        <v>0</v>
      </c>
      <c r="T2105" s="20">
        <f>0.00028*Q2105</f>
        <v>0</v>
      </c>
      <c r="U2105" s="21"/>
      <c r="V2105" s="22" t="s">
        <v>9070</v>
      </c>
      <c r="W2105" s="22" t="s">
        <v>49</v>
      </c>
      <c r="X2105" s="3" t="s">
        <v>8651</v>
      </c>
      <c r="Y2105" s="3" t="s">
        <v>9071</v>
      </c>
      <c r="Z2105" s="3" t="s">
        <v>52</v>
      </c>
      <c r="AA2105" s="3"/>
      <c r="AB2105" s="3"/>
      <c r="AC2105" s="3" t="str">
        <f>HYPERLINK("https://knigipp.ru/api/getInfo/image/a5258575-ae4f-11ef-a267-00155d82e908")</f>
        <v>https://knigipp.ru/api/getInfo/image/a5258575-ae4f-11ef-a267-00155d82e908</v>
      </c>
      <c r="AD2105" s="32">
        <v>144</v>
      </c>
      <c r="AE2105" s="3" t="s">
        <v>54</v>
      </c>
      <c r="AF2105" s="3" t="s">
        <v>127</v>
      </c>
      <c r="AG2105" s="3"/>
      <c r="AH2105" s="3" t="s">
        <v>56</v>
      </c>
      <c r="AI2105" s="3"/>
      <c r="AJ2105" s="3"/>
      <c r="AK2105" s="3" t="str">
        <f>HYPERLINK("https://knigipp.ru/api/getInfo/item/a5258575-ae4f-11ef-a267-00155d82e908")</f>
        <v>https://knigipp.ru/api/getInfo/item/a5258575-ae4f-11ef-a267-00155d82e908</v>
      </c>
      <c r="AL2105" s="3" t="s">
        <v>9072</v>
      </c>
    </row>
    <row r="2106" spans="1:38" ht="23.1" customHeight="1" outlineLevel="3" x14ac:dyDescent="0.2">
      <c r="A2106" s="48" t="s">
        <v>9073</v>
      </c>
      <c r="B2106" s="48"/>
      <c r="C2106" s="48"/>
      <c r="D2106" s="48"/>
      <c r="E2106" s="48"/>
      <c r="F2106" s="48"/>
    </row>
    <row r="2107" spans="1:38" ht="21" customHeight="1" outlineLevel="4" x14ac:dyDescent="0.2">
      <c r="A2107" s="40">
        <v>1617</v>
      </c>
      <c r="B2107" s="6" t="s">
        <v>9074</v>
      </c>
      <c r="C2107" s="54" t="s">
        <v>9075</v>
      </c>
      <c r="D2107" s="54"/>
      <c r="E2107" s="54"/>
      <c r="F2107" s="54"/>
      <c r="G2107" s="7" t="s">
        <v>9076</v>
      </c>
      <c r="H2107" s="12"/>
      <c r="I2107" s="13" t="s">
        <v>9077</v>
      </c>
      <c r="J2107" s="14"/>
      <c r="K2107" s="15">
        <v>10</v>
      </c>
      <c r="L2107" s="14"/>
      <c r="M2107" s="14" t="s">
        <v>47</v>
      </c>
      <c r="N2107" s="14"/>
      <c r="O2107" s="5">
        <v>1</v>
      </c>
      <c r="P2107" s="23">
        <f>947*(1-S3/100)</f>
        <v>947</v>
      </c>
      <c r="Q2107" s="18"/>
      <c r="R2107" s="14">
        <f>P2107*Q2107</f>
        <v>0</v>
      </c>
      <c r="S2107" s="36">
        <f>0.55*Q2107</f>
        <v>0</v>
      </c>
      <c r="T2107" s="25">
        <f>0.00098*Q2107</f>
        <v>0</v>
      </c>
      <c r="U2107" s="26" t="s">
        <v>62</v>
      </c>
      <c r="V2107" s="27" t="s">
        <v>9078</v>
      </c>
      <c r="W2107" s="27" t="s">
        <v>49</v>
      </c>
      <c r="X2107" s="6" t="s">
        <v>9079</v>
      </c>
      <c r="Y2107" s="6"/>
      <c r="Z2107" s="6" t="s">
        <v>52</v>
      </c>
      <c r="AA2107" s="6"/>
      <c r="AB2107" s="6"/>
      <c r="AC2107" s="6" t="str">
        <f>HYPERLINK("https://knigipp.ru/api/getInfo/image/18d53493-7489-11f1-a29a-00155d82e908")</f>
        <v>https://knigipp.ru/api/getInfo/image/18d53493-7489-11f1-a29a-00155d82e908</v>
      </c>
      <c r="AD2107" s="33">
        <v>352</v>
      </c>
      <c r="AE2107" s="6" t="s">
        <v>54</v>
      </c>
      <c r="AF2107" s="6" t="s">
        <v>127</v>
      </c>
      <c r="AG2107" s="6"/>
      <c r="AH2107" s="6" t="s">
        <v>56</v>
      </c>
      <c r="AI2107" s="6"/>
      <c r="AJ2107" s="6"/>
      <c r="AK2107" s="6" t="str">
        <f>HYPERLINK("https://knigipp.ru/api/getInfo/item/18d53493-7489-11f1-a29a-00155d82e908")</f>
        <v>https://knigipp.ru/api/getInfo/item/18d53493-7489-11f1-a29a-00155d82e908</v>
      </c>
      <c r="AL2107" s="6" t="s">
        <v>9080</v>
      </c>
    </row>
    <row r="2108" spans="1:38" ht="21" customHeight="1" outlineLevel="4" x14ac:dyDescent="0.2">
      <c r="A2108" s="39">
        <v>1618</v>
      </c>
      <c r="B2108" s="3" t="s">
        <v>9081</v>
      </c>
      <c r="C2108" s="49" t="s">
        <v>9082</v>
      </c>
      <c r="D2108" s="49"/>
      <c r="E2108" s="49"/>
      <c r="F2108" s="49"/>
      <c r="G2108" s="4" t="s">
        <v>9083</v>
      </c>
      <c r="H2108" s="8"/>
      <c r="I2108" s="9" t="s">
        <v>9084</v>
      </c>
      <c r="J2108" s="10"/>
      <c r="K2108" s="11">
        <v>20</v>
      </c>
      <c r="L2108" s="10"/>
      <c r="M2108" s="10" t="s">
        <v>47</v>
      </c>
      <c r="N2108" s="10"/>
      <c r="O2108" s="2">
        <v>1</v>
      </c>
      <c r="P2108" s="17">
        <f>499*(1-S3/100)</f>
        <v>499</v>
      </c>
      <c r="Q2108" s="18"/>
      <c r="R2108" s="10">
        <f>P2108*Q2108</f>
        <v>0</v>
      </c>
      <c r="S2108" s="19">
        <f>0.163*Q2108</f>
        <v>0</v>
      </c>
      <c r="T2108" s="20">
        <f>0.00025*Q2108</f>
        <v>0</v>
      </c>
      <c r="U2108" s="21"/>
      <c r="V2108" s="22" t="s">
        <v>9085</v>
      </c>
      <c r="W2108" s="22" t="s">
        <v>49</v>
      </c>
      <c r="X2108" s="3" t="s">
        <v>72</v>
      </c>
      <c r="Y2108" s="3" t="s">
        <v>9086</v>
      </c>
      <c r="Z2108" s="3" t="s">
        <v>52</v>
      </c>
      <c r="AA2108" s="3"/>
      <c r="AB2108" s="3"/>
      <c r="AC2108" s="3" t="str">
        <f>HYPERLINK("https://knigipp.ru/api/getInfo/image/3f2607bc-e573-11f0-a28c-00155d82e908")</f>
        <v>https://knigipp.ru/api/getInfo/image/3f2607bc-e573-11f0-a28c-00155d82e908</v>
      </c>
      <c r="AD2108" s="32">
        <v>80</v>
      </c>
      <c r="AE2108" s="3" t="s">
        <v>54</v>
      </c>
      <c r="AF2108" s="3" t="s">
        <v>127</v>
      </c>
      <c r="AG2108" s="3"/>
      <c r="AH2108" s="3" t="s">
        <v>56</v>
      </c>
      <c r="AI2108" s="3"/>
      <c r="AJ2108" s="3"/>
      <c r="AK2108" s="3" t="str">
        <f>HYPERLINK("https://knigipp.ru/api/getInfo/item/3f2607bc-e573-11f0-a28c-00155d82e908")</f>
        <v>https://knigipp.ru/api/getInfo/item/3f2607bc-e573-11f0-a28c-00155d82e908</v>
      </c>
      <c r="AL2108" s="3" t="s">
        <v>9087</v>
      </c>
    </row>
    <row r="2109" spans="1:38" ht="21" customHeight="1" outlineLevel="4" x14ac:dyDescent="0.2">
      <c r="A2109" s="39">
        <v>1619</v>
      </c>
      <c r="B2109" s="3" t="s">
        <v>9088</v>
      </c>
      <c r="C2109" s="49" t="s">
        <v>9089</v>
      </c>
      <c r="D2109" s="49"/>
      <c r="E2109" s="49"/>
      <c r="F2109" s="49"/>
      <c r="G2109" s="4" t="s">
        <v>9090</v>
      </c>
      <c r="H2109" s="8"/>
      <c r="I2109" s="9" t="s">
        <v>9091</v>
      </c>
      <c r="J2109" s="10"/>
      <c r="K2109" s="11">
        <v>20</v>
      </c>
      <c r="L2109" s="10"/>
      <c r="M2109" s="10" t="s">
        <v>47</v>
      </c>
      <c r="N2109" s="10"/>
      <c r="O2109" s="2">
        <v>1</v>
      </c>
      <c r="P2109" s="17">
        <f>499*(1-S3/100)</f>
        <v>499</v>
      </c>
      <c r="Q2109" s="18"/>
      <c r="R2109" s="10">
        <f>P2109*Q2109</f>
        <v>0</v>
      </c>
      <c r="S2109" s="19">
        <f>0.209*Q2109</f>
        <v>0</v>
      </c>
      <c r="T2109" s="20">
        <f>0.00053*Q2109</f>
        <v>0</v>
      </c>
      <c r="U2109" s="21"/>
      <c r="V2109" s="22" t="s">
        <v>9092</v>
      </c>
      <c r="W2109" s="22" t="s">
        <v>49</v>
      </c>
      <c r="X2109" s="3" t="s">
        <v>8767</v>
      </c>
      <c r="Y2109" s="3" t="s">
        <v>9093</v>
      </c>
      <c r="Z2109" s="3" t="s">
        <v>52</v>
      </c>
      <c r="AA2109" s="3"/>
      <c r="AB2109" s="3"/>
      <c r="AC2109" s="3" t="str">
        <f>HYPERLINK("https://knigipp.ru/api/getInfo/image/bc666088-13e1-11f1-a28f-00155d82e908")</f>
        <v>https://knigipp.ru/api/getInfo/image/bc666088-13e1-11f1-a28f-00155d82e908</v>
      </c>
      <c r="AD2109" s="32">
        <v>80</v>
      </c>
      <c r="AE2109" s="3" t="s">
        <v>54</v>
      </c>
      <c r="AF2109" s="3" t="s">
        <v>127</v>
      </c>
      <c r="AG2109" s="3"/>
      <c r="AH2109" s="3" t="s">
        <v>56</v>
      </c>
      <c r="AI2109" s="3"/>
      <c r="AJ2109" s="3"/>
      <c r="AK2109" s="3" t="str">
        <f>HYPERLINK("https://knigipp.ru/api/getInfo/item/bc666088-13e1-11f1-a28f-00155d82e908")</f>
        <v>https://knigipp.ru/api/getInfo/item/bc666088-13e1-11f1-a28f-00155d82e908</v>
      </c>
      <c r="AL2109" s="3" t="s">
        <v>9094</v>
      </c>
    </row>
    <row r="2110" spans="1:38" ht="23.1" customHeight="1" outlineLevel="2" x14ac:dyDescent="0.2">
      <c r="A2110" s="47" t="s">
        <v>9095</v>
      </c>
      <c r="B2110" s="47"/>
      <c r="C2110" s="47"/>
      <c r="D2110" s="47"/>
      <c r="E2110" s="47"/>
      <c r="F2110" s="47"/>
    </row>
    <row r="2111" spans="1:38" ht="23.1" customHeight="1" outlineLevel="3" x14ac:dyDescent="0.2">
      <c r="A2111" s="48" t="s">
        <v>9096</v>
      </c>
      <c r="B2111" s="48"/>
      <c r="C2111" s="48"/>
      <c r="D2111" s="48"/>
      <c r="E2111" s="48"/>
      <c r="F2111" s="48"/>
    </row>
    <row r="2112" spans="1:38" ht="21" customHeight="1" outlineLevel="4" x14ac:dyDescent="0.2">
      <c r="A2112" s="39">
        <v>1620</v>
      </c>
      <c r="B2112" s="3" t="s">
        <v>9097</v>
      </c>
      <c r="C2112" s="49" t="s">
        <v>9098</v>
      </c>
      <c r="D2112" s="49"/>
      <c r="E2112" s="49"/>
      <c r="F2112" s="49"/>
      <c r="G2112" s="4" t="s">
        <v>9099</v>
      </c>
      <c r="H2112" s="8"/>
      <c r="I2112" s="9" t="s">
        <v>9100</v>
      </c>
      <c r="J2112" s="10"/>
      <c r="K2112" s="11">
        <v>10</v>
      </c>
      <c r="L2112" s="10"/>
      <c r="M2112" s="10" t="s">
        <v>47</v>
      </c>
      <c r="N2112" s="10"/>
      <c r="O2112" s="2">
        <v>1</v>
      </c>
      <c r="P2112" s="17">
        <f>599*(1-S3/100)</f>
        <v>599</v>
      </c>
      <c r="Q2112" s="18"/>
      <c r="R2112" s="10">
        <f>P2112*Q2112</f>
        <v>0</v>
      </c>
      <c r="S2112" s="19">
        <f>0.298*Q2112</f>
        <v>0</v>
      </c>
      <c r="T2112" s="20">
        <f>0.00049*Q2112</f>
        <v>0</v>
      </c>
      <c r="U2112" s="21"/>
      <c r="V2112" s="22" t="s">
        <v>9101</v>
      </c>
      <c r="W2112" s="22" t="s">
        <v>49</v>
      </c>
      <c r="X2112" s="3" t="s">
        <v>8516</v>
      </c>
      <c r="Y2112" s="3" t="s">
        <v>9102</v>
      </c>
      <c r="Z2112" s="3" t="s">
        <v>384</v>
      </c>
      <c r="AA2112" s="3"/>
      <c r="AB2112" s="3"/>
      <c r="AC2112" s="3" t="str">
        <f>HYPERLINK("https://knigipp.ru/api/getInfo/image/6da9fc6e-25c0-11f0-a279-00155d82e908")</f>
        <v>https://knigipp.ru/api/getInfo/image/6da9fc6e-25c0-11f0-a279-00155d82e908</v>
      </c>
      <c r="AD2112" s="32">
        <v>64</v>
      </c>
      <c r="AE2112" s="3" t="s">
        <v>54</v>
      </c>
      <c r="AF2112" s="3" t="s">
        <v>127</v>
      </c>
      <c r="AG2112" s="3"/>
      <c r="AH2112" s="3" t="s">
        <v>56</v>
      </c>
      <c r="AI2112" s="3"/>
      <c r="AJ2112" s="3"/>
      <c r="AK2112" s="3" t="str">
        <f>HYPERLINK("https://knigipp.ru/api/getInfo/item/6da9fc6e-25c0-11f0-a279-00155d82e908")</f>
        <v>https://knigipp.ru/api/getInfo/item/6da9fc6e-25c0-11f0-a279-00155d82e908</v>
      </c>
      <c r="AL2112" s="3" t="s">
        <v>9103</v>
      </c>
    </row>
    <row r="2113" spans="1:38" ht="23.1" customHeight="1" outlineLevel="3" x14ac:dyDescent="0.2">
      <c r="A2113" s="48" t="s">
        <v>9104</v>
      </c>
      <c r="B2113" s="48"/>
      <c r="C2113" s="48"/>
      <c r="D2113" s="48"/>
      <c r="E2113" s="48"/>
      <c r="F2113" s="48"/>
    </row>
    <row r="2114" spans="1:38" ht="21" customHeight="1" outlineLevel="4" x14ac:dyDescent="0.2">
      <c r="A2114" s="39">
        <v>1621</v>
      </c>
      <c r="B2114" s="3" t="s">
        <v>9105</v>
      </c>
      <c r="C2114" s="49" t="s">
        <v>9106</v>
      </c>
      <c r="D2114" s="49"/>
      <c r="E2114" s="49"/>
      <c r="F2114" s="49"/>
      <c r="G2114" s="4" t="s">
        <v>9107</v>
      </c>
      <c r="H2114" s="8"/>
      <c r="I2114" s="9" t="s">
        <v>9108</v>
      </c>
      <c r="J2114" s="10"/>
      <c r="K2114" s="11">
        <v>20</v>
      </c>
      <c r="L2114" s="10"/>
      <c r="M2114" s="10" t="s">
        <v>47</v>
      </c>
      <c r="N2114" s="10"/>
      <c r="O2114" s="2">
        <v>2</v>
      </c>
      <c r="P2114" s="17">
        <f>382*(1-S3/100)</f>
        <v>382</v>
      </c>
      <c r="Q2114" s="18"/>
      <c r="R2114" s="10">
        <f>P2114*Q2114</f>
        <v>0</v>
      </c>
      <c r="S2114" s="19">
        <f>0.177*Q2114</f>
        <v>0</v>
      </c>
      <c r="T2114" s="20">
        <f>0.00055*Q2114</f>
        <v>0</v>
      </c>
      <c r="U2114" s="21"/>
      <c r="V2114" s="22" t="s">
        <v>9109</v>
      </c>
      <c r="W2114" s="22" t="s">
        <v>49</v>
      </c>
      <c r="X2114" s="3" t="s">
        <v>9110</v>
      </c>
      <c r="Y2114" s="3" t="s">
        <v>9111</v>
      </c>
      <c r="Z2114" s="3" t="s">
        <v>3329</v>
      </c>
      <c r="AA2114" s="3"/>
      <c r="AB2114" s="3"/>
      <c r="AC2114" s="3" t="str">
        <f>HYPERLINK("https://knigipp.ru/api/getInfo/image/73954588-25bb-11f0-a279-00155d82e908")</f>
        <v>https://knigipp.ru/api/getInfo/image/73954588-25bb-11f0-a279-00155d82e908</v>
      </c>
      <c r="AD2114" s="32">
        <v>160</v>
      </c>
      <c r="AE2114" s="3" t="s">
        <v>9112</v>
      </c>
      <c r="AF2114" s="3" t="s">
        <v>55</v>
      </c>
      <c r="AG2114" s="3"/>
      <c r="AH2114" s="3" t="s">
        <v>56</v>
      </c>
      <c r="AI2114" s="3"/>
      <c r="AJ2114" s="3"/>
      <c r="AK2114" s="3" t="str">
        <f>HYPERLINK("https://knigipp.ru/api/getInfo/item/73954588-25bb-11f0-a279-00155d82e908")</f>
        <v>https://knigipp.ru/api/getInfo/item/73954588-25bb-11f0-a279-00155d82e908</v>
      </c>
      <c r="AL2114" s="3" t="s">
        <v>9113</v>
      </c>
    </row>
    <row r="2115" spans="1:38" ht="21" customHeight="1" outlineLevel="4" x14ac:dyDescent="0.2">
      <c r="A2115" s="39">
        <v>1622</v>
      </c>
      <c r="B2115" s="3" t="s">
        <v>9114</v>
      </c>
      <c r="C2115" s="49" t="s">
        <v>9115</v>
      </c>
      <c r="D2115" s="49"/>
      <c r="E2115" s="49"/>
      <c r="F2115" s="49"/>
      <c r="G2115" s="4" t="s">
        <v>9116</v>
      </c>
      <c r="H2115" s="8"/>
      <c r="I2115" s="9" t="s">
        <v>9117</v>
      </c>
      <c r="J2115" s="10"/>
      <c r="K2115" s="11">
        <v>20</v>
      </c>
      <c r="L2115" s="10"/>
      <c r="M2115" s="10" t="s">
        <v>47</v>
      </c>
      <c r="N2115" s="10"/>
      <c r="O2115" s="2">
        <v>2</v>
      </c>
      <c r="P2115" s="17">
        <f>382*(1-S3/100)</f>
        <v>382</v>
      </c>
      <c r="Q2115" s="18"/>
      <c r="R2115" s="10">
        <f>P2115*Q2115</f>
        <v>0</v>
      </c>
      <c r="S2115" s="19">
        <f>0.172*Q2115</f>
        <v>0</v>
      </c>
      <c r="T2115" s="20">
        <f>0.00078*Q2115</f>
        <v>0</v>
      </c>
      <c r="U2115" s="21"/>
      <c r="V2115" s="22" t="s">
        <v>9118</v>
      </c>
      <c r="W2115" s="22" t="s">
        <v>49</v>
      </c>
      <c r="X2115" s="3" t="s">
        <v>9119</v>
      </c>
      <c r="Y2115" s="3" t="s">
        <v>9120</v>
      </c>
      <c r="Z2115" s="3" t="s">
        <v>3329</v>
      </c>
      <c r="AA2115" s="3"/>
      <c r="AB2115" s="3"/>
      <c r="AC2115" s="3" t="str">
        <f>HYPERLINK("https://knigipp.ru/api/getInfo/image/ef8b8004-66d4-11ef-a265-00155d82e908")</f>
        <v>https://knigipp.ru/api/getInfo/image/ef8b8004-66d4-11ef-a265-00155d82e908</v>
      </c>
      <c r="AD2115" s="32">
        <v>160</v>
      </c>
      <c r="AE2115" s="3" t="s">
        <v>2372</v>
      </c>
      <c r="AF2115" s="3" t="s">
        <v>55</v>
      </c>
      <c r="AG2115" s="3"/>
      <c r="AH2115" s="3" t="s">
        <v>56</v>
      </c>
      <c r="AI2115" s="3"/>
      <c r="AJ2115" s="3"/>
      <c r="AK2115" s="3" t="str">
        <f>HYPERLINK("https://knigipp.ru/api/getInfo/item/ef8b8004-66d4-11ef-a265-00155d82e908")</f>
        <v>https://knigipp.ru/api/getInfo/item/ef8b8004-66d4-11ef-a265-00155d82e908</v>
      </c>
      <c r="AL2115" s="3" t="s">
        <v>9113</v>
      </c>
    </row>
    <row r="2116" spans="1:38" ht="23.1" customHeight="1" outlineLevel="3" x14ac:dyDescent="0.2">
      <c r="A2116" s="48" t="s">
        <v>9121</v>
      </c>
      <c r="B2116" s="48"/>
      <c r="C2116" s="48"/>
      <c r="D2116" s="48"/>
      <c r="E2116" s="48"/>
      <c r="F2116" s="48"/>
    </row>
    <row r="2117" spans="1:38" ht="21" customHeight="1" outlineLevel="4" x14ac:dyDescent="0.2">
      <c r="A2117" s="39">
        <v>1623</v>
      </c>
      <c r="B2117" s="3" t="s">
        <v>9122</v>
      </c>
      <c r="C2117" s="49" t="s">
        <v>9123</v>
      </c>
      <c r="D2117" s="49"/>
      <c r="E2117" s="49"/>
      <c r="F2117" s="49"/>
      <c r="G2117" s="4" t="s">
        <v>9124</v>
      </c>
      <c r="H2117" s="8"/>
      <c r="I2117" s="9" t="s">
        <v>9125</v>
      </c>
      <c r="J2117" s="10"/>
      <c r="K2117" s="11">
        <v>20</v>
      </c>
      <c r="L2117" s="10"/>
      <c r="M2117" s="10" t="s">
        <v>47</v>
      </c>
      <c r="N2117" s="10"/>
      <c r="O2117" s="2">
        <v>2</v>
      </c>
      <c r="P2117" s="17">
        <f>296*(1-S3/100)</f>
        <v>296</v>
      </c>
      <c r="Q2117" s="18"/>
      <c r="R2117" s="10">
        <f t="shared" ref="R2117:R2124" si="91">P2117*Q2117</f>
        <v>0</v>
      </c>
      <c r="S2117" s="19">
        <f>0.178*Q2117</f>
        <v>0</v>
      </c>
      <c r="T2117" s="20">
        <f>0.00053*Q2117</f>
        <v>0</v>
      </c>
      <c r="U2117" s="21"/>
      <c r="V2117" s="22" t="s">
        <v>9126</v>
      </c>
      <c r="W2117" s="22" t="s">
        <v>49</v>
      </c>
      <c r="X2117" s="3" t="s">
        <v>8666</v>
      </c>
      <c r="Y2117" s="3" t="s">
        <v>9127</v>
      </c>
      <c r="Z2117" s="3" t="s">
        <v>3329</v>
      </c>
      <c r="AA2117" s="3"/>
      <c r="AB2117" s="3"/>
      <c r="AC2117" s="3" t="str">
        <f>HYPERLINK("https://knigipp.ru/api/getInfo/image/dd5ad2c9-cc09-11ee-a25a-00155d82e908")</f>
        <v>https://knigipp.ru/api/getInfo/image/dd5ad2c9-cc09-11ee-a25a-00155d82e908</v>
      </c>
      <c r="AD2117" s="32">
        <v>80</v>
      </c>
      <c r="AE2117" s="3" t="s">
        <v>54</v>
      </c>
      <c r="AF2117" s="3" t="s">
        <v>127</v>
      </c>
      <c r="AG2117" s="3"/>
      <c r="AH2117" s="3" t="s">
        <v>56</v>
      </c>
      <c r="AI2117" s="3"/>
      <c r="AJ2117" s="3"/>
      <c r="AK2117" s="3" t="str">
        <f>HYPERLINK("https://knigipp.ru/api/getInfo/item/dd5ad2c9-cc09-11ee-a25a-00155d82e908")</f>
        <v>https://knigipp.ru/api/getInfo/item/dd5ad2c9-cc09-11ee-a25a-00155d82e908</v>
      </c>
      <c r="AL2117" s="3" t="s">
        <v>9128</v>
      </c>
    </row>
    <row r="2118" spans="1:38" ht="21" customHeight="1" outlineLevel="4" x14ac:dyDescent="0.2">
      <c r="A2118" s="39">
        <v>1624</v>
      </c>
      <c r="B2118" s="3" t="s">
        <v>9129</v>
      </c>
      <c r="C2118" s="49" t="s">
        <v>9130</v>
      </c>
      <c r="D2118" s="49"/>
      <c r="E2118" s="49"/>
      <c r="F2118" s="49"/>
      <c r="G2118" s="4" t="s">
        <v>9131</v>
      </c>
      <c r="H2118" s="8"/>
      <c r="I2118" s="9" t="s">
        <v>9132</v>
      </c>
      <c r="J2118" s="10"/>
      <c r="K2118" s="11">
        <v>24</v>
      </c>
      <c r="L2118" s="10"/>
      <c r="M2118" s="10" t="s">
        <v>47</v>
      </c>
      <c r="N2118" s="10"/>
      <c r="O2118" s="2">
        <v>2</v>
      </c>
      <c r="P2118" s="17">
        <f>329*(1-S3/100)</f>
        <v>329</v>
      </c>
      <c r="Q2118" s="18"/>
      <c r="R2118" s="10">
        <f t="shared" si="91"/>
        <v>0</v>
      </c>
      <c r="S2118" s="19">
        <f>0.172*Q2118</f>
        <v>0</v>
      </c>
      <c r="T2118" s="20">
        <f>0.00004*Q2118</f>
        <v>0</v>
      </c>
      <c r="U2118" s="21"/>
      <c r="V2118" s="22" t="s">
        <v>9133</v>
      </c>
      <c r="W2118" s="22" t="s">
        <v>49</v>
      </c>
      <c r="X2118" s="3" t="s">
        <v>9134</v>
      </c>
      <c r="Y2118" s="3" t="s">
        <v>9135</v>
      </c>
      <c r="Z2118" s="3" t="s">
        <v>3329</v>
      </c>
      <c r="AA2118" s="3"/>
      <c r="AB2118" s="3"/>
      <c r="AC2118" s="3" t="str">
        <f>HYPERLINK("https://knigipp.ru/api/getInfo/image/039a5093-dfd0-11ef-a273-00155d82e908")</f>
        <v>https://knigipp.ru/api/getInfo/image/039a5093-dfd0-11ef-a273-00155d82e908</v>
      </c>
      <c r="AD2118" s="32">
        <v>80</v>
      </c>
      <c r="AE2118" s="3" t="s">
        <v>54</v>
      </c>
      <c r="AF2118" s="3" t="s">
        <v>127</v>
      </c>
      <c r="AG2118" s="3"/>
      <c r="AH2118" s="3" t="s">
        <v>56</v>
      </c>
      <c r="AI2118" s="3"/>
      <c r="AJ2118" s="3"/>
      <c r="AK2118" s="3" t="str">
        <f>HYPERLINK("https://knigipp.ru/api/getInfo/item/039a5093-dfd0-11ef-a273-00155d82e908")</f>
        <v>https://knigipp.ru/api/getInfo/item/039a5093-dfd0-11ef-a273-00155d82e908</v>
      </c>
      <c r="AL2118" s="3" t="s">
        <v>185</v>
      </c>
    </row>
    <row r="2119" spans="1:38" ht="21" customHeight="1" outlineLevel="4" x14ac:dyDescent="0.2">
      <c r="A2119" s="39">
        <v>1625</v>
      </c>
      <c r="B2119" s="3" t="s">
        <v>9136</v>
      </c>
      <c r="C2119" s="49" t="s">
        <v>9137</v>
      </c>
      <c r="D2119" s="49"/>
      <c r="E2119" s="49"/>
      <c r="F2119" s="49"/>
      <c r="G2119" s="4" t="s">
        <v>9138</v>
      </c>
      <c r="H2119" s="8"/>
      <c r="I2119" s="9" t="s">
        <v>9139</v>
      </c>
      <c r="J2119" s="10"/>
      <c r="K2119" s="11">
        <v>24</v>
      </c>
      <c r="L2119" s="10"/>
      <c r="M2119" s="10" t="s">
        <v>47</v>
      </c>
      <c r="N2119" s="10"/>
      <c r="O2119" s="2">
        <v>2</v>
      </c>
      <c r="P2119" s="17">
        <f>377*(1-S3/100)</f>
        <v>377</v>
      </c>
      <c r="Q2119" s="18"/>
      <c r="R2119" s="10">
        <f t="shared" si="91"/>
        <v>0</v>
      </c>
      <c r="S2119" s="19">
        <f>0.196*Q2119</f>
        <v>0</v>
      </c>
      <c r="T2119" s="20">
        <f>0.00055*Q2119</f>
        <v>0</v>
      </c>
      <c r="U2119" s="21"/>
      <c r="V2119" s="22" t="s">
        <v>9140</v>
      </c>
      <c r="W2119" s="22" t="s">
        <v>49</v>
      </c>
      <c r="X2119" s="3" t="s">
        <v>9141</v>
      </c>
      <c r="Y2119" s="3" t="s">
        <v>9142</v>
      </c>
      <c r="Z2119" s="3" t="s">
        <v>3329</v>
      </c>
      <c r="AA2119" s="3"/>
      <c r="AB2119" s="3"/>
      <c r="AC2119" s="3" t="str">
        <f>HYPERLINK("https://knigipp.ru/api/getInfo/image/29d50abc-6e13-11f0-a284-00155d82e908")</f>
        <v>https://knigipp.ru/api/getInfo/image/29d50abc-6e13-11f0-a284-00155d82e908</v>
      </c>
      <c r="AD2119" s="32">
        <v>80</v>
      </c>
      <c r="AE2119" s="3" t="s">
        <v>54</v>
      </c>
      <c r="AF2119" s="3" t="s">
        <v>127</v>
      </c>
      <c r="AG2119" s="3"/>
      <c r="AH2119" s="3" t="s">
        <v>56</v>
      </c>
      <c r="AI2119" s="3"/>
      <c r="AJ2119" s="3"/>
      <c r="AK2119" s="3" t="str">
        <f>HYPERLINK("https://knigipp.ru/api/getInfo/item/29d50abc-6e13-11f0-a284-00155d82e908")</f>
        <v>https://knigipp.ru/api/getInfo/item/29d50abc-6e13-11f0-a284-00155d82e908</v>
      </c>
      <c r="AL2119" s="3" t="s">
        <v>9143</v>
      </c>
    </row>
    <row r="2120" spans="1:38" ht="21" customHeight="1" outlineLevel="4" x14ac:dyDescent="0.2">
      <c r="A2120" s="39">
        <v>1626</v>
      </c>
      <c r="B2120" s="3" t="s">
        <v>9144</v>
      </c>
      <c r="C2120" s="49" t="s">
        <v>9145</v>
      </c>
      <c r="D2120" s="49"/>
      <c r="E2120" s="49"/>
      <c r="F2120" s="49"/>
      <c r="G2120" s="4" t="s">
        <v>9146</v>
      </c>
      <c r="H2120" s="8"/>
      <c r="I2120" s="9" t="s">
        <v>9147</v>
      </c>
      <c r="J2120" s="10"/>
      <c r="K2120" s="11">
        <v>24</v>
      </c>
      <c r="L2120" s="10"/>
      <c r="M2120" s="10" t="s">
        <v>47</v>
      </c>
      <c r="N2120" s="10"/>
      <c r="O2120" s="2">
        <v>2</v>
      </c>
      <c r="P2120" s="17">
        <f>377*(1-S3/100)</f>
        <v>377</v>
      </c>
      <c r="Q2120" s="18"/>
      <c r="R2120" s="10">
        <f t="shared" si="91"/>
        <v>0</v>
      </c>
      <c r="S2120" s="28">
        <f>0.18*Q2120</f>
        <v>0</v>
      </c>
      <c r="T2120" s="20">
        <f>0.00039*Q2120</f>
        <v>0</v>
      </c>
      <c r="U2120" s="21"/>
      <c r="V2120" s="22" t="s">
        <v>9148</v>
      </c>
      <c r="W2120" s="22" t="s">
        <v>49</v>
      </c>
      <c r="X2120" s="3" t="s">
        <v>9134</v>
      </c>
      <c r="Y2120" s="3" t="s">
        <v>9149</v>
      </c>
      <c r="Z2120" s="3" t="s">
        <v>3329</v>
      </c>
      <c r="AA2120" s="3"/>
      <c r="AB2120" s="3"/>
      <c r="AC2120" s="3" t="str">
        <f>HYPERLINK("https://knigipp.ru/api/getInfo/image/d2fbd494-b65d-11f0-a286-00155d82e908")</f>
        <v>https://knigipp.ru/api/getInfo/image/d2fbd494-b65d-11f0-a286-00155d82e908</v>
      </c>
      <c r="AD2120" s="32">
        <v>80</v>
      </c>
      <c r="AE2120" s="3" t="s">
        <v>54</v>
      </c>
      <c r="AF2120" s="3" t="s">
        <v>127</v>
      </c>
      <c r="AG2120" s="3"/>
      <c r="AH2120" s="3" t="s">
        <v>56</v>
      </c>
      <c r="AI2120" s="3"/>
      <c r="AJ2120" s="3"/>
      <c r="AK2120" s="3" t="str">
        <f>HYPERLINK("https://knigipp.ru/api/getInfo/item/d2fbd494-b65d-11f0-a286-00155d82e908")</f>
        <v>https://knigipp.ru/api/getInfo/item/d2fbd494-b65d-11f0-a286-00155d82e908</v>
      </c>
      <c r="AL2120" s="3" t="s">
        <v>9143</v>
      </c>
    </row>
    <row r="2121" spans="1:38" ht="21" customHeight="1" outlineLevel="4" x14ac:dyDescent="0.2">
      <c r="A2121" s="39">
        <v>1627</v>
      </c>
      <c r="B2121" s="3" t="s">
        <v>9150</v>
      </c>
      <c r="C2121" s="49" t="s">
        <v>9151</v>
      </c>
      <c r="D2121" s="49"/>
      <c r="E2121" s="49"/>
      <c r="F2121" s="49"/>
      <c r="G2121" s="4" t="s">
        <v>9152</v>
      </c>
      <c r="H2121" s="8"/>
      <c r="I2121" s="9" t="s">
        <v>9153</v>
      </c>
      <c r="J2121" s="10"/>
      <c r="K2121" s="11">
        <v>20</v>
      </c>
      <c r="L2121" s="10"/>
      <c r="M2121" s="10" t="s">
        <v>47</v>
      </c>
      <c r="N2121" s="10"/>
      <c r="O2121" s="2">
        <v>2</v>
      </c>
      <c r="P2121" s="17">
        <f>329*(1-S3/100)</f>
        <v>329</v>
      </c>
      <c r="Q2121" s="18"/>
      <c r="R2121" s="10">
        <f t="shared" si="91"/>
        <v>0</v>
      </c>
      <c r="S2121" s="19">
        <f>0.176*Q2121</f>
        <v>0</v>
      </c>
      <c r="T2121" s="20">
        <f>0.00043*Q2121</f>
        <v>0</v>
      </c>
      <c r="U2121" s="21"/>
      <c r="V2121" s="22" t="s">
        <v>9154</v>
      </c>
      <c r="W2121" s="22" t="s">
        <v>49</v>
      </c>
      <c r="X2121" s="3" t="s">
        <v>8666</v>
      </c>
      <c r="Y2121" s="3" t="s">
        <v>9155</v>
      </c>
      <c r="Z2121" s="3" t="s">
        <v>3329</v>
      </c>
      <c r="AA2121" s="3"/>
      <c r="AB2121" s="3"/>
      <c r="AC2121" s="3" t="str">
        <f>HYPERLINK("https://knigipp.ru/api/getInfo/image/2f3472f8-9783-11ef-a267-00155d82e908")</f>
        <v>https://knigipp.ru/api/getInfo/image/2f3472f8-9783-11ef-a267-00155d82e908</v>
      </c>
      <c r="AD2121" s="32">
        <v>80</v>
      </c>
      <c r="AE2121" s="3" t="s">
        <v>54</v>
      </c>
      <c r="AF2121" s="3" t="s">
        <v>127</v>
      </c>
      <c r="AG2121" s="3"/>
      <c r="AH2121" s="3" t="s">
        <v>56</v>
      </c>
      <c r="AI2121" s="3"/>
      <c r="AJ2121" s="3"/>
      <c r="AK2121" s="3" t="str">
        <f>HYPERLINK("https://knigipp.ru/api/getInfo/item/2f3472f8-9783-11ef-a267-00155d82e908")</f>
        <v>https://knigipp.ru/api/getInfo/item/2f3472f8-9783-11ef-a267-00155d82e908</v>
      </c>
      <c r="AL2121" s="3" t="s">
        <v>9128</v>
      </c>
    </row>
    <row r="2122" spans="1:38" ht="21" customHeight="1" outlineLevel="4" x14ac:dyDescent="0.2">
      <c r="A2122" s="39">
        <v>1628</v>
      </c>
      <c r="B2122" s="3" t="s">
        <v>9156</v>
      </c>
      <c r="C2122" s="49" t="s">
        <v>9157</v>
      </c>
      <c r="D2122" s="49"/>
      <c r="E2122" s="49"/>
      <c r="F2122" s="49"/>
      <c r="G2122" s="4" t="s">
        <v>9158</v>
      </c>
      <c r="H2122" s="8"/>
      <c r="I2122" s="9" t="s">
        <v>9159</v>
      </c>
      <c r="J2122" s="10"/>
      <c r="K2122" s="11">
        <v>20</v>
      </c>
      <c r="L2122" s="10"/>
      <c r="M2122" s="10" t="s">
        <v>47</v>
      </c>
      <c r="N2122" s="10"/>
      <c r="O2122" s="2">
        <v>2</v>
      </c>
      <c r="P2122" s="17">
        <f>329*(1-S3/100)</f>
        <v>329</v>
      </c>
      <c r="Q2122" s="18"/>
      <c r="R2122" s="10">
        <f t="shared" si="91"/>
        <v>0</v>
      </c>
      <c r="S2122" s="19">
        <f>0.173*Q2122</f>
        <v>0</v>
      </c>
      <c r="T2122" s="20">
        <f>0.00044*Q2122</f>
        <v>0</v>
      </c>
      <c r="U2122" s="21"/>
      <c r="V2122" s="22" t="s">
        <v>9160</v>
      </c>
      <c r="W2122" s="22" t="s">
        <v>49</v>
      </c>
      <c r="X2122" s="3" t="s">
        <v>9134</v>
      </c>
      <c r="Y2122" s="3" t="s">
        <v>9161</v>
      </c>
      <c r="Z2122" s="3" t="s">
        <v>3329</v>
      </c>
      <c r="AA2122" s="3"/>
      <c r="AB2122" s="3"/>
      <c r="AC2122" s="3" t="str">
        <f>HYPERLINK("https://knigipp.ru/api/getInfo/image/c3104f4f-d6d0-11ee-a25a-00155d82e908")</f>
        <v>https://knigipp.ru/api/getInfo/image/c3104f4f-d6d0-11ee-a25a-00155d82e908</v>
      </c>
      <c r="AD2122" s="32">
        <v>80</v>
      </c>
      <c r="AE2122" s="3" t="s">
        <v>54</v>
      </c>
      <c r="AF2122" s="3" t="s">
        <v>127</v>
      </c>
      <c r="AG2122" s="3"/>
      <c r="AH2122" s="3" t="s">
        <v>56</v>
      </c>
      <c r="AI2122" s="3"/>
      <c r="AJ2122" s="3"/>
      <c r="AK2122" s="3" t="str">
        <f>HYPERLINK("https://knigipp.ru/api/getInfo/item/c3104f4f-d6d0-11ee-a25a-00155d82e908")</f>
        <v>https://knigipp.ru/api/getInfo/item/c3104f4f-d6d0-11ee-a25a-00155d82e908</v>
      </c>
      <c r="AL2122" s="3" t="s">
        <v>9162</v>
      </c>
    </row>
    <row r="2123" spans="1:38" ht="21" customHeight="1" outlineLevel="4" x14ac:dyDescent="0.2">
      <c r="A2123" s="39">
        <v>1629</v>
      </c>
      <c r="B2123" s="3" t="s">
        <v>9163</v>
      </c>
      <c r="C2123" s="49" t="s">
        <v>9164</v>
      </c>
      <c r="D2123" s="49"/>
      <c r="E2123" s="49"/>
      <c r="F2123" s="49"/>
      <c r="G2123" s="4" t="s">
        <v>9165</v>
      </c>
      <c r="H2123" s="8"/>
      <c r="I2123" s="9" t="s">
        <v>9166</v>
      </c>
      <c r="J2123" s="10"/>
      <c r="K2123" s="11">
        <v>20</v>
      </c>
      <c r="L2123" s="10"/>
      <c r="M2123" s="10" t="s">
        <v>47</v>
      </c>
      <c r="N2123" s="10"/>
      <c r="O2123" s="2">
        <v>2</v>
      </c>
      <c r="P2123" s="17">
        <f>296*(1-S3/100)</f>
        <v>296</v>
      </c>
      <c r="Q2123" s="18"/>
      <c r="R2123" s="10">
        <f t="shared" si="91"/>
        <v>0</v>
      </c>
      <c r="S2123" s="19">
        <f>0.218*Q2123</f>
        <v>0</v>
      </c>
      <c r="T2123" s="20">
        <f>0.00037*Q2123</f>
        <v>0</v>
      </c>
      <c r="U2123" s="21"/>
      <c r="V2123" s="22" t="s">
        <v>9167</v>
      </c>
      <c r="W2123" s="22" t="s">
        <v>49</v>
      </c>
      <c r="X2123" s="3" t="s">
        <v>9141</v>
      </c>
      <c r="Y2123" s="3" t="s">
        <v>9168</v>
      </c>
      <c r="Z2123" s="3" t="s">
        <v>3329</v>
      </c>
      <c r="AA2123" s="3" t="s">
        <v>3770</v>
      </c>
      <c r="AB2123" s="3"/>
      <c r="AC2123" s="3" t="str">
        <f>HYPERLINK("https://knigipp.ru/api/getInfo/image/d8732795-edc0-11ee-a25b-00155d82e908")</f>
        <v>https://knigipp.ru/api/getInfo/image/d8732795-edc0-11ee-a25b-00155d82e908</v>
      </c>
      <c r="AD2123" s="32">
        <v>80</v>
      </c>
      <c r="AE2123" s="3" t="s">
        <v>54</v>
      </c>
      <c r="AF2123" s="3" t="s">
        <v>127</v>
      </c>
      <c r="AG2123" s="3"/>
      <c r="AH2123" s="3" t="s">
        <v>56</v>
      </c>
      <c r="AI2123" s="3"/>
      <c r="AJ2123" s="3"/>
      <c r="AK2123" s="3" t="str">
        <f>HYPERLINK("https://knigipp.ru/api/getInfo/item/d8732795-edc0-11ee-a25b-00155d82e908")</f>
        <v>https://knigipp.ru/api/getInfo/item/d8732795-edc0-11ee-a25b-00155d82e908</v>
      </c>
      <c r="AL2123" s="3" t="s">
        <v>9128</v>
      </c>
    </row>
    <row r="2124" spans="1:38" ht="21" customHeight="1" outlineLevel="4" x14ac:dyDescent="0.2">
      <c r="A2124" s="39">
        <v>1630</v>
      </c>
      <c r="B2124" s="3" t="s">
        <v>9169</v>
      </c>
      <c r="C2124" s="49" t="s">
        <v>9170</v>
      </c>
      <c r="D2124" s="49"/>
      <c r="E2124" s="49"/>
      <c r="F2124" s="49"/>
      <c r="G2124" s="4" t="s">
        <v>9171</v>
      </c>
      <c r="H2124" s="8"/>
      <c r="I2124" s="9" t="s">
        <v>9172</v>
      </c>
      <c r="J2124" s="10"/>
      <c r="K2124" s="11">
        <v>20</v>
      </c>
      <c r="L2124" s="10"/>
      <c r="M2124" s="10" t="s">
        <v>47</v>
      </c>
      <c r="N2124" s="10"/>
      <c r="O2124" s="2">
        <v>2</v>
      </c>
      <c r="P2124" s="17">
        <f>349*(1-S3/100)</f>
        <v>349</v>
      </c>
      <c r="Q2124" s="18"/>
      <c r="R2124" s="10">
        <f t="shared" si="91"/>
        <v>0</v>
      </c>
      <c r="S2124" s="19">
        <f>0.151*Q2124</f>
        <v>0</v>
      </c>
      <c r="T2124" s="20">
        <f>0.00032*Q2124</f>
        <v>0</v>
      </c>
      <c r="U2124" s="21"/>
      <c r="V2124" s="22" t="s">
        <v>9173</v>
      </c>
      <c r="W2124" s="22" t="s">
        <v>49</v>
      </c>
      <c r="X2124" s="3" t="s">
        <v>8898</v>
      </c>
      <c r="Y2124" s="3" t="s">
        <v>9174</v>
      </c>
      <c r="Z2124" s="3" t="s">
        <v>3329</v>
      </c>
      <c r="AA2124" s="3"/>
      <c r="AB2124" s="3"/>
      <c r="AC2124" s="3" t="str">
        <f>HYPERLINK("https://knigipp.ru/api/getInfo/image/2c4f3a2b-6dbc-11ee-a247-00155d82e902")</f>
        <v>https://knigipp.ru/api/getInfo/image/2c4f3a2b-6dbc-11ee-a247-00155d82e902</v>
      </c>
      <c r="AD2124" s="32">
        <v>80</v>
      </c>
      <c r="AE2124" s="3" t="s">
        <v>54</v>
      </c>
      <c r="AF2124" s="3" t="s">
        <v>127</v>
      </c>
      <c r="AG2124" s="3"/>
      <c r="AH2124" s="3" t="s">
        <v>56</v>
      </c>
      <c r="AI2124" s="3"/>
      <c r="AJ2124" s="3"/>
      <c r="AK2124" s="3" t="str">
        <f>HYPERLINK("https://knigipp.ru/api/getInfo/item/2c4f3a2b-6dbc-11ee-a247-00155d82e902")</f>
        <v>https://knigipp.ru/api/getInfo/item/2c4f3a2b-6dbc-11ee-a247-00155d82e902</v>
      </c>
      <c r="AL2124" s="3" t="s">
        <v>9128</v>
      </c>
    </row>
    <row r="2125" spans="1:38" ht="23.1" customHeight="1" outlineLevel="3" x14ac:dyDescent="0.2">
      <c r="A2125" s="48" t="s">
        <v>9175</v>
      </c>
      <c r="B2125" s="48"/>
      <c r="C2125" s="48"/>
      <c r="D2125" s="48"/>
      <c r="E2125" s="48"/>
      <c r="F2125" s="48"/>
    </row>
    <row r="2126" spans="1:38" ht="21" customHeight="1" outlineLevel="4" x14ac:dyDescent="0.2">
      <c r="A2126" s="39">
        <v>1631</v>
      </c>
      <c r="B2126" s="3" t="s">
        <v>9176</v>
      </c>
      <c r="C2126" s="49" t="s">
        <v>9177</v>
      </c>
      <c r="D2126" s="49"/>
      <c r="E2126" s="49"/>
      <c r="F2126" s="49"/>
      <c r="G2126" s="4" t="s">
        <v>9178</v>
      </c>
      <c r="H2126" s="8"/>
      <c r="I2126" s="9" t="s">
        <v>9179</v>
      </c>
      <c r="J2126" s="10"/>
      <c r="K2126" s="11">
        <v>20</v>
      </c>
      <c r="L2126" s="10"/>
      <c r="M2126" s="10" t="s">
        <v>47</v>
      </c>
      <c r="N2126" s="10"/>
      <c r="O2126" s="2">
        <v>1</v>
      </c>
      <c r="P2126" s="17">
        <f>549*(1-S3/100)</f>
        <v>549</v>
      </c>
      <c r="Q2126" s="18"/>
      <c r="R2126" s="10">
        <f>P2126*Q2126</f>
        <v>0</v>
      </c>
      <c r="S2126" s="19">
        <f>0.271*Q2126</f>
        <v>0</v>
      </c>
      <c r="T2126" s="30">
        <f>0.0005*Q2126</f>
        <v>0</v>
      </c>
      <c r="U2126" s="21"/>
      <c r="V2126" s="22" t="s">
        <v>9180</v>
      </c>
      <c r="W2126" s="22" t="s">
        <v>49</v>
      </c>
      <c r="X2126" s="3" t="s">
        <v>9181</v>
      </c>
      <c r="Y2126" s="3" t="s">
        <v>9182</v>
      </c>
      <c r="Z2126" s="3" t="s">
        <v>3329</v>
      </c>
      <c r="AA2126" s="3"/>
      <c r="AB2126" s="3"/>
      <c r="AC2126" s="3" t="str">
        <f>HYPERLINK("https://knigipp.ru/api/getInfo/image/a1ed79c8-d1e9-11ed-a230-00155d82e902")</f>
        <v>https://knigipp.ru/api/getInfo/image/a1ed79c8-d1e9-11ed-a230-00155d82e902</v>
      </c>
      <c r="AD2126" s="32">
        <v>144</v>
      </c>
      <c r="AE2126" s="3" t="s">
        <v>54</v>
      </c>
      <c r="AF2126" s="3" t="s">
        <v>127</v>
      </c>
      <c r="AG2126" s="3"/>
      <c r="AH2126" s="3" t="s">
        <v>56</v>
      </c>
      <c r="AI2126" s="3"/>
      <c r="AJ2126" s="3"/>
      <c r="AK2126" s="3" t="str">
        <f>HYPERLINK("https://knigipp.ru/api/getInfo/item/a1ed79c8-d1e9-11ed-a230-00155d82e902")</f>
        <v>https://knigipp.ru/api/getInfo/item/a1ed79c8-d1e9-11ed-a230-00155d82e902</v>
      </c>
      <c r="AL2126" s="3" t="s">
        <v>8819</v>
      </c>
    </row>
    <row r="2127" spans="1:38" ht="21" customHeight="1" outlineLevel="4" x14ac:dyDescent="0.2">
      <c r="A2127" s="39">
        <v>1632</v>
      </c>
      <c r="B2127" s="3" t="s">
        <v>9183</v>
      </c>
      <c r="C2127" s="49" t="s">
        <v>9184</v>
      </c>
      <c r="D2127" s="49"/>
      <c r="E2127" s="49"/>
      <c r="F2127" s="49"/>
      <c r="G2127" s="4" t="s">
        <v>9185</v>
      </c>
      <c r="H2127" s="8"/>
      <c r="I2127" s="9" t="s">
        <v>9186</v>
      </c>
      <c r="J2127" s="10"/>
      <c r="K2127" s="11">
        <v>20</v>
      </c>
      <c r="L2127" s="10"/>
      <c r="M2127" s="10" t="s">
        <v>47</v>
      </c>
      <c r="N2127" s="10"/>
      <c r="O2127" s="2">
        <v>2</v>
      </c>
      <c r="P2127" s="17">
        <f>382*(1-S3/100)</f>
        <v>382</v>
      </c>
      <c r="Q2127" s="18"/>
      <c r="R2127" s="10">
        <f>P2127*Q2127</f>
        <v>0</v>
      </c>
      <c r="S2127" s="19">
        <f>0.231*Q2127</f>
        <v>0</v>
      </c>
      <c r="T2127" s="30">
        <f>0.0004*Q2127</f>
        <v>0</v>
      </c>
      <c r="U2127" s="21"/>
      <c r="V2127" s="22" t="s">
        <v>9187</v>
      </c>
      <c r="W2127" s="22" t="s">
        <v>49</v>
      </c>
      <c r="X2127" s="3" t="s">
        <v>8921</v>
      </c>
      <c r="Y2127" s="3" t="s">
        <v>9188</v>
      </c>
      <c r="Z2127" s="3" t="s">
        <v>384</v>
      </c>
      <c r="AA2127" s="3" t="s">
        <v>2727</v>
      </c>
      <c r="AB2127" s="3"/>
      <c r="AC2127" s="3" t="str">
        <f>HYPERLINK("https://knigipp.ru/api/getInfo/image/5f84b4e8-7f38-11ef-a265-00155d82e908")</f>
        <v>https://knigipp.ru/api/getInfo/image/5f84b4e8-7f38-11ef-a265-00155d82e908</v>
      </c>
      <c r="AD2127" s="32">
        <v>112</v>
      </c>
      <c r="AE2127" s="3"/>
      <c r="AF2127" s="3" t="s">
        <v>127</v>
      </c>
      <c r="AG2127" s="3"/>
      <c r="AH2127" s="3" t="s">
        <v>56</v>
      </c>
      <c r="AI2127" s="3"/>
      <c r="AJ2127" s="3"/>
      <c r="AK2127" s="3" t="str">
        <f>HYPERLINK("https://knigipp.ru/api/getInfo/item/5f84b4e8-7f38-11ef-a265-00155d82e908")</f>
        <v>https://knigipp.ru/api/getInfo/item/5f84b4e8-7f38-11ef-a265-00155d82e908</v>
      </c>
      <c r="AL2127" s="3" t="s">
        <v>9189</v>
      </c>
    </row>
    <row r="2128" spans="1:38" ht="21" customHeight="1" outlineLevel="4" x14ac:dyDescent="0.2">
      <c r="A2128" s="39">
        <v>1633</v>
      </c>
      <c r="B2128" s="3" t="s">
        <v>9190</v>
      </c>
      <c r="C2128" s="49" t="s">
        <v>9191</v>
      </c>
      <c r="D2128" s="49"/>
      <c r="E2128" s="49"/>
      <c r="F2128" s="49"/>
      <c r="G2128" s="4" t="s">
        <v>9192</v>
      </c>
      <c r="H2128" s="8"/>
      <c r="I2128" s="9" t="s">
        <v>9193</v>
      </c>
      <c r="J2128" s="10"/>
      <c r="K2128" s="11">
        <v>10</v>
      </c>
      <c r="L2128" s="10"/>
      <c r="M2128" s="10" t="s">
        <v>78</v>
      </c>
      <c r="N2128" s="10"/>
      <c r="O2128" s="2">
        <v>1</v>
      </c>
      <c r="P2128" s="17">
        <f>647*(1-S3/100)</f>
        <v>647</v>
      </c>
      <c r="Q2128" s="18"/>
      <c r="R2128" s="10">
        <f>P2128*Q2128</f>
        <v>0</v>
      </c>
      <c r="S2128" s="19">
        <f>0.447*Q2128</f>
        <v>0</v>
      </c>
      <c r="T2128" s="30">
        <f>0.0006*Q2128</f>
        <v>0</v>
      </c>
      <c r="U2128" s="21"/>
      <c r="V2128" s="22" t="s">
        <v>9194</v>
      </c>
      <c r="W2128" s="22" t="s">
        <v>49</v>
      </c>
      <c r="X2128" s="3" t="s">
        <v>8658</v>
      </c>
      <c r="Y2128" s="3" t="s">
        <v>9195</v>
      </c>
      <c r="Z2128" s="3" t="s">
        <v>3329</v>
      </c>
      <c r="AA2128" s="3"/>
      <c r="AB2128" s="3"/>
      <c r="AC2128" s="3" t="str">
        <f>HYPERLINK("https://knigipp.ru/api/getInfo/image/d630caea-dfdc-11ef-a273-00155d82e908")</f>
        <v>https://knigipp.ru/api/getInfo/image/d630caea-dfdc-11ef-a273-00155d82e908</v>
      </c>
      <c r="AD2128" s="32">
        <v>336</v>
      </c>
      <c r="AE2128" s="3" t="s">
        <v>54</v>
      </c>
      <c r="AF2128" s="3" t="s">
        <v>127</v>
      </c>
      <c r="AG2128" s="3"/>
      <c r="AH2128" s="3" t="s">
        <v>56</v>
      </c>
      <c r="AI2128" s="3"/>
      <c r="AJ2128" s="3"/>
      <c r="AK2128" s="3" t="str">
        <f>HYPERLINK("https://knigipp.ru/api/getInfo/item/d630caea-dfdc-11ef-a273-00155d82e908")</f>
        <v>https://knigipp.ru/api/getInfo/item/d630caea-dfdc-11ef-a273-00155d82e908</v>
      </c>
      <c r="AL2128" s="3" t="s">
        <v>9196</v>
      </c>
    </row>
    <row r="2129" spans="1:38" ht="21" customHeight="1" outlineLevel="4" x14ac:dyDescent="0.2">
      <c r="A2129" s="39">
        <v>1634</v>
      </c>
      <c r="B2129" s="3" t="s">
        <v>9197</v>
      </c>
      <c r="C2129" s="49" t="s">
        <v>9198</v>
      </c>
      <c r="D2129" s="49"/>
      <c r="E2129" s="49"/>
      <c r="F2129" s="49"/>
      <c r="G2129" s="4" t="s">
        <v>9199</v>
      </c>
      <c r="H2129" s="8"/>
      <c r="I2129" s="9" t="s">
        <v>9200</v>
      </c>
      <c r="J2129" s="10"/>
      <c r="K2129" s="11">
        <v>20</v>
      </c>
      <c r="L2129" s="10"/>
      <c r="M2129" s="10" t="s">
        <v>47</v>
      </c>
      <c r="N2129" s="10"/>
      <c r="O2129" s="2">
        <v>2</v>
      </c>
      <c r="P2129" s="17">
        <f>494*(1-S3/100)</f>
        <v>494</v>
      </c>
      <c r="Q2129" s="18"/>
      <c r="R2129" s="10">
        <f>P2129*Q2129</f>
        <v>0</v>
      </c>
      <c r="S2129" s="19">
        <f>0.299*Q2129</f>
        <v>0</v>
      </c>
      <c r="T2129" s="20">
        <f>0.00051*Q2129</f>
        <v>0</v>
      </c>
      <c r="U2129" s="21"/>
      <c r="V2129" s="22" t="s">
        <v>9201</v>
      </c>
      <c r="W2129" s="22" t="s">
        <v>49</v>
      </c>
      <c r="X2129" s="3" t="s">
        <v>9202</v>
      </c>
      <c r="Y2129" s="3" t="s">
        <v>9203</v>
      </c>
      <c r="Z2129" s="3" t="s">
        <v>3329</v>
      </c>
      <c r="AA2129" s="3"/>
      <c r="AB2129" s="3"/>
      <c r="AC2129" s="3" t="str">
        <f>HYPERLINK("https://knigipp.ru/api/getInfo/image/07f29873-3552-11ef-a261-00155d82e908")</f>
        <v>https://knigipp.ru/api/getInfo/image/07f29873-3552-11ef-a261-00155d82e908</v>
      </c>
      <c r="AD2129" s="32">
        <v>144</v>
      </c>
      <c r="AE2129" s="3" t="s">
        <v>740</v>
      </c>
      <c r="AF2129" s="3" t="s">
        <v>127</v>
      </c>
      <c r="AG2129" s="3"/>
      <c r="AH2129" s="3" t="s">
        <v>56</v>
      </c>
      <c r="AI2129" s="3"/>
      <c r="AJ2129" s="3"/>
      <c r="AK2129" s="3" t="str">
        <f>HYPERLINK("https://knigipp.ru/api/getInfo/item/07f29873-3552-11ef-a261-00155d82e908")</f>
        <v>https://knigipp.ru/api/getInfo/item/07f29873-3552-11ef-a261-00155d82e908</v>
      </c>
      <c r="AL2129" s="3" t="s">
        <v>8819</v>
      </c>
    </row>
    <row r="2130" spans="1:38" ht="21" customHeight="1" outlineLevel="4" x14ac:dyDescent="0.2">
      <c r="A2130" s="39">
        <v>1635</v>
      </c>
      <c r="B2130" s="3" t="s">
        <v>9204</v>
      </c>
      <c r="C2130" s="49" t="s">
        <v>9205</v>
      </c>
      <c r="D2130" s="49"/>
      <c r="E2130" s="49"/>
      <c r="F2130" s="49"/>
      <c r="G2130" s="4" t="s">
        <v>9206</v>
      </c>
      <c r="H2130" s="8"/>
      <c r="I2130" s="9" t="s">
        <v>9207</v>
      </c>
      <c r="J2130" s="10"/>
      <c r="K2130" s="11">
        <v>20</v>
      </c>
      <c r="L2130" s="10"/>
      <c r="M2130" s="10" t="s">
        <v>47</v>
      </c>
      <c r="N2130" s="10"/>
      <c r="O2130" s="2">
        <v>2</v>
      </c>
      <c r="P2130" s="17">
        <f>439*(1-S3/100)</f>
        <v>439</v>
      </c>
      <c r="Q2130" s="18"/>
      <c r="R2130" s="10">
        <f>P2130*Q2130</f>
        <v>0</v>
      </c>
      <c r="S2130" s="19">
        <f>0.226*Q2130</f>
        <v>0</v>
      </c>
      <c r="T2130" s="30">
        <f>0.0003*Q2130</f>
        <v>0</v>
      </c>
      <c r="U2130" s="21"/>
      <c r="V2130" s="22" t="s">
        <v>9208</v>
      </c>
      <c r="W2130" s="22" t="s">
        <v>49</v>
      </c>
      <c r="X2130" s="3" t="s">
        <v>9202</v>
      </c>
      <c r="Y2130" s="3" t="s">
        <v>9209</v>
      </c>
      <c r="Z2130" s="3" t="s">
        <v>3329</v>
      </c>
      <c r="AA2130" s="3"/>
      <c r="AB2130" s="3"/>
      <c r="AC2130" s="3" t="str">
        <f>HYPERLINK("https://knigipp.ru/api/getInfo/image/036b2d56-a3e7-11ee-a258-00155d82e908")</f>
        <v>https://knigipp.ru/api/getInfo/image/036b2d56-a3e7-11ee-a258-00155d82e908</v>
      </c>
      <c r="AD2130" s="32">
        <v>96</v>
      </c>
      <c r="AE2130" s="3" t="s">
        <v>740</v>
      </c>
      <c r="AF2130" s="3" t="s">
        <v>127</v>
      </c>
      <c r="AG2130" s="3"/>
      <c r="AH2130" s="3" t="s">
        <v>56</v>
      </c>
      <c r="AI2130" s="3"/>
      <c r="AJ2130" s="3"/>
      <c r="AK2130" s="3" t="str">
        <f>HYPERLINK("https://knigipp.ru/api/getInfo/item/036b2d56-a3e7-11ee-a258-00155d82e908")</f>
        <v>https://knigipp.ru/api/getInfo/item/036b2d56-a3e7-11ee-a258-00155d82e908</v>
      </c>
      <c r="AL2130" s="3" t="s">
        <v>9210</v>
      </c>
    </row>
    <row r="2131" spans="1:38" ht="23.1" customHeight="1" outlineLevel="2" x14ac:dyDescent="0.2">
      <c r="A2131" s="47" t="s">
        <v>9211</v>
      </c>
      <c r="B2131" s="47"/>
      <c r="C2131" s="47"/>
      <c r="D2131" s="47"/>
      <c r="E2131" s="47"/>
      <c r="F2131" s="47"/>
    </row>
    <row r="2132" spans="1:38" ht="21" customHeight="1" outlineLevel="3" x14ac:dyDescent="0.2">
      <c r="A2132" s="40">
        <v>1636</v>
      </c>
      <c r="B2132" s="6" t="s">
        <v>9212</v>
      </c>
      <c r="C2132" s="54" t="s">
        <v>9213</v>
      </c>
      <c r="D2132" s="54"/>
      <c r="E2132" s="54"/>
      <c r="F2132" s="54"/>
      <c r="G2132" s="7" t="s">
        <v>9214</v>
      </c>
      <c r="H2132" s="12"/>
      <c r="I2132" s="13" t="s">
        <v>9215</v>
      </c>
      <c r="J2132" s="14"/>
      <c r="K2132" s="15">
        <v>20</v>
      </c>
      <c r="L2132" s="14"/>
      <c r="M2132" s="14" t="s">
        <v>78</v>
      </c>
      <c r="N2132" s="14"/>
      <c r="O2132" s="5">
        <v>2</v>
      </c>
      <c r="P2132" s="23">
        <f>277*(1-S3/100)</f>
        <v>277</v>
      </c>
      <c r="Q2132" s="18"/>
      <c r="R2132" s="14">
        <f>P2132*Q2132</f>
        <v>0</v>
      </c>
      <c r="S2132" s="24">
        <f>0.145*Q2132</f>
        <v>0</v>
      </c>
      <c r="T2132" s="25">
        <f>0.00051*Q2132</f>
        <v>0</v>
      </c>
      <c r="U2132" s="26" t="s">
        <v>62</v>
      </c>
      <c r="V2132" s="27" t="s">
        <v>9216</v>
      </c>
      <c r="W2132" s="27" t="s">
        <v>49</v>
      </c>
      <c r="X2132" s="6" t="s">
        <v>9217</v>
      </c>
      <c r="Y2132" s="6"/>
      <c r="Z2132" s="6" t="s">
        <v>3329</v>
      </c>
      <c r="AA2132" s="6"/>
      <c r="AB2132" s="6"/>
      <c r="AC2132" s="6" t="str">
        <f>HYPERLINK("https://knigipp.ru/api/getInfo/image/f7319462-4496-11f1-a294-00155d82e908")</f>
        <v>https://knigipp.ru/api/getInfo/image/f7319462-4496-11f1-a294-00155d82e908</v>
      </c>
      <c r="AD2132" s="33">
        <v>176</v>
      </c>
      <c r="AE2132" s="6" t="s">
        <v>54</v>
      </c>
      <c r="AF2132" s="6" t="s">
        <v>55</v>
      </c>
      <c r="AG2132" s="6"/>
      <c r="AH2132" s="6"/>
      <c r="AI2132" s="6"/>
      <c r="AJ2132" s="6"/>
      <c r="AK2132" s="6" t="str">
        <f>HYPERLINK("https://knigipp.ru/api/getInfo/item/f7319462-4496-11f1-a294-00155d82e908")</f>
        <v>https://knigipp.ru/api/getInfo/item/f7319462-4496-11f1-a294-00155d82e908</v>
      </c>
      <c r="AL2132" s="6" t="s">
        <v>9218</v>
      </c>
    </row>
    <row r="2133" spans="1:38" ht="21" customHeight="1" outlineLevel="3" x14ac:dyDescent="0.2">
      <c r="A2133" s="40">
        <v>1637</v>
      </c>
      <c r="B2133" s="6" t="s">
        <v>9219</v>
      </c>
      <c r="C2133" s="54" t="s">
        <v>9220</v>
      </c>
      <c r="D2133" s="54"/>
      <c r="E2133" s="54"/>
      <c r="F2133" s="54"/>
      <c r="G2133" s="7" t="s">
        <v>9221</v>
      </c>
      <c r="H2133" s="12"/>
      <c r="I2133" s="13" t="s">
        <v>9222</v>
      </c>
      <c r="J2133" s="14"/>
      <c r="K2133" s="15">
        <v>20</v>
      </c>
      <c r="L2133" s="14"/>
      <c r="M2133" s="14" t="s">
        <v>78</v>
      </c>
      <c r="N2133" s="14"/>
      <c r="O2133" s="5">
        <v>2</v>
      </c>
      <c r="P2133" s="23">
        <f>277*(1-S3/100)</f>
        <v>277</v>
      </c>
      <c r="Q2133" s="18"/>
      <c r="R2133" s="14">
        <f>P2133*Q2133</f>
        <v>0</v>
      </c>
      <c r="S2133" s="24">
        <f>0.138*Q2133</f>
        <v>0</v>
      </c>
      <c r="T2133" s="31">
        <f>0.0005*Q2133</f>
        <v>0</v>
      </c>
      <c r="U2133" s="26" t="s">
        <v>62</v>
      </c>
      <c r="V2133" s="27" t="s">
        <v>9223</v>
      </c>
      <c r="W2133" s="27" t="s">
        <v>49</v>
      </c>
      <c r="X2133" s="6" t="s">
        <v>9217</v>
      </c>
      <c r="Y2133" s="6"/>
      <c r="Z2133" s="6" t="s">
        <v>3329</v>
      </c>
      <c r="AA2133" s="6"/>
      <c r="AB2133" s="6"/>
      <c r="AC2133" s="6" t="str">
        <f>HYPERLINK("https://knigipp.ru/api/getInfo/image/74f9f350-4497-11f1-a294-00155d82e908")</f>
        <v>https://knigipp.ru/api/getInfo/image/74f9f350-4497-11f1-a294-00155d82e908</v>
      </c>
      <c r="AD2133" s="33">
        <v>160</v>
      </c>
      <c r="AE2133" s="6" t="s">
        <v>54</v>
      </c>
      <c r="AF2133" s="6" t="s">
        <v>55</v>
      </c>
      <c r="AG2133" s="6"/>
      <c r="AH2133" s="6"/>
      <c r="AI2133" s="6"/>
      <c r="AJ2133" s="6"/>
      <c r="AK2133" s="6" t="str">
        <f>HYPERLINK("https://knigipp.ru/api/getInfo/item/74f9f350-4497-11f1-a294-00155d82e908")</f>
        <v>https://knigipp.ru/api/getInfo/item/74f9f350-4497-11f1-a294-00155d82e908</v>
      </c>
      <c r="AL2133" s="6" t="s">
        <v>9224</v>
      </c>
    </row>
    <row r="2134" spans="1:38" ht="21" customHeight="1" outlineLevel="3" x14ac:dyDescent="0.2">
      <c r="A2134" s="40">
        <v>1638</v>
      </c>
      <c r="B2134" s="6" t="s">
        <v>9225</v>
      </c>
      <c r="C2134" s="54" t="s">
        <v>9226</v>
      </c>
      <c r="D2134" s="54"/>
      <c r="E2134" s="54"/>
      <c r="F2134" s="54"/>
      <c r="G2134" s="7" t="s">
        <v>9227</v>
      </c>
      <c r="H2134" s="12"/>
      <c r="I2134" s="13" t="s">
        <v>9228</v>
      </c>
      <c r="J2134" s="14"/>
      <c r="K2134" s="15">
        <v>10</v>
      </c>
      <c r="L2134" s="14"/>
      <c r="M2134" s="14" t="s">
        <v>47</v>
      </c>
      <c r="N2134" s="14"/>
      <c r="O2134" s="5">
        <v>2</v>
      </c>
      <c r="P2134" s="23">
        <f>327*(1-S3/100)</f>
        <v>327</v>
      </c>
      <c r="Q2134" s="18"/>
      <c r="R2134" s="14">
        <f>P2134*Q2134</f>
        <v>0</v>
      </c>
      <c r="S2134" s="24">
        <f>0.163*Q2134</f>
        <v>0</v>
      </c>
      <c r="T2134" s="25">
        <f>0.00037*Q2134</f>
        <v>0</v>
      </c>
      <c r="U2134" s="26" t="s">
        <v>62</v>
      </c>
      <c r="V2134" s="27" t="s">
        <v>9229</v>
      </c>
      <c r="W2134" s="27" t="s">
        <v>191</v>
      </c>
      <c r="X2134" s="6" t="s">
        <v>9230</v>
      </c>
      <c r="Y2134" s="6"/>
      <c r="Z2134" s="6" t="s">
        <v>757</v>
      </c>
      <c r="AA2134" s="6"/>
      <c r="AB2134" s="6"/>
      <c r="AC2134" s="6" t="str">
        <f>HYPERLINK("https://knigipp.ru/api/getInfo/image/226cb2f4-5b57-11f1-a295-00155d82e908")</f>
        <v>https://knigipp.ru/api/getInfo/image/226cb2f4-5b57-11f1-a295-00155d82e908</v>
      </c>
      <c r="AD2134" s="33">
        <v>192</v>
      </c>
      <c r="AE2134" s="6" t="s">
        <v>54</v>
      </c>
      <c r="AF2134" s="6" t="s">
        <v>55</v>
      </c>
      <c r="AG2134" s="6"/>
      <c r="AH2134" s="6" t="s">
        <v>56</v>
      </c>
      <c r="AI2134" s="6"/>
      <c r="AJ2134" s="6"/>
      <c r="AK2134" s="6" t="str">
        <f>HYPERLINK("https://knigipp.ru/api/getInfo/item/226cb2f4-5b57-11f1-a295-00155d82e908")</f>
        <v>https://knigipp.ru/api/getInfo/item/226cb2f4-5b57-11f1-a295-00155d82e908</v>
      </c>
      <c r="AL2134" s="6" t="s">
        <v>9218</v>
      </c>
    </row>
    <row r="2135" spans="1:38" ht="23.1" customHeight="1" outlineLevel="2" x14ac:dyDescent="0.2">
      <c r="A2135" s="47" t="s">
        <v>9231</v>
      </c>
      <c r="B2135" s="47"/>
      <c r="C2135" s="47"/>
      <c r="D2135" s="47"/>
      <c r="E2135" s="47"/>
      <c r="F2135" s="47"/>
    </row>
    <row r="2136" spans="1:38" ht="21" customHeight="1" outlineLevel="3" x14ac:dyDescent="0.2">
      <c r="A2136" s="39">
        <v>1639</v>
      </c>
      <c r="B2136" s="3" t="s">
        <v>9232</v>
      </c>
      <c r="C2136" s="49" t="s">
        <v>9233</v>
      </c>
      <c r="D2136" s="49"/>
      <c r="E2136" s="49"/>
      <c r="F2136" s="49"/>
      <c r="G2136" s="4" t="s">
        <v>9234</v>
      </c>
      <c r="H2136" s="8"/>
      <c r="I2136" s="9" t="s">
        <v>9235</v>
      </c>
      <c r="J2136" s="10"/>
      <c r="K2136" s="11">
        <v>10</v>
      </c>
      <c r="L2136" s="10"/>
      <c r="M2136" s="10" t="s">
        <v>47</v>
      </c>
      <c r="N2136" s="10"/>
      <c r="O2136" s="2">
        <v>2</v>
      </c>
      <c r="P2136" s="17">
        <f>847*(1-S3/100)</f>
        <v>847</v>
      </c>
      <c r="Q2136" s="18"/>
      <c r="R2136" s="10">
        <f t="shared" ref="R2136:R2150" si="92">P2136*Q2136</f>
        <v>0</v>
      </c>
      <c r="S2136" s="19">
        <f>0.479*Q2136</f>
        <v>0</v>
      </c>
      <c r="T2136" s="20">
        <f>0.00059*Q2136</f>
        <v>0</v>
      </c>
      <c r="U2136" s="21"/>
      <c r="V2136" s="22" t="s">
        <v>9236</v>
      </c>
      <c r="W2136" s="22" t="s">
        <v>191</v>
      </c>
      <c r="X2136" s="3" t="s">
        <v>9237</v>
      </c>
      <c r="Y2136" s="3" t="s">
        <v>9238</v>
      </c>
      <c r="Z2136" s="3" t="s">
        <v>757</v>
      </c>
      <c r="AA2136" s="3"/>
      <c r="AB2136" s="3"/>
      <c r="AC2136" s="3" t="str">
        <f>HYPERLINK("https://knigipp.ru/api/getInfo/image/79acd91b-0e3c-11f0-a279-00155d82e908")</f>
        <v>https://knigipp.ru/api/getInfo/image/79acd91b-0e3c-11f0-a279-00155d82e908</v>
      </c>
      <c r="AD2136" s="32">
        <v>288</v>
      </c>
      <c r="AE2136" s="3" t="s">
        <v>54</v>
      </c>
      <c r="AF2136" s="3" t="s">
        <v>127</v>
      </c>
      <c r="AG2136" s="3"/>
      <c r="AH2136" s="3" t="s">
        <v>56</v>
      </c>
      <c r="AI2136" s="3"/>
      <c r="AJ2136" s="3"/>
      <c r="AK2136" s="3" t="str">
        <f>HYPERLINK("https://knigipp.ru/api/getInfo/item/79acd91b-0e3c-11f0-a279-00155d82e908")</f>
        <v>https://knigipp.ru/api/getInfo/item/79acd91b-0e3c-11f0-a279-00155d82e908</v>
      </c>
      <c r="AL2136" s="3" t="s">
        <v>9239</v>
      </c>
    </row>
    <row r="2137" spans="1:38" ht="21" customHeight="1" outlineLevel="3" x14ac:dyDescent="0.2">
      <c r="A2137" s="40">
        <v>1640</v>
      </c>
      <c r="B2137" s="6" t="s">
        <v>9240</v>
      </c>
      <c r="C2137" s="54" t="s">
        <v>9241</v>
      </c>
      <c r="D2137" s="54"/>
      <c r="E2137" s="54"/>
      <c r="F2137" s="54"/>
      <c r="G2137" s="7" t="s">
        <v>9242</v>
      </c>
      <c r="H2137" s="12"/>
      <c r="I2137" s="13" t="s">
        <v>9243</v>
      </c>
      <c r="J2137" s="14"/>
      <c r="K2137" s="15">
        <v>10</v>
      </c>
      <c r="L2137" s="14"/>
      <c r="M2137" s="14" t="s">
        <v>47</v>
      </c>
      <c r="N2137" s="14"/>
      <c r="O2137" s="5">
        <v>2</v>
      </c>
      <c r="P2137" s="23">
        <f>747*(1-S3/100)</f>
        <v>747</v>
      </c>
      <c r="Q2137" s="18"/>
      <c r="R2137" s="14">
        <f t="shared" si="92"/>
        <v>0</v>
      </c>
      <c r="S2137" s="24">
        <f>0.414*Q2137</f>
        <v>0</v>
      </c>
      <c r="T2137" s="31">
        <f>0.0006*Q2137</f>
        <v>0</v>
      </c>
      <c r="U2137" s="26" t="s">
        <v>62</v>
      </c>
      <c r="V2137" s="27" t="s">
        <v>9244</v>
      </c>
      <c r="W2137" s="27" t="s">
        <v>191</v>
      </c>
      <c r="X2137" s="6" t="s">
        <v>9230</v>
      </c>
      <c r="Y2137" s="6" t="s">
        <v>9245</v>
      </c>
      <c r="Z2137" s="6" t="s">
        <v>757</v>
      </c>
      <c r="AA2137" s="6"/>
      <c r="AB2137" s="6"/>
      <c r="AC2137" s="6" t="str">
        <f>HYPERLINK("https://knigipp.ru/api/getInfo/image/f82a9659-29bd-11f1-a291-00155d82e908")</f>
        <v>https://knigipp.ru/api/getInfo/image/f82a9659-29bd-11f1-a291-00155d82e908</v>
      </c>
      <c r="AD2137" s="33">
        <v>304</v>
      </c>
      <c r="AE2137" s="6" t="s">
        <v>1406</v>
      </c>
      <c r="AF2137" s="6" t="s">
        <v>127</v>
      </c>
      <c r="AG2137" s="6"/>
      <c r="AH2137" s="6" t="s">
        <v>56</v>
      </c>
      <c r="AI2137" s="6"/>
      <c r="AJ2137" s="6"/>
      <c r="AK2137" s="6" t="str">
        <f>HYPERLINK("https://knigipp.ru/api/getInfo/item/f82a9659-29bd-11f1-a291-00155d82e908")</f>
        <v>https://knigipp.ru/api/getInfo/item/f82a9659-29bd-11f1-a291-00155d82e908</v>
      </c>
      <c r="AL2137" s="6" t="s">
        <v>9246</v>
      </c>
    </row>
    <row r="2138" spans="1:38" ht="21" customHeight="1" outlineLevel="3" x14ac:dyDescent="0.2">
      <c r="A2138" s="39">
        <v>1641</v>
      </c>
      <c r="B2138" s="3" t="s">
        <v>9247</v>
      </c>
      <c r="C2138" s="49" t="s">
        <v>9248</v>
      </c>
      <c r="D2138" s="49"/>
      <c r="E2138" s="49"/>
      <c r="F2138" s="49"/>
      <c r="G2138" s="4" t="s">
        <v>9249</v>
      </c>
      <c r="H2138" s="8"/>
      <c r="I2138" s="9" t="s">
        <v>9250</v>
      </c>
      <c r="J2138" s="10"/>
      <c r="K2138" s="11">
        <v>20</v>
      </c>
      <c r="L2138" s="10"/>
      <c r="M2138" s="10" t="s">
        <v>47</v>
      </c>
      <c r="N2138" s="10"/>
      <c r="O2138" s="2">
        <v>2</v>
      </c>
      <c r="P2138" s="17">
        <f>447*(1-S3/100)</f>
        <v>447</v>
      </c>
      <c r="Q2138" s="18"/>
      <c r="R2138" s="10">
        <f t="shared" si="92"/>
        <v>0</v>
      </c>
      <c r="S2138" s="28">
        <f>0.27*Q2138</f>
        <v>0</v>
      </c>
      <c r="T2138" s="20">
        <f>0.00047*Q2138</f>
        <v>0</v>
      </c>
      <c r="U2138" s="21"/>
      <c r="V2138" s="22" t="s">
        <v>9251</v>
      </c>
      <c r="W2138" s="22" t="s">
        <v>49</v>
      </c>
      <c r="X2138" s="3" t="s">
        <v>9252</v>
      </c>
      <c r="Y2138" s="3" t="s">
        <v>9253</v>
      </c>
      <c r="Z2138" s="3" t="s">
        <v>3329</v>
      </c>
      <c r="AA2138" s="3"/>
      <c r="AB2138" s="3"/>
      <c r="AC2138" s="3" t="str">
        <f>HYPERLINK("https://knigipp.ru/api/getInfo/image/fe91e130-ae57-11ef-a267-00155d82e908")</f>
        <v>https://knigipp.ru/api/getInfo/image/fe91e130-ae57-11ef-a267-00155d82e908</v>
      </c>
      <c r="AD2138" s="32">
        <v>176</v>
      </c>
      <c r="AE2138" s="3" t="s">
        <v>54</v>
      </c>
      <c r="AF2138" s="3" t="s">
        <v>127</v>
      </c>
      <c r="AG2138" s="3"/>
      <c r="AH2138" s="3" t="s">
        <v>56</v>
      </c>
      <c r="AI2138" s="3"/>
      <c r="AJ2138" s="3"/>
      <c r="AK2138" s="3" t="str">
        <f>HYPERLINK("https://knigipp.ru/api/getInfo/item/fe91e130-ae57-11ef-a267-00155d82e908")</f>
        <v>https://knigipp.ru/api/getInfo/item/fe91e130-ae57-11ef-a267-00155d82e908</v>
      </c>
      <c r="AL2138" s="3" t="s">
        <v>2859</v>
      </c>
    </row>
    <row r="2139" spans="1:38" ht="21" customHeight="1" outlineLevel="3" x14ac:dyDescent="0.2">
      <c r="A2139" s="40">
        <v>1642</v>
      </c>
      <c r="B2139" s="6" t="s">
        <v>9254</v>
      </c>
      <c r="C2139" s="54" t="s">
        <v>9255</v>
      </c>
      <c r="D2139" s="54"/>
      <c r="E2139" s="54"/>
      <c r="F2139" s="54"/>
      <c r="G2139" s="7" t="s">
        <v>9256</v>
      </c>
      <c r="H2139" s="12"/>
      <c r="I2139" s="13" t="s">
        <v>9257</v>
      </c>
      <c r="J2139" s="14"/>
      <c r="K2139" s="15">
        <v>10</v>
      </c>
      <c r="L2139" s="14"/>
      <c r="M2139" s="14" t="s">
        <v>47</v>
      </c>
      <c r="N2139" s="14"/>
      <c r="O2139" s="5">
        <v>2</v>
      </c>
      <c r="P2139" s="23">
        <f>879*(1-S3/100)</f>
        <v>879</v>
      </c>
      <c r="Q2139" s="18"/>
      <c r="R2139" s="14">
        <f t="shared" si="92"/>
        <v>0</v>
      </c>
      <c r="S2139" s="24">
        <f>0.529*Q2139</f>
        <v>0</v>
      </c>
      <c r="T2139" s="25">
        <f>0.00064*Q2139</f>
        <v>0</v>
      </c>
      <c r="U2139" s="26" t="s">
        <v>62</v>
      </c>
      <c r="V2139" s="27" t="s">
        <v>9258</v>
      </c>
      <c r="W2139" s="27" t="s">
        <v>49</v>
      </c>
      <c r="X2139" s="6" t="s">
        <v>9259</v>
      </c>
      <c r="Y2139" s="6"/>
      <c r="Z2139" s="6" t="s">
        <v>3329</v>
      </c>
      <c r="AA2139" s="6"/>
      <c r="AB2139" s="6"/>
      <c r="AC2139" s="6" t="str">
        <f>HYPERLINK("https://knigipp.ru/api/getInfo/image/66bb8621-7484-11f1-a29a-00155d82e908")</f>
        <v>https://knigipp.ru/api/getInfo/image/66bb8621-7484-11f1-a29a-00155d82e908</v>
      </c>
      <c r="AD2139" s="33">
        <v>416</v>
      </c>
      <c r="AE2139" s="6" t="s">
        <v>355</v>
      </c>
      <c r="AF2139" s="6" t="s">
        <v>127</v>
      </c>
      <c r="AG2139" s="6"/>
      <c r="AH2139" s="6" t="s">
        <v>56</v>
      </c>
      <c r="AI2139" s="6"/>
      <c r="AJ2139" s="6"/>
      <c r="AK2139" s="6" t="str">
        <f>HYPERLINK("https://knigipp.ru/api/getInfo/item/66bb8621-7484-11f1-a29a-00155d82e908")</f>
        <v>https://knigipp.ru/api/getInfo/item/66bb8621-7484-11f1-a29a-00155d82e908</v>
      </c>
      <c r="AL2139" s="6" t="s">
        <v>9239</v>
      </c>
    </row>
    <row r="2140" spans="1:38" ht="21" customHeight="1" outlineLevel="3" x14ac:dyDescent="0.2">
      <c r="A2140" s="39">
        <v>1643</v>
      </c>
      <c r="B2140" s="3" t="s">
        <v>9260</v>
      </c>
      <c r="C2140" s="49" t="s">
        <v>9261</v>
      </c>
      <c r="D2140" s="49"/>
      <c r="E2140" s="49"/>
      <c r="F2140" s="49"/>
      <c r="G2140" s="4" t="s">
        <v>9262</v>
      </c>
      <c r="H2140" s="8"/>
      <c r="I2140" s="9" t="s">
        <v>9263</v>
      </c>
      <c r="J2140" s="10"/>
      <c r="K2140" s="11">
        <v>5</v>
      </c>
      <c r="L2140" s="10"/>
      <c r="M2140" s="10" t="s">
        <v>47</v>
      </c>
      <c r="N2140" s="10"/>
      <c r="O2140" s="2">
        <v>2</v>
      </c>
      <c r="P2140" s="17">
        <f>677*(1-S3/100)</f>
        <v>677</v>
      </c>
      <c r="Q2140" s="18"/>
      <c r="R2140" s="10">
        <f t="shared" si="92"/>
        <v>0</v>
      </c>
      <c r="S2140" s="19">
        <f>0.401*Q2140</f>
        <v>0</v>
      </c>
      <c r="T2140" s="20">
        <f>0.00059*Q2140</f>
        <v>0</v>
      </c>
      <c r="U2140" s="21"/>
      <c r="V2140" s="22" t="s">
        <v>9264</v>
      </c>
      <c r="W2140" s="22" t="s">
        <v>191</v>
      </c>
      <c r="X2140" s="3" t="s">
        <v>9265</v>
      </c>
      <c r="Y2140" s="3" t="s">
        <v>9266</v>
      </c>
      <c r="Z2140" s="3" t="s">
        <v>757</v>
      </c>
      <c r="AA2140" s="3"/>
      <c r="AB2140" s="3"/>
      <c r="AC2140" s="3" t="str">
        <f>HYPERLINK("https://knigipp.ru/api/getInfo/image/26bb318c-dfda-11ef-a273-00155d82e908")</f>
        <v>https://knigipp.ru/api/getInfo/image/26bb318c-dfda-11ef-a273-00155d82e908</v>
      </c>
      <c r="AD2140" s="32">
        <v>240</v>
      </c>
      <c r="AE2140" s="3" t="s">
        <v>54</v>
      </c>
      <c r="AF2140" s="3" t="s">
        <v>127</v>
      </c>
      <c r="AG2140" s="3"/>
      <c r="AH2140" s="3" t="s">
        <v>56</v>
      </c>
      <c r="AI2140" s="3"/>
      <c r="AJ2140" s="3"/>
      <c r="AK2140" s="3" t="str">
        <f>HYPERLINK("https://knigipp.ru/api/getInfo/item/26bb318c-dfda-11ef-a273-00155d82e908")</f>
        <v>https://knigipp.ru/api/getInfo/item/26bb318c-dfda-11ef-a273-00155d82e908</v>
      </c>
      <c r="AL2140" s="3" t="s">
        <v>9246</v>
      </c>
    </row>
    <row r="2141" spans="1:38" ht="21" customHeight="1" outlineLevel="3" x14ac:dyDescent="0.2">
      <c r="A2141" s="39">
        <v>1644</v>
      </c>
      <c r="B2141" s="3" t="s">
        <v>9267</v>
      </c>
      <c r="C2141" s="49" t="s">
        <v>9268</v>
      </c>
      <c r="D2141" s="49"/>
      <c r="E2141" s="49"/>
      <c r="F2141" s="49"/>
      <c r="G2141" s="4" t="s">
        <v>9269</v>
      </c>
      <c r="H2141" s="8"/>
      <c r="I2141" s="9" t="s">
        <v>9270</v>
      </c>
      <c r="J2141" s="10"/>
      <c r="K2141" s="11">
        <v>20</v>
      </c>
      <c r="L2141" s="10"/>
      <c r="M2141" s="10" t="s">
        <v>47</v>
      </c>
      <c r="N2141" s="10"/>
      <c r="O2141" s="2">
        <v>2</v>
      </c>
      <c r="P2141" s="17">
        <f>417*(1-S3/100)</f>
        <v>417</v>
      </c>
      <c r="Q2141" s="18"/>
      <c r="R2141" s="10">
        <f t="shared" si="92"/>
        <v>0</v>
      </c>
      <c r="S2141" s="19">
        <f>0.226*Q2141</f>
        <v>0</v>
      </c>
      <c r="T2141" s="30">
        <f>0.0003*Q2141</f>
        <v>0</v>
      </c>
      <c r="U2141" s="21"/>
      <c r="V2141" s="22" t="s">
        <v>9271</v>
      </c>
      <c r="W2141" s="22" t="s">
        <v>49</v>
      </c>
      <c r="X2141" s="3" t="s">
        <v>9252</v>
      </c>
      <c r="Y2141" s="3" t="s">
        <v>9272</v>
      </c>
      <c r="Z2141" s="3" t="s">
        <v>3329</v>
      </c>
      <c r="AA2141" s="3"/>
      <c r="AB2141" s="3"/>
      <c r="AC2141" s="3" t="str">
        <f>HYPERLINK("https://knigipp.ru/api/getInfo/image/ba0abcf0-ae57-11ef-a267-00155d82e908")</f>
        <v>https://knigipp.ru/api/getInfo/image/ba0abcf0-ae57-11ef-a267-00155d82e908</v>
      </c>
      <c r="AD2141" s="32">
        <v>192</v>
      </c>
      <c r="AE2141" s="3" t="s">
        <v>54</v>
      </c>
      <c r="AF2141" s="3" t="s">
        <v>127</v>
      </c>
      <c r="AG2141" s="3"/>
      <c r="AH2141" s="3" t="s">
        <v>56</v>
      </c>
      <c r="AI2141" s="3"/>
      <c r="AJ2141" s="3"/>
      <c r="AK2141" s="3" t="str">
        <f>HYPERLINK("https://knigipp.ru/api/getInfo/item/ba0abcf0-ae57-11ef-a267-00155d82e908")</f>
        <v>https://knigipp.ru/api/getInfo/item/ba0abcf0-ae57-11ef-a267-00155d82e908</v>
      </c>
      <c r="AL2141" s="3" t="s">
        <v>2576</v>
      </c>
    </row>
    <row r="2142" spans="1:38" ht="21" customHeight="1" outlineLevel="3" x14ac:dyDescent="0.2">
      <c r="A2142" s="40">
        <v>1645</v>
      </c>
      <c r="B2142" s="6" t="s">
        <v>9273</v>
      </c>
      <c r="C2142" s="54" t="s">
        <v>9274</v>
      </c>
      <c r="D2142" s="54"/>
      <c r="E2142" s="54"/>
      <c r="F2142" s="54"/>
      <c r="G2142" s="7" t="s">
        <v>9275</v>
      </c>
      <c r="H2142" s="12"/>
      <c r="I2142" s="13" t="s">
        <v>9276</v>
      </c>
      <c r="J2142" s="14"/>
      <c r="K2142" s="15">
        <v>10</v>
      </c>
      <c r="L2142" s="14"/>
      <c r="M2142" s="14" t="s">
        <v>47</v>
      </c>
      <c r="N2142" s="14"/>
      <c r="O2142" s="5">
        <v>2</v>
      </c>
      <c r="P2142" s="23">
        <f>879*(1-S3/100)</f>
        <v>879</v>
      </c>
      <c r="Q2142" s="18"/>
      <c r="R2142" s="14">
        <f t="shared" si="92"/>
        <v>0</v>
      </c>
      <c r="S2142" s="24">
        <f>0.603*Q2142</f>
        <v>0</v>
      </c>
      <c r="T2142" s="25">
        <f>0.00084*Q2142</f>
        <v>0</v>
      </c>
      <c r="U2142" s="26" t="s">
        <v>62</v>
      </c>
      <c r="V2142" s="27" t="s">
        <v>9277</v>
      </c>
      <c r="W2142" s="27" t="s">
        <v>49</v>
      </c>
      <c r="X2142" s="6" t="s">
        <v>9278</v>
      </c>
      <c r="Y2142" s="6" t="s">
        <v>9279</v>
      </c>
      <c r="Z2142" s="6" t="s">
        <v>757</v>
      </c>
      <c r="AA2142" s="6"/>
      <c r="AB2142" s="6"/>
      <c r="AC2142" s="6" t="str">
        <f>HYPERLINK("https://knigipp.ru/api/getInfo/image/4652d675-748f-11f1-a29a-00155d82e908")</f>
        <v>https://knigipp.ru/api/getInfo/image/4652d675-748f-11f1-a29a-00155d82e908</v>
      </c>
      <c r="AD2142" s="33">
        <v>384</v>
      </c>
      <c r="AE2142" s="6" t="s">
        <v>355</v>
      </c>
      <c r="AF2142" s="6" t="s">
        <v>127</v>
      </c>
      <c r="AG2142" s="6"/>
      <c r="AH2142" s="6" t="s">
        <v>56</v>
      </c>
      <c r="AI2142" s="6"/>
      <c r="AJ2142" s="6"/>
      <c r="AK2142" s="6" t="str">
        <f>HYPERLINK("https://knigipp.ru/api/getInfo/item/4652d675-748f-11f1-a29a-00155d82e908")</f>
        <v>https://knigipp.ru/api/getInfo/item/4652d675-748f-11f1-a29a-00155d82e908</v>
      </c>
      <c r="AL2142" s="6" t="s">
        <v>9280</v>
      </c>
    </row>
    <row r="2143" spans="1:38" ht="21" customHeight="1" outlineLevel="3" x14ac:dyDescent="0.2">
      <c r="A2143" s="40">
        <v>1646</v>
      </c>
      <c r="B2143" s="6" t="s">
        <v>9281</v>
      </c>
      <c r="C2143" s="54" t="s">
        <v>9282</v>
      </c>
      <c r="D2143" s="54"/>
      <c r="E2143" s="54"/>
      <c r="F2143" s="54"/>
      <c r="G2143" s="7" t="s">
        <v>9283</v>
      </c>
      <c r="H2143" s="12"/>
      <c r="I2143" s="13" t="s">
        <v>9284</v>
      </c>
      <c r="J2143" s="14"/>
      <c r="K2143" s="15">
        <v>10</v>
      </c>
      <c r="L2143" s="14"/>
      <c r="M2143" s="14" t="s">
        <v>47</v>
      </c>
      <c r="N2143" s="14"/>
      <c r="O2143" s="5">
        <v>2</v>
      </c>
      <c r="P2143" s="23">
        <f>547*(1-S3/100)</f>
        <v>547</v>
      </c>
      <c r="Q2143" s="18"/>
      <c r="R2143" s="14">
        <f t="shared" si="92"/>
        <v>0</v>
      </c>
      <c r="S2143" s="24">
        <f>0.211*Q2143</f>
        <v>0</v>
      </c>
      <c r="T2143" s="25">
        <f>0.00057*Q2143</f>
        <v>0</v>
      </c>
      <c r="U2143" s="26" t="s">
        <v>62</v>
      </c>
      <c r="V2143" s="27" t="s">
        <v>9285</v>
      </c>
      <c r="W2143" s="27" t="s">
        <v>191</v>
      </c>
      <c r="X2143" s="6" t="s">
        <v>9141</v>
      </c>
      <c r="Y2143" s="6" t="s">
        <v>9286</v>
      </c>
      <c r="Z2143" s="6" t="s">
        <v>757</v>
      </c>
      <c r="AA2143" s="6"/>
      <c r="AB2143" s="6"/>
      <c r="AC2143" s="6" t="str">
        <f>HYPERLINK("https://knigipp.ru/api/getInfo/image/ef6eefde-2cfc-11f1-a292-00155d82e908")</f>
        <v>https://knigipp.ru/api/getInfo/image/ef6eefde-2cfc-11f1-a292-00155d82e908</v>
      </c>
      <c r="AD2143" s="33">
        <v>176</v>
      </c>
      <c r="AE2143" s="6" t="s">
        <v>65</v>
      </c>
      <c r="AF2143" s="6" t="s">
        <v>127</v>
      </c>
      <c r="AG2143" s="6"/>
      <c r="AH2143" s="6" t="s">
        <v>56</v>
      </c>
      <c r="AI2143" s="6"/>
      <c r="AJ2143" s="6"/>
      <c r="AK2143" s="6" t="str">
        <f>HYPERLINK("https://knigipp.ru/api/getInfo/item/ef6eefde-2cfc-11f1-a292-00155d82e908")</f>
        <v>https://knigipp.ru/api/getInfo/item/ef6eefde-2cfc-11f1-a292-00155d82e908</v>
      </c>
      <c r="AL2143" s="6" t="s">
        <v>356</v>
      </c>
    </row>
    <row r="2144" spans="1:38" ht="21" customHeight="1" outlineLevel="3" x14ac:dyDescent="0.2">
      <c r="A2144" s="39">
        <v>1647</v>
      </c>
      <c r="B2144" s="3" t="s">
        <v>9287</v>
      </c>
      <c r="C2144" s="49" t="s">
        <v>9288</v>
      </c>
      <c r="D2144" s="49"/>
      <c r="E2144" s="49"/>
      <c r="F2144" s="49"/>
      <c r="G2144" s="4" t="s">
        <v>9289</v>
      </c>
      <c r="H2144" s="8"/>
      <c r="I2144" s="9" t="s">
        <v>9290</v>
      </c>
      <c r="J2144" s="10"/>
      <c r="K2144" s="11">
        <v>5</v>
      </c>
      <c r="L2144" s="10"/>
      <c r="M2144" s="10" t="s">
        <v>47</v>
      </c>
      <c r="N2144" s="10"/>
      <c r="O2144" s="2">
        <v>2</v>
      </c>
      <c r="P2144" s="17">
        <f>847*(1-S3/100)</f>
        <v>847</v>
      </c>
      <c r="Q2144" s="18"/>
      <c r="R2144" s="10">
        <f t="shared" si="92"/>
        <v>0</v>
      </c>
      <c r="S2144" s="19">
        <f>0.484*Q2144</f>
        <v>0</v>
      </c>
      <c r="T2144" s="20">
        <f>0.00062*Q2144</f>
        <v>0</v>
      </c>
      <c r="U2144" s="21"/>
      <c r="V2144" s="22" t="s">
        <v>9291</v>
      </c>
      <c r="W2144" s="22" t="s">
        <v>191</v>
      </c>
      <c r="X2144" s="3" t="s">
        <v>9292</v>
      </c>
      <c r="Y2144" s="3" t="s">
        <v>9293</v>
      </c>
      <c r="Z2144" s="3" t="s">
        <v>757</v>
      </c>
      <c r="AA2144" s="3"/>
      <c r="AB2144" s="3"/>
      <c r="AC2144" s="3" t="str">
        <f>HYPERLINK("https://knigipp.ru/api/getInfo/image/93080743-cc65-11f0-a28a-00155d82e908")</f>
        <v>https://knigipp.ru/api/getInfo/image/93080743-cc65-11f0-a28a-00155d82e908</v>
      </c>
      <c r="AD2144" s="32">
        <v>304</v>
      </c>
      <c r="AE2144" s="3" t="s">
        <v>54</v>
      </c>
      <c r="AF2144" s="3" t="s">
        <v>127</v>
      </c>
      <c r="AG2144" s="3"/>
      <c r="AH2144" s="3" t="s">
        <v>56</v>
      </c>
      <c r="AI2144" s="3"/>
      <c r="AJ2144" s="3"/>
      <c r="AK2144" s="3" t="str">
        <f>HYPERLINK("https://knigipp.ru/api/getInfo/item/93080743-cc65-11f0-a28a-00155d82e908")</f>
        <v>https://knigipp.ru/api/getInfo/item/93080743-cc65-11f0-a28a-00155d82e908</v>
      </c>
      <c r="AL2144" s="3" t="s">
        <v>9294</v>
      </c>
    </row>
    <row r="2145" spans="1:38" ht="21" customHeight="1" outlineLevel="3" x14ac:dyDescent="0.2">
      <c r="A2145" s="39">
        <v>1648</v>
      </c>
      <c r="B2145" s="3" t="s">
        <v>9295</v>
      </c>
      <c r="C2145" s="49" t="s">
        <v>9296</v>
      </c>
      <c r="D2145" s="49"/>
      <c r="E2145" s="49"/>
      <c r="F2145" s="49"/>
      <c r="G2145" s="4" t="s">
        <v>9297</v>
      </c>
      <c r="H2145" s="8"/>
      <c r="I2145" s="9" t="s">
        <v>9298</v>
      </c>
      <c r="J2145" s="10"/>
      <c r="K2145" s="11">
        <v>10</v>
      </c>
      <c r="L2145" s="10"/>
      <c r="M2145" s="10" t="s">
        <v>47</v>
      </c>
      <c r="N2145" s="10"/>
      <c r="O2145" s="2">
        <v>2</v>
      </c>
      <c r="P2145" s="17">
        <f>847*(1-S3/100)</f>
        <v>847</v>
      </c>
      <c r="Q2145" s="18"/>
      <c r="R2145" s="10">
        <f t="shared" si="92"/>
        <v>0</v>
      </c>
      <c r="S2145" s="19">
        <f>0.437*Q2145</f>
        <v>0</v>
      </c>
      <c r="T2145" s="30">
        <f>0.0006*Q2145</f>
        <v>0</v>
      </c>
      <c r="U2145" s="21"/>
      <c r="V2145" s="22" t="s">
        <v>9299</v>
      </c>
      <c r="W2145" s="22" t="s">
        <v>191</v>
      </c>
      <c r="X2145" s="3" t="s">
        <v>9300</v>
      </c>
      <c r="Y2145" s="3" t="s">
        <v>9301</v>
      </c>
      <c r="Z2145" s="3" t="s">
        <v>757</v>
      </c>
      <c r="AA2145" s="3"/>
      <c r="AB2145" s="3"/>
      <c r="AC2145" s="3" t="str">
        <f>HYPERLINK("https://knigipp.ru/api/getInfo/image/0c02f6ba-e572-11f0-a28c-00155d82e908")</f>
        <v>https://knigipp.ru/api/getInfo/image/0c02f6ba-e572-11f0-a28c-00155d82e908</v>
      </c>
      <c r="AD2145" s="32">
        <v>336</v>
      </c>
      <c r="AE2145" s="3" t="s">
        <v>54</v>
      </c>
      <c r="AF2145" s="3" t="s">
        <v>127</v>
      </c>
      <c r="AG2145" s="3"/>
      <c r="AH2145" s="3" t="s">
        <v>56</v>
      </c>
      <c r="AI2145" s="3"/>
      <c r="AJ2145" s="3"/>
      <c r="AK2145" s="3" t="str">
        <f>HYPERLINK("https://knigipp.ru/api/getInfo/item/0c02f6ba-e572-11f0-a28c-00155d82e908")</f>
        <v>https://knigipp.ru/api/getInfo/item/0c02f6ba-e572-11f0-a28c-00155d82e908</v>
      </c>
      <c r="AL2145" s="3" t="s">
        <v>9302</v>
      </c>
    </row>
    <row r="2146" spans="1:38" ht="21" customHeight="1" outlineLevel="3" x14ac:dyDescent="0.2">
      <c r="A2146" s="39">
        <v>1649</v>
      </c>
      <c r="B2146" s="3" t="s">
        <v>9303</v>
      </c>
      <c r="C2146" s="49" t="s">
        <v>9304</v>
      </c>
      <c r="D2146" s="49"/>
      <c r="E2146" s="49"/>
      <c r="F2146" s="49"/>
      <c r="G2146" s="4" t="s">
        <v>9305</v>
      </c>
      <c r="H2146" s="8"/>
      <c r="I2146" s="9" t="s">
        <v>9306</v>
      </c>
      <c r="J2146" s="10"/>
      <c r="K2146" s="11">
        <v>20</v>
      </c>
      <c r="L2146" s="10"/>
      <c r="M2146" s="10" t="s">
        <v>47</v>
      </c>
      <c r="N2146" s="10"/>
      <c r="O2146" s="2">
        <v>2</v>
      </c>
      <c r="P2146" s="17">
        <f>447*(1-S3/100)</f>
        <v>447</v>
      </c>
      <c r="Q2146" s="18"/>
      <c r="R2146" s="10">
        <f t="shared" si="92"/>
        <v>0</v>
      </c>
      <c r="S2146" s="19">
        <f>0.285*Q2146</f>
        <v>0</v>
      </c>
      <c r="T2146" s="20">
        <f>0.00062*Q2146</f>
        <v>0</v>
      </c>
      <c r="U2146" s="21"/>
      <c r="V2146" s="22" t="s">
        <v>9307</v>
      </c>
      <c r="W2146" s="22" t="s">
        <v>191</v>
      </c>
      <c r="X2146" s="3" t="s">
        <v>9230</v>
      </c>
      <c r="Y2146" s="3" t="s">
        <v>9308</v>
      </c>
      <c r="Z2146" s="3" t="s">
        <v>757</v>
      </c>
      <c r="AA2146" s="3"/>
      <c r="AB2146" s="3"/>
      <c r="AC2146" s="3" t="str">
        <f>HYPERLINK("https://knigipp.ru/api/getInfo/image/7258ad22-9e06-11f0-a285-00155d82e908")</f>
        <v>https://knigipp.ru/api/getInfo/image/7258ad22-9e06-11f0-a285-00155d82e908</v>
      </c>
      <c r="AD2146" s="32">
        <v>192</v>
      </c>
      <c r="AE2146" s="3" t="s">
        <v>692</v>
      </c>
      <c r="AF2146" s="3" t="s">
        <v>127</v>
      </c>
      <c r="AG2146" s="3"/>
      <c r="AH2146" s="3" t="s">
        <v>56</v>
      </c>
      <c r="AI2146" s="3"/>
      <c r="AJ2146" s="3"/>
      <c r="AK2146" s="3" t="str">
        <f>HYPERLINK("https://knigipp.ru/api/getInfo/item/7258ad22-9e06-11f0-a285-00155d82e908")</f>
        <v>https://knigipp.ru/api/getInfo/item/7258ad22-9e06-11f0-a285-00155d82e908</v>
      </c>
      <c r="AL2146" s="3" t="s">
        <v>2576</v>
      </c>
    </row>
    <row r="2147" spans="1:38" ht="21" customHeight="1" outlineLevel="3" x14ac:dyDescent="0.2">
      <c r="A2147" s="39">
        <v>1650</v>
      </c>
      <c r="B2147" s="3" t="s">
        <v>9309</v>
      </c>
      <c r="C2147" s="49" t="s">
        <v>9310</v>
      </c>
      <c r="D2147" s="49"/>
      <c r="E2147" s="49"/>
      <c r="F2147" s="49"/>
      <c r="G2147" s="4" t="s">
        <v>9311</v>
      </c>
      <c r="H2147" s="8"/>
      <c r="I2147" s="9" t="s">
        <v>9312</v>
      </c>
      <c r="J2147" s="10"/>
      <c r="K2147" s="11">
        <v>20</v>
      </c>
      <c r="L2147" s="10"/>
      <c r="M2147" s="10" t="s">
        <v>47</v>
      </c>
      <c r="N2147" s="10"/>
      <c r="O2147" s="2">
        <v>2</v>
      </c>
      <c r="P2147" s="17">
        <f>467*(1-S3/100)</f>
        <v>467</v>
      </c>
      <c r="Q2147" s="18"/>
      <c r="R2147" s="10">
        <f t="shared" si="92"/>
        <v>0</v>
      </c>
      <c r="S2147" s="19">
        <f>0.295*Q2147</f>
        <v>0</v>
      </c>
      <c r="T2147" s="20">
        <f>0.00037*Q2147</f>
        <v>0</v>
      </c>
      <c r="U2147" s="21"/>
      <c r="V2147" s="22" t="s">
        <v>9313</v>
      </c>
      <c r="W2147" s="22" t="s">
        <v>49</v>
      </c>
      <c r="X2147" s="3" t="s">
        <v>9252</v>
      </c>
      <c r="Y2147" s="3" t="s">
        <v>9314</v>
      </c>
      <c r="Z2147" s="3" t="s">
        <v>3329</v>
      </c>
      <c r="AA2147" s="3"/>
      <c r="AB2147" s="3"/>
      <c r="AC2147" s="3" t="str">
        <f>HYPERLINK("https://knigipp.ru/api/getInfo/image/d4c5e0a9-3d56-11f0-a27c-00155d82e908")</f>
        <v>https://knigipp.ru/api/getInfo/image/d4c5e0a9-3d56-11f0-a27c-00155d82e908</v>
      </c>
      <c r="AD2147" s="32">
        <v>160</v>
      </c>
      <c r="AE2147" s="3" t="s">
        <v>54</v>
      </c>
      <c r="AF2147" s="3" t="s">
        <v>127</v>
      </c>
      <c r="AG2147" s="3"/>
      <c r="AH2147" s="3" t="s">
        <v>56</v>
      </c>
      <c r="AI2147" s="3"/>
      <c r="AJ2147" s="3"/>
      <c r="AK2147" s="3" t="str">
        <f>HYPERLINK("https://knigipp.ru/api/getInfo/item/d4c5e0a9-3d56-11f0-a27c-00155d82e908")</f>
        <v>https://knigipp.ru/api/getInfo/item/d4c5e0a9-3d56-11f0-a27c-00155d82e908</v>
      </c>
      <c r="AL2147" s="3" t="s">
        <v>2576</v>
      </c>
    </row>
    <row r="2148" spans="1:38" ht="21" customHeight="1" outlineLevel="3" x14ac:dyDescent="0.2">
      <c r="A2148" s="39">
        <v>1651</v>
      </c>
      <c r="B2148" s="3" t="s">
        <v>9315</v>
      </c>
      <c r="C2148" s="49" t="s">
        <v>9316</v>
      </c>
      <c r="D2148" s="49"/>
      <c r="E2148" s="49"/>
      <c r="F2148" s="49"/>
      <c r="G2148" s="4" t="s">
        <v>9317</v>
      </c>
      <c r="H2148" s="8"/>
      <c r="I2148" s="9" t="s">
        <v>9318</v>
      </c>
      <c r="J2148" s="10"/>
      <c r="K2148" s="11">
        <v>5</v>
      </c>
      <c r="L2148" s="10"/>
      <c r="M2148" s="10" t="s">
        <v>47</v>
      </c>
      <c r="N2148" s="10"/>
      <c r="O2148" s="2">
        <v>2</v>
      </c>
      <c r="P2148" s="17">
        <f>897*(1-S3/100)</f>
        <v>897</v>
      </c>
      <c r="Q2148" s="18"/>
      <c r="R2148" s="10">
        <f t="shared" si="92"/>
        <v>0</v>
      </c>
      <c r="S2148" s="19">
        <f>0.598*Q2148</f>
        <v>0</v>
      </c>
      <c r="T2148" s="20">
        <f>0.00097*Q2148</f>
        <v>0</v>
      </c>
      <c r="U2148" s="21"/>
      <c r="V2148" s="22" t="s">
        <v>9319</v>
      </c>
      <c r="W2148" s="22" t="s">
        <v>191</v>
      </c>
      <c r="X2148" s="3" t="s">
        <v>9230</v>
      </c>
      <c r="Y2148" s="3" t="s">
        <v>9320</v>
      </c>
      <c r="Z2148" s="3" t="s">
        <v>757</v>
      </c>
      <c r="AA2148" s="3"/>
      <c r="AB2148" s="3"/>
      <c r="AC2148" s="3" t="str">
        <f>HYPERLINK("https://knigipp.ru/api/getInfo/image/05fac6aa-dfda-11ef-a273-00155d82e908")</f>
        <v>https://knigipp.ru/api/getInfo/image/05fac6aa-dfda-11ef-a273-00155d82e908</v>
      </c>
      <c r="AD2148" s="32">
        <v>384</v>
      </c>
      <c r="AE2148" s="3" t="s">
        <v>54</v>
      </c>
      <c r="AF2148" s="3" t="s">
        <v>127</v>
      </c>
      <c r="AG2148" s="3"/>
      <c r="AH2148" s="3" t="s">
        <v>56</v>
      </c>
      <c r="AI2148" s="3"/>
      <c r="AJ2148" s="3"/>
      <c r="AK2148" s="3" t="str">
        <f>HYPERLINK("https://knigipp.ru/api/getInfo/item/05fac6aa-dfda-11ef-a273-00155d82e908")</f>
        <v>https://knigipp.ru/api/getInfo/item/05fac6aa-dfda-11ef-a273-00155d82e908</v>
      </c>
      <c r="AL2148" s="3" t="s">
        <v>9321</v>
      </c>
    </row>
    <row r="2149" spans="1:38" ht="21" customHeight="1" outlineLevel="3" x14ac:dyDescent="0.2">
      <c r="A2149" s="40">
        <v>1652</v>
      </c>
      <c r="B2149" s="6" t="s">
        <v>9322</v>
      </c>
      <c r="C2149" s="54" t="s">
        <v>9323</v>
      </c>
      <c r="D2149" s="54"/>
      <c r="E2149" s="54"/>
      <c r="F2149" s="54"/>
      <c r="G2149" s="7" t="s">
        <v>9324</v>
      </c>
      <c r="H2149" s="12"/>
      <c r="I2149" s="13" t="s">
        <v>9325</v>
      </c>
      <c r="J2149" s="14"/>
      <c r="K2149" s="15">
        <v>10</v>
      </c>
      <c r="L2149" s="14"/>
      <c r="M2149" s="14" t="s">
        <v>47</v>
      </c>
      <c r="N2149" s="14"/>
      <c r="O2149" s="5">
        <v>2</v>
      </c>
      <c r="P2149" s="23">
        <f>747*(1-S3/100)</f>
        <v>747</v>
      </c>
      <c r="Q2149" s="18"/>
      <c r="R2149" s="14">
        <f t="shared" si="92"/>
        <v>0</v>
      </c>
      <c r="S2149" s="36">
        <f>0.49*Q2149</f>
        <v>0</v>
      </c>
      <c r="T2149" s="25">
        <f>0.00065*Q2149</f>
        <v>0</v>
      </c>
      <c r="U2149" s="26" t="s">
        <v>62</v>
      </c>
      <c r="V2149" s="27" t="s">
        <v>9326</v>
      </c>
      <c r="W2149" s="27" t="s">
        <v>191</v>
      </c>
      <c r="X2149" s="6" t="s">
        <v>9327</v>
      </c>
      <c r="Y2149" s="6"/>
      <c r="Z2149" s="6" t="s">
        <v>757</v>
      </c>
      <c r="AA2149" s="6"/>
      <c r="AB2149" s="6"/>
      <c r="AC2149" s="6" t="str">
        <f>HYPERLINK("https://knigipp.ru/api/getInfo/image/01e1743a-7490-11f1-a29a-00155d82e908")</f>
        <v>https://knigipp.ru/api/getInfo/image/01e1743a-7490-11f1-a29a-00155d82e908</v>
      </c>
      <c r="AD2149" s="33">
        <v>304</v>
      </c>
      <c r="AE2149" s="6" t="s">
        <v>692</v>
      </c>
      <c r="AF2149" s="6" t="s">
        <v>127</v>
      </c>
      <c r="AG2149" s="6"/>
      <c r="AH2149" s="6" t="s">
        <v>56</v>
      </c>
      <c r="AI2149" s="6"/>
      <c r="AJ2149" s="6"/>
      <c r="AK2149" s="6" t="str">
        <f>HYPERLINK("https://knigipp.ru/api/getInfo/item/01e1743a-7490-11f1-a29a-00155d82e908")</f>
        <v>https://knigipp.ru/api/getInfo/item/01e1743a-7490-11f1-a29a-00155d82e908</v>
      </c>
      <c r="AL2149" s="6" t="s">
        <v>9328</v>
      </c>
    </row>
    <row r="2150" spans="1:38" ht="21" customHeight="1" outlineLevel="3" x14ac:dyDescent="0.2">
      <c r="A2150" s="39">
        <v>1653</v>
      </c>
      <c r="B2150" s="3" t="s">
        <v>9329</v>
      </c>
      <c r="C2150" s="49" t="s">
        <v>9330</v>
      </c>
      <c r="D2150" s="49"/>
      <c r="E2150" s="49"/>
      <c r="F2150" s="49"/>
      <c r="G2150" s="4" t="s">
        <v>9331</v>
      </c>
      <c r="H2150" s="8"/>
      <c r="I2150" s="9" t="s">
        <v>9332</v>
      </c>
      <c r="J2150" s="10"/>
      <c r="K2150" s="11">
        <v>10</v>
      </c>
      <c r="L2150" s="10"/>
      <c r="M2150" s="10" t="s">
        <v>47</v>
      </c>
      <c r="N2150" s="10"/>
      <c r="O2150" s="2">
        <v>2</v>
      </c>
      <c r="P2150" s="17">
        <f>447*(1-S3/100)</f>
        <v>447</v>
      </c>
      <c r="Q2150" s="18"/>
      <c r="R2150" s="10">
        <f t="shared" si="92"/>
        <v>0</v>
      </c>
      <c r="S2150" s="19">
        <f>0.297*Q2150</f>
        <v>0</v>
      </c>
      <c r="T2150" s="30">
        <f>0.0005*Q2150</f>
        <v>0</v>
      </c>
      <c r="U2150" s="21"/>
      <c r="V2150" s="22" t="s">
        <v>9333</v>
      </c>
      <c r="W2150" s="22" t="s">
        <v>49</v>
      </c>
      <c r="X2150" s="3" t="s">
        <v>9334</v>
      </c>
      <c r="Y2150" s="3" t="s">
        <v>9335</v>
      </c>
      <c r="Z2150" s="3" t="s">
        <v>384</v>
      </c>
      <c r="AA2150" s="3"/>
      <c r="AB2150" s="3"/>
      <c r="AC2150" s="3" t="str">
        <f>HYPERLINK("https://knigipp.ru/api/getInfo/image/10a534fd-e576-11f0-a28c-00155d82e908")</f>
        <v>https://knigipp.ru/api/getInfo/image/10a534fd-e576-11f0-a28c-00155d82e908</v>
      </c>
      <c r="AD2150" s="32">
        <v>208</v>
      </c>
      <c r="AE2150" s="3" t="s">
        <v>54</v>
      </c>
      <c r="AF2150" s="3" t="s">
        <v>127</v>
      </c>
      <c r="AG2150" s="3"/>
      <c r="AH2150" s="3" t="s">
        <v>56</v>
      </c>
      <c r="AI2150" s="3"/>
      <c r="AJ2150" s="3"/>
      <c r="AK2150" s="3" t="str">
        <f>HYPERLINK("https://knigipp.ru/api/getInfo/item/10a534fd-e576-11f0-a28c-00155d82e908")</f>
        <v>https://knigipp.ru/api/getInfo/item/10a534fd-e576-11f0-a28c-00155d82e908</v>
      </c>
      <c r="AL2150" s="3" t="s">
        <v>2859</v>
      </c>
    </row>
    <row r="2151" spans="1:38" ht="23.1" customHeight="1" outlineLevel="2" x14ac:dyDescent="0.2">
      <c r="A2151" s="47" t="s">
        <v>9336</v>
      </c>
      <c r="B2151" s="47"/>
      <c r="C2151" s="47"/>
      <c r="D2151" s="47"/>
      <c r="E2151" s="47"/>
      <c r="F2151" s="47"/>
    </row>
    <row r="2152" spans="1:38" ht="21" customHeight="1" outlineLevel="3" x14ac:dyDescent="0.2">
      <c r="A2152" s="39">
        <v>1654</v>
      </c>
      <c r="B2152" s="3" t="s">
        <v>9337</v>
      </c>
      <c r="C2152" s="49" t="s">
        <v>9338</v>
      </c>
      <c r="D2152" s="49"/>
      <c r="E2152" s="49"/>
      <c r="F2152" s="49"/>
      <c r="G2152" s="4" t="s">
        <v>9339</v>
      </c>
      <c r="H2152" s="8"/>
      <c r="I2152" s="9" t="s">
        <v>9340</v>
      </c>
      <c r="J2152" s="10"/>
      <c r="K2152" s="11">
        <v>24</v>
      </c>
      <c r="L2152" s="10"/>
      <c r="M2152" s="10" t="s">
        <v>47</v>
      </c>
      <c r="N2152" s="10"/>
      <c r="O2152" s="2">
        <v>3</v>
      </c>
      <c r="P2152" s="17">
        <f>299*(1-S3/100)</f>
        <v>299</v>
      </c>
      <c r="Q2152" s="18"/>
      <c r="R2152" s="10">
        <f>P2152*Q2152</f>
        <v>0</v>
      </c>
      <c r="S2152" s="28">
        <f>0.25*Q2152</f>
        <v>0</v>
      </c>
      <c r="T2152" s="20">
        <f>0.00043*Q2152</f>
        <v>0</v>
      </c>
      <c r="U2152" s="21"/>
      <c r="V2152" s="22" t="s">
        <v>9341</v>
      </c>
      <c r="W2152" s="22" t="s">
        <v>49</v>
      </c>
      <c r="X2152" s="3" t="s">
        <v>9342</v>
      </c>
      <c r="Y2152" s="3" t="s">
        <v>9343</v>
      </c>
      <c r="Z2152" s="3" t="s">
        <v>3329</v>
      </c>
      <c r="AA2152" s="3"/>
      <c r="AB2152" s="3"/>
      <c r="AC2152" s="3" t="str">
        <f>HYPERLINK("https://knigipp.ru/api/getInfo/image/5e785c30-b83e-11ed-a230-00155d82e902")</f>
        <v>https://knigipp.ru/api/getInfo/image/5e785c30-b83e-11ed-a230-00155d82e902</v>
      </c>
      <c r="AD2152" s="32">
        <v>128</v>
      </c>
      <c r="AE2152" s="3" t="s">
        <v>54</v>
      </c>
      <c r="AF2152" s="3" t="s">
        <v>127</v>
      </c>
      <c r="AG2152" s="3"/>
      <c r="AH2152" s="3" t="s">
        <v>56</v>
      </c>
      <c r="AI2152" s="3"/>
      <c r="AJ2152" s="3"/>
      <c r="AK2152" s="3" t="str">
        <f>HYPERLINK("https://knigipp.ru/api/getInfo/item/5e785c30-b83e-11ed-a230-00155d82e902")</f>
        <v>https://knigipp.ru/api/getInfo/item/5e785c30-b83e-11ed-a230-00155d82e902</v>
      </c>
      <c r="AL2152" s="3" t="s">
        <v>9344</v>
      </c>
    </row>
    <row r="2153" spans="1:38" ht="21" customHeight="1" outlineLevel="3" x14ac:dyDescent="0.2">
      <c r="A2153" s="39">
        <v>1655</v>
      </c>
      <c r="B2153" s="3" t="s">
        <v>9345</v>
      </c>
      <c r="C2153" s="49" t="s">
        <v>9346</v>
      </c>
      <c r="D2153" s="49"/>
      <c r="E2153" s="49"/>
      <c r="F2153" s="49"/>
      <c r="G2153" s="4" t="s">
        <v>9347</v>
      </c>
      <c r="H2153" s="8"/>
      <c r="I2153" s="9" t="s">
        <v>9348</v>
      </c>
      <c r="J2153" s="10"/>
      <c r="K2153" s="11">
        <v>10</v>
      </c>
      <c r="L2153" s="10"/>
      <c r="M2153" s="10" t="s">
        <v>47</v>
      </c>
      <c r="N2153" s="10"/>
      <c r="O2153" s="2">
        <v>3</v>
      </c>
      <c r="P2153" s="17">
        <f>647*(1-S3/100)</f>
        <v>647</v>
      </c>
      <c r="Q2153" s="18"/>
      <c r="R2153" s="10">
        <f>P2153*Q2153</f>
        <v>0</v>
      </c>
      <c r="S2153" s="19">
        <f>0.481*Q2153</f>
        <v>0</v>
      </c>
      <c r="T2153" s="20">
        <f>0.00079*Q2153</f>
        <v>0</v>
      </c>
      <c r="U2153" s="21"/>
      <c r="V2153" s="22" t="s">
        <v>9349</v>
      </c>
      <c r="W2153" s="22" t="s">
        <v>49</v>
      </c>
      <c r="X2153" s="3" t="s">
        <v>9350</v>
      </c>
      <c r="Y2153" s="3" t="s">
        <v>9351</v>
      </c>
      <c r="Z2153" s="3" t="s">
        <v>3329</v>
      </c>
      <c r="AA2153" s="3"/>
      <c r="AB2153" s="3"/>
      <c r="AC2153" s="3" t="str">
        <f>HYPERLINK("https://knigipp.ru/api/getInfo/image/60b538ca-dfdc-11ef-a273-00155d82e908")</f>
        <v>https://knigipp.ru/api/getInfo/image/60b538ca-dfdc-11ef-a273-00155d82e908</v>
      </c>
      <c r="AD2153" s="32">
        <v>336</v>
      </c>
      <c r="AE2153" s="3" t="s">
        <v>54</v>
      </c>
      <c r="AF2153" s="3" t="s">
        <v>127</v>
      </c>
      <c r="AG2153" s="3"/>
      <c r="AH2153" s="3" t="s">
        <v>56</v>
      </c>
      <c r="AI2153" s="3"/>
      <c r="AJ2153" s="3"/>
      <c r="AK2153" s="3" t="str">
        <f>HYPERLINK("https://knigipp.ru/api/getInfo/item/60b538ca-dfdc-11ef-a273-00155d82e908")</f>
        <v>https://knigipp.ru/api/getInfo/item/60b538ca-dfdc-11ef-a273-00155d82e908</v>
      </c>
      <c r="AL2153" s="3" t="s">
        <v>9352</v>
      </c>
    </row>
    <row r="2154" spans="1:38" ht="21" customHeight="1" outlineLevel="3" x14ac:dyDescent="0.2">
      <c r="A2154" s="39">
        <v>1656</v>
      </c>
      <c r="B2154" s="3" t="s">
        <v>9353</v>
      </c>
      <c r="C2154" s="49" t="s">
        <v>9354</v>
      </c>
      <c r="D2154" s="49"/>
      <c r="E2154" s="49"/>
      <c r="F2154" s="49"/>
      <c r="G2154" s="4" t="s">
        <v>9355</v>
      </c>
      <c r="H2154" s="8"/>
      <c r="I2154" s="9" t="s">
        <v>9356</v>
      </c>
      <c r="J2154" s="10"/>
      <c r="K2154" s="11">
        <v>20</v>
      </c>
      <c r="L2154" s="10"/>
      <c r="M2154" s="10" t="s">
        <v>47</v>
      </c>
      <c r="N2154" s="10"/>
      <c r="O2154" s="2">
        <v>3</v>
      </c>
      <c r="P2154" s="17">
        <f>299*(1-S3/100)</f>
        <v>299</v>
      </c>
      <c r="Q2154" s="18"/>
      <c r="R2154" s="10">
        <f>P2154*Q2154</f>
        <v>0</v>
      </c>
      <c r="S2154" s="19">
        <f>0.231*Q2154</f>
        <v>0</v>
      </c>
      <c r="T2154" s="20">
        <f>0.00045*Q2154</f>
        <v>0</v>
      </c>
      <c r="U2154" s="21"/>
      <c r="V2154" s="22" t="s">
        <v>9357</v>
      </c>
      <c r="W2154" s="22" t="s">
        <v>49</v>
      </c>
      <c r="X2154" s="3" t="s">
        <v>9202</v>
      </c>
      <c r="Y2154" s="3" t="s">
        <v>9358</v>
      </c>
      <c r="Z2154" s="3" t="s">
        <v>3329</v>
      </c>
      <c r="AA2154" s="3"/>
      <c r="AB2154" s="3"/>
      <c r="AC2154" s="3" t="str">
        <f>HYPERLINK("https://knigipp.ru/api/getInfo/image/26c8fbcc-977b-11ef-a267-00155d82e908")</f>
        <v>https://knigipp.ru/api/getInfo/image/26c8fbcc-977b-11ef-a267-00155d82e908</v>
      </c>
      <c r="AD2154" s="32">
        <v>128</v>
      </c>
      <c r="AE2154" s="3" t="s">
        <v>54</v>
      </c>
      <c r="AF2154" s="3" t="s">
        <v>127</v>
      </c>
      <c r="AG2154" s="3"/>
      <c r="AH2154" s="3" t="s">
        <v>56</v>
      </c>
      <c r="AI2154" s="3"/>
      <c r="AJ2154" s="3"/>
      <c r="AK2154" s="3" t="str">
        <f>HYPERLINK("https://knigipp.ru/api/getInfo/item/26c8fbcc-977b-11ef-a267-00155d82e908")</f>
        <v>https://knigipp.ru/api/getInfo/item/26c8fbcc-977b-11ef-a267-00155d82e908</v>
      </c>
      <c r="AL2154" s="3" t="s">
        <v>9015</v>
      </c>
    </row>
    <row r="2155" spans="1:38" ht="21" customHeight="1" outlineLevel="3" x14ac:dyDescent="0.2">
      <c r="A2155" s="39">
        <v>1657</v>
      </c>
      <c r="B2155" s="3" t="s">
        <v>9359</v>
      </c>
      <c r="C2155" s="49" t="s">
        <v>9360</v>
      </c>
      <c r="D2155" s="49"/>
      <c r="E2155" s="49"/>
      <c r="F2155" s="49"/>
      <c r="G2155" s="4" t="s">
        <v>9361</v>
      </c>
      <c r="H2155" s="8"/>
      <c r="I2155" s="9" t="s">
        <v>9362</v>
      </c>
      <c r="J2155" s="10"/>
      <c r="K2155" s="11">
        <v>20</v>
      </c>
      <c r="L2155" s="10"/>
      <c r="M2155" s="10" t="s">
        <v>47</v>
      </c>
      <c r="N2155" s="10"/>
      <c r="O2155" s="2">
        <v>3</v>
      </c>
      <c r="P2155" s="17">
        <f>299*(1-S3/100)</f>
        <v>299</v>
      </c>
      <c r="Q2155" s="18"/>
      <c r="R2155" s="10">
        <f>P2155*Q2155</f>
        <v>0</v>
      </c>
      <c r="S2155" s="19">
        <f>0.231*Q2155</f>
        <v>0</v>
      </c>
      <c r="T2155" s="20">
        <f>0.00045*Q2155</f>
        <v>0</v>
      </c>
      <c r="U2155" s="21"/>
      <c r="V2155" s="22" t="s">
        <v>9363</v>
      </c>
      <c r="W2155" s="22" t="s">
        <v>49</v>
      </c>
      <c r="X2155" s="3" t="s">
        <v>9364</v>
      </c>
      <c r="Y2155" s="3" t="s">
        <v>9365</v>
      </c>
      <c r="Z2155" s="3" t="s">
        <v>52</v>
      </c>
      <c r="AA2155" s="3"/>
      <c r="AB2155" s="3"/>
      <c r="AC2155" s="3" t="str">
        <f>HYPERLINK("https://knigipp.ru/api/getInfo/image/fd4e89aa-977a-11ef-a267-00155d82e908")</f>
        <v>https://knigipp.ru/api/getInfo/image/fd4e89aa-977a-11ef-a267-00155d82e908</v>
      </c>
      <c r="AD2155" s="32">
        <v>96</v>
      </c>
      <c r="AE2155" s="3" t="s">
        <v>54</v>
      </c>
      <c r="AF2155" s="3" t="s">
        <v>127</v>
      </c>
      <c r="AG2155" s="3"/>
      <c r="AH2155" s="3" t="s">
        <v>56</v>
      </c>
      <c r="AI2155" s="3"/>
      <c r="AJ2155" s="3"/>
      <c r="AK2155" s="3" t="str">
        <f>HYPERLINK("https://knigipp.ru/api/getInfo/item/fd4e89aa-977a-11ef-a267-00155d82e908")</f>
        <v>https://knigipp.ru/api/getInfo/item/fd4e89aa-977a-11ef-a267-00155d82e908</v>
      </c>
      <c r="AL2155" s="3" t="s">
        <v>9352</v>
      </c>
    </row>
    <row r="2156" spans="1:38" ht="23.1" customHeight="1" outlineLevel="2" x14ac:dyDescent="0.2">
      <c r="A2156" s="47" t="s">
        <v>9366</v>
      </c>
      <c r="B2156" s="47"/>
      <c r="C2156" s="47"/>
      <c r="D2156" s="47"/>
      <c r="E2156" s="47"/>
      <c r="F2156" s="47"/>
    </row>
    <row r="2157" spans="1:38" ht="23.1" customHeight="1" outlineLevel="3" x14ac:dyDescent="0.2">
      <c r="A2157" s="48" t="s">
        <v>9367</v>
      </c>
      <c r="B2157" s="48"/>
      <c r="C2157" s="48"/>
      <c r="D2157" s="48"/>
      <c r="E2157" s="48"/>
      <c r="F2157" s="48"/>
    </row>
    <row r="2158" spans="1:38" ht="21" customHeight="1" outlineLevel="4" x14ac:dyDescent="0.2">
      <c r="A2158" s="39">
        <v>1658</v>
      </c>
      <c r="B2158" s="3" t="s">
        <v>9368</v>
      </c>
      <c r="C2158" s="49" t="s">
        <v>9369</v>
      </c>
      <c r="D2158" s="49"/>
      <c r="E2158" s="49"/>
      <c r="F2158" s="49"/>
      <c r="G2158" s="4" t="s">
        <v>9370</v>
      </c>
      <c r="H2158" s="8"/>
      <c r="I2158" s="9" t="s">
        <v>9371</v>
      </c>
      <c r="J2158" s="10"/>
      <c r="K2158" s="11">
        <v>10</v>
      </c>
      <c r="L2158" s="10"/>
      <c r="M2158" s="10" t="s">
        <v>47</v>
      </c>
      <c r="N2158" s="10"/>
      <c r="O2158" s="2">
        <v>1</v>
      </c>
      <c r="P2158" s="17">
        <f>537*(1-S3/100)</f>
        <v>537</v>
      </c>
      <c r="Q2158" s="18"/>
      <c r="R2158" s="10">
        <f>P2158*Q2158</f>
        <v>0</v>
      </c>
      <c r="S2158" s="19">
        <f>0.267*Q2158</f>
        <v>0</v>
      </c>
      <c r="T2158" s="20">
        <f>0.00041*Q2158</f>
        <v>0</v>
      </c>
      <c r="U2158" s="21"/>
      <c r="V2158" s="22" t="s">
        <v>9372</v>
      </c>
      <c r="W2158" s="22" t="s">
        <v>191</v>
      </c>
      <c r="X2158" s="3"/>
      <c r="Y2158" s="3" t="s">
        <v>9373</v>
      </c>
      <c r="Z2158" s="3" t="s">
        <v>52</v>
      </c>
      <c r="AA2158" s="3"/>
      <c r="AB2158" s="3"/>
      <c r="AC2158" s="3" t="str">
        <f>HYPERLINK("https://knigipp.ru/api/getInfo/image/e7fc94e9-dfd4-11ef-a273-00155d82e908")</f>
        <v>https://knigipp.ru/api/getInfo/image/e7fc94e9-dfd4-11ef-a273-00155d82e908</v>
      </c>
      <c r="AD2158" s="32">
        <v>64</v>
      </c>
      <c r="AE2158" s="3" t="s">
        <v>481</v>
      </c>
      <c r="AF2158" s="3" t="s">
        <v>127</v>
      </c>
      <c r="AG2158" s="3"/>
      <c r="AH2158" s="3" t="s">
        <v>56</v>
      </c>
      <c r="AI2158" s="3"/>
      <c r="AJ2158" s="3"/>
      <c r="AK2158" s="3" t="str">
        <f>HYPERLINK("https://knigipp.ru/api/getInfo/item/e7fc94e9-dfd4-11ef-a273-00155d82e908")</f>
        <v>https://knigipp.ru/api/getInfo/item/e7fc94e9-dfd4-11ef-a273-00155d82e908</v>
      </c>
      <c r="AL2158" s="3" t="s">
        <v>9374</v>
      </c>
    </row>
    <row r="2159" spans="1:38" ht="21" customHeight="1" outlineLevel="4" x14ac:dyDescent="0.2">
      <c r="A2159" s="39">
        <v>1659</v>
      </c>
      <c r="B2159" s="3" t="s">
        <v>9375</v>
      </c>
      <c r="C2159" s="49" t="s">
        <v>9376</v>
      </c>
      <c r="D2159" s="49"/>
      <c r="E2159" s="49"/>
      <c r="F2159" s="49"/>
      <c r="G2159" s="4" t="s">
        <v>9377</v>
      </c>
      <c r="H2159" s="8"/>
      <c r="I2159" s="9" t="s">
        <v>9371</v>
      </c>
      <c r="J2159" s="10"/>
      <c r="K2159" s="11">
        <v>10</v>
      </c>
      <c r="L2159" s="10"/>
      <c r="M2159" s="10" t="s">
        <v>47</v>
      </c>
      <c r="N2159" s="10"/>
      <c r="O2159" s="2">
        <v>1</v>
      </c>
      <c r="P2159" s="17">
        <f>537*(1-S3/100)</f>
        <v>537</v>
      </c>
      <c r="Q2159" s="18"/>
      <c r="R2159" s="10">
        <f>P2159*Q2159</f>
        <v>0</v>
      </c>
      <c r="S2159" s="19">
        <f>0.267*Q2159</f>
        <v>0</v>
      </c>
      <c r="T2159" s="20">
        <f>0.00038*Q2159</f>
        <v>0</v>
      </c>
      <c r="U2159" s="21"/>
      <c r="V2159" s="22" t="s">
        <v>9378</v>
      </c>
      <c r="W2159" s="22" t="s">
        <v>191</v>
      </c>
      <c r="X2159" s="3"/>
      <c r="Y2159" s="3" t="s">
        <v>9379</v>
      </c>
      <c r="Z2159" s="3" t="s">
        <v>52</v>
      </c>
      <c r="AA2159" s="3"/>
      <c r="AB2159" s="3"/>
      <c r="AC2159" s="3" t="str">
        <f>HYPERLINK("https://knigipp.ru/api/getInfo/image/b584e204-dfd4-11ef-a273-00155d82e908")</f>
        <v>https://knigipp.ru/api/getInfo/image/b584e204-dfd4-11ef-a273-00155d82e908</v>
      </c>
      <c r="AD2159" s="32">
        <v>64</v>
      </c>
      <c r="AE2159" s="3" t="s">
        <v>481</v>
      </c>
      <c r="AF2159" s="3" t="s">
        <v>127</v>
      </c>
      <c r="AG2159" s="3"/>
      <c r="AH2159" s="3" t="s">
        <v>56</v>
      </c>
      <c r="AI2159" s="3"/>
      <c r="AJ2159" s="3"/>
      <c r="AK2159" s="3" t="str">
        <f>HYPERLINK("https://knigipp.ru/api/getInfo/item/b584e204-dfd4-11ef-a273-00155d82e908")</f>
        <v>https://knigipp.ru/api/getInfo/item/b584e204-dfd4-11ef-a273-00155d82e908</v>
      </c>
      <c r="AL2159" s="3" t="s">
        <v>9374</v>
      </c>
    </row>
    <row r="2160" spans="1:38" ht="23.1" customHeight="1" outlineLevel="2" x14ac:dyDescent="0.2">
      <c r="A2160" s="47" t="s">
        <v>9380</v>
      </c>
      <c r="B2160" s="47"/>
      <c r="C2160" s="47"/>
      <c r="D2160" s="47"/>
      <c r="E2160" s="47"/>
      <c r="F2160" s="47"/>
    </row>
    <row r="2161" spans="1:38" ht="21" customHeight="1" outlineLevel="3" x14ac:dyDescent="0.2">
      <c r="A2161" s="39">
        <v>1660</v>
      </c>
      <c r="B2161" s="3" t="s">
        <v>9381</v>
      </c>
      <c r="C2161" s="49" t="s">
        <v>9382</v>
      </c>
      <c r="D2161" s="49"/>
      <c r="E2161" s="49"/>
      <c r="F2161" s="49"/>
      <c r="G2161" s="4" t="s">
        <v>9383</v>
      </c>
      <c r="H2161" s="8"/>
      <c r="I2161" s="9" t="s">
        <v>9384</v>
      </c>
      <c r="J2161" s="10"/>
      <c r="K2161" s="11">
        <v>10</v>
      </c>
      <c r="L2161" s="10"/>
      <c r="M2161" s="10" t="s">
        <v>47</v>
      </c>
      <c r="N2161" s="10"/>
      <c r="O2161" s="2">
        <v>1</v>
      </c>
      <c r="P2161" s="17">
        <f>599*(1-S3/100)</f>
        <v>599</v>
      </c>
      <c r="Q2161" s="18"/>
      <c r="R2161" s="10">
        <f t="shared" ref="R2161:R2171" si="93">P2161*Q2161</f>
        <v>0</v>
      </c>
      <c r="S2161" s="28">
        <f>0.36*Q2161</f>
        <v>0</v>
      </c>
      <c r="T2161" s="20">
        <f>0.00099*Q2161</f>
        <v>0</v>
      </c>
      <c r="U2161" s="21"/>
      <c r="V2161" s="22" t="s">
        <v>9385</v>
      </c>
      <c r="W2161" s="22" t="s">
        <v>49</v>
      </c>
      <c r="X2161" s="3" t="s">
        <v>9386</v>
      </c>
      <c r="Y2161" s="3" t="s">
        <v>9387</v>
      </c>
      <c r="Z2161" s="3" t="s">
        <v>3329</v>
      </c>
      <c r="AA2161" s="3"/>
      <c r="AB2161" s="3"/>
      <c r="AC2161" s="3" t="str">
        <f>HYPERLINK("https://knigipp.ru/api/getInfo/image/e7ffe4a0-9980-11e9-a227-ac1f6b442184")</f>
        <v>https://knigipp.ru/api/getInfo/image/e7ffe4a0-9980-11e9-a227-ac1f6b442184</v>
      </c>
      <c r="AD2161" s="32">
        <v>224</v>
      </c>
      <c r="AE2161" s="3"/>
      <c r="AF2161" s="3" t="s">
        <v>127</v>
      </c>
      <c r="AG2161" s="3"/>
      <c r="AH2161" s="3" t="s">
        <v>56</v>
      </c>
      <c r="AI2161" s="3"/>
      <c r="AJ2161" s="3"/>
      <c r="AK2161" s="3" t="str">
        <f>HYPERLINK("https://knigipp.ru/api/getInfo/item/e7ffe4a0-9980-11e9-a227-ac1f6b442184")</f>
        <v>https://knigipp.ru/api/getInfo/item/e7ffe4a0-9980-11e9-a227-ac1f6b442184</v>
      </c>
      <c r="AL2161" s="3" t="s">
        <v>9388</v>
      </c>
    </row>
    <row r="2162" spans="1:38" ht="21" customHeight="1" outlineLevel="3" x14ac:dyDescent="0.2">
      <c r="A2162" s="39">
        <v>1661</v>
      </c>
      <c r="B2162" s="3" t="s">
        <v>9389</v>
      </c>
      <c r="C2162" s="49" t="s">
        <v>9390</v>
      </c>
      <c r="D2162" s="49"/>
      <c r="E2162" s="49"/>
      <c r="F2162" s="49"/>
      <c r="G2162" s="4" t="s">
        <v>9391</v>
      </c>
      <c r="H2162" s="8"/>
      <c r="I2162" s="9" t="s">
        <v>9392</v>
      </c>
      <c r="J2162" s="10"/>
      <c r="K2162" s="11">
        <v>8</v>
      </c>
      <c r="L2162" s="10"/>
      <c r="M2162" s="10" t="s">
        <v>47</v>
      </c>
      <c r="N2162" s="10"/>
      <c r="O2162" s="2">
        <v>1</v>
      </c>
      <c r="P2162" s="17">
        <f>677*(1-S3/100)</f>
        <v>677</v>
      </c>
      <c r="Q2162" s="18"/>
      <c r="R2162" s="10">
        <f t="shared" si="93"/>
        <v>0</v>
      </c>
      <c r="S2162" s="28">
        <f>0.43*Q2162</f>
        <v>0</v>
      </c>
      <c r="T2162" s="20">
        <f>0.00078*Q2162</f>
        <v>0</v>
      </c>
      <c r="U2162" s="21"/>
      <c r="V2162" s="22" t="s">
        <v>9393</v>
      </c>
      <c r="W2162" s="22" t="s">
        <v>49</v>
      </c>
      <c r="X2162" s="3" t="s">
        <v>4754</v>
      </c>
      <c r="Y2162" s="3" t="s">
        <v>9394</v>
      </c>
      <c r="Z2162" s="3" t="s">
        <v>52</v>
      </c>
      <c r="AA2162" s="3"/>
      <c r="AB2162" s="3"/>
      <c r="AC2162" s="3" t="str">
        <f>HYPERLINK("https://knigipp.ru/api/getInfo/image/1ce2e5e7-7317-11ea-a244-ac1f6b442184")</f>
        <v>https://knigipp.ru/api/getInfo/image/1ce2e5e7-7317-11ea-a244-ac1f6b442184</v>
      </c>
      <c r="AD2162" s="32">
        <v>128</v>
      </c>
      <c r="AE2162" s="3"/>
      <c r="AF2162" s="3" t="s">
        <v>127</v>
      </c>
      <c r="AG2162" s="3"/>
      <c r="AH2162" s="3" t="s">
        <v>56</v>
      </c>
      <c r="AI2162" s="3"/>
      <c r="AJ2162" s="3"/>
      <c r="AK2162" s="3" t="str">
        <f>HYPERLINK("https://knigipp.ru/api/getInfo/item/1ce2e5e7-7317-11ea-a244-ac1f6b442184")</f>
        <v>https://knigipp.ru/api/getInfo/item/1ce2e5e7-7317-11ea-a244-ac1f6b442184</v>
      </c>
      <c r="AL2162" s="3" t="s">
        <v>9395</v>
      </c>
    </row>
    <row r="2163" spans="1:38" ht="21" customHeight="1" outlineLevel="3" x14ac:dyDescent="0.2">
      <c r="A2163" s="39">
        <v>1662</v>
      </c>
      <c r="B2163" s="3" t="s">
        <v>9396</v>
      </c>
      <c r="C2163" s="49" t="s">
        <v>9397</v>
      </c>
      <c r="D2163" s="49"/>
      <c r="E2163" s="49"/>
      <c r="F2163" s="49"/>
      <c r="G2163" s="4" t="s">
        <v>9398</v>
      </c>
      <c r="H2163" s="8"/>
      <c r="I2163" s="9" t="s">
        <v>9399</v>
      </c>
      <c r="J2163" s="10"/>
      <c r="K2163" s="11">
        <v>10</v>
      </c>
      <c r="L2163" s="10"/>
      <c r="M2163" s="10" t="s">
        <v>47</v>
      </c>
      <c r="N2163" s="10"/>
      <c r="O2163" s="2">
        <v>1</v>
      </c>
      <c r="P2163" s="17">
        <f>779*(1-S3/100)</f>
        <v>779</v>
      </c>
      <c r="Q2163" s="18"/>
      <c r="R2163" s="10">
        <f t="shared" si="93"/>
        <v>0</v>
      </c>
      <c r="S2163" s="19">
        <f>0.556*Q2163</f>
        <v>0</v>
      </c>
      <c r="T2163" s="20">
        <f>0.00073*Q2163</f>
        <v>0</v>
      </c>
      <c r="U2163" s="21"/>
      <c r="V2163" s="22" t="s">
        <v>9400</v>
      </c>
      <c r="W2163" s="22" t="s">
        <v>49</v>
      </c>
      <c r="X2163" s="3" t="s">
        <v>9401</v>
      </c>
      <c r="Y2163" s="3" t="s">
        <v>9402</v>
      </c>
      <c r="Z2163" s="3" t="s">
        <v>52</v>
      </c>
      <c r="AA2163" s="3"/>
      <c r="AB2163" s="3"/>
      <c r="AC2163" s="3" t="str">
        <f>HYPERLINK("https://knigipp.ru/api/getInfo/image/a0936912-6241-11eb-a26d-ac1f6b442184")</f>
        <v>https://knigipp.ru/api/getInfo/image/a0936912-6241-11eb-a26d-ac1f6b442184</v>
      </c>
      <c r="AD2163" s="32">
        <v>128</v>
      </c>
      <c r="AE2163" s="3"/>
      <c r="AF2163" s="3" t="s">
        <v>127</v>
      </c>
      <c r="AG2163" s="3"/>
      <c r="AH2163" s="3" t="s">
        <v>56</v>
      </c>
      <c r="AI2163" s="3"/>
      <c r="AJ2163" s="3"/>
      <c r="AK2163" s="3" t="str">
        <f>HYPERLINK("https://knigipp.ru/api/getInfo/item/a0936912-6241-11eb-a26d-ac1f6b442184")</f>
        <v>https://knigipp.ru/api/getInfo/item/a0936912-6241-11eb-a26d-ac1f6b442184</v>
      </c>
      <c r="AL2163" s="3" t="s">
        <v>9403</v>
      </c>
    </row>
    <row r="2164" spans="1:38" ht="21" customHeight="1" outlineLevel="3" x14ac:dyDescent="0.2">
      <c r="A2164" s="39">
        <v>1663</v>
      </c>
      <c r="B2164" s="3" t="s">
        <v>9404</v>
      </c>
      <c r="C2164" s="49" t="s">
        <v>9405</v>
      </c>
      <c r="D2164" s="49"/>
      <c r="E2164" s="49"/>
      <c r="F2164" s="49"/>
      <c r="G2164" s="4" t="s">
        <v>9406</v>
      </c>
      <c r="H2164" s="8"/>
      <c r="I2164" s="9" t="s">
        <v>9407</v>
      </c>
      <c r="J2164" s="10"/>
      <c r="K2164" s="11">
        <v>20</v>
      </c>
      <c r="L2164" s="10"/>
      <c r="M2164" s="10" t="s">
        <v>304</v>
      </c>
      <c r="N2164" s="10"/>
      <c r="O2164" s="2">
        <v>2</v>
      </c>
      <c r="P2164" s="17">
        <f>447*(1-S3/100)</f>
        <v>447</v>
      </c>
      <c r="Q2164" s="18"/>
      <c r="R2164" s="10">
        <f t="shared" si="93"/>
        <v>0</v>
      </c>
      <c r="S2164" s="28">
        <f>0.32*Q2164</f>
        <v>0</v>
      </c>
      <c r="T2164" s="20">
        <f>0.00042*Q2164</f>
        <v>0</v>
      </c>
      <c r="U2164" s="21"/>
      <c r="V2164" s="22" t="s">
        <v>9408</v>
      </c>
      <c r="W2164" s="22" t="s">
        <v>49</v>
      </c>
      <c r="X2164" s="3" t="s">
        <v>4754</v>
      </c>
      <c r="Y2164" s="3" t="s">
        <v>9409</v>
      </c>
      <c r="Z2164" s="3" t="s">
        <v>52</v>
      </c>
      <c r="AA2164" s="3"/>
      <c r="AB2164" s="3"/>
      <c r="AC2164" s="3" t="str">
        <f>HYPERLINK("https://knigipp.ru/api/getInfo/image/8866251d-3556-11ef-a261-00155d82e908")</f>
        <v>https://knigipp.ru/api/getInfo/image/8866251d-3556-11ef-a261-00155d82e908</v>
      </c>
      <c r="AD2164" s="32">
        <v>48</v>
      </c>
      <c r="AE2164" s="3" t="s">
        <v>355</v>
      </c>
      <c r="AF2164" s="3" t="s">
        <v>127</v>
      </c>
      <c r="AG2164" s="3"/>
      <c r="AH2164" s="3" t="s">
        <v>56</v>
      </c>
      <c r="AI2164" s="3"/>
      <c r="AJ2164" s="3"/>
      <c r="AK2164" s="3" t="str">
        <f>HYPERLINK("https://knigipp.ru/api/getInfo/item/8866251d-3556-11ef-a261-00155d82e908")</f>
        <v>https://knigipp.ru/api/getInfo/item/8866251d-3556-11ef-a261-00155d82e908</v>
      </c>
      <c r="AL2164" s="3" t="s">
        <v>9410</v>
      </c>
    </row>
    <row r="2165" spans="1:38" ht="21" customHeight="1" outlineLevel="3" x14ac:dyDescent="0.2">
      <c r="A2165" s="39">
        <v>1664</v>
      </c>
      <c r="B2165" s="3" t="s">
        <v>9411</v>
      </c>
      <c r="C2165" s="49" t="s">
        <v>9412</v>
      </c>
      <c r="D2165" s="49"/>
      <c r="E2165" s="49"/>
      <c r="F2165" s="49"/>
      <c r="G2165" s="4" t="s">
        <v>9413</v>
      </c>
      <c r="H2165" s="8"/>
      <c r="I2165" s="9" t="s">
        <v>9414</v>
      </c>
      <c r="J2165" s="10"/>
      <c r="K2165" s="11">
        <v>8</v>
      </c>
      <c r="L2165" s="10"/>
      <c r="M2165" s="10" t="s">
        <v>47</v>
      </c>
      <c r="N2165" s="10"/>
      <c r="O2165" s="2">
        <v>1</v>
      </c>
      <c r="P2165" s="17">
        <f>947*(1-S3/100)</f>
        <v>947</v>
      </c>
      <c r="Q2165" s="18"/>
      <c r="R2165" s="10">
        <f t="shared" si="93"/>
        <v>0</v>
      </c>
      <c r="S2165" s="19">
        <f>0.744*Q2165</f>
        <v>0</v>
      </c>
      <c r="T2165" s="20">
        <f>0.00116*Q2165</f>
        <v>0</v>
      </c>
      <c r="U2165" s="21"/>
      <c r="V2165" s="22" t="s">
        <v>9415</v>
      </c>
      <c r="W2165" s="22" t="s">
        <v>49</v>
      </c>
      <c r="X2165" s="3" t="s">
        <v>4754</v>
      </c>
      <c r="Y2165" s="3" t="s">
        <v>9416</v>
      </c>
      <c r="Z2165" s="3" t="s">
        <v>52</v>
      </c>
      <c r="AA2165" s="3"/>
      <c r="AB2165" s="3"/>
      <c r="AC2165" s="3" t="str">
        <f>HYPERLINK("https://knigipp.ru/api/getInfo/image/81a0dea9-d6d0-11ee-a25a-00155d82e908")</f>
        <v>https://knigipp.ru/api/getInfo/image/81a0dea9-d6d0-11ee-a25a-00155d82e908</v>
      </c>
      <c r="AD2165" s="32">
        <v>208</v>
      </c>
      <c r="AE2165" s="3" t="s">
        <v>481</v>
      </c>
      <c r="AF2165" s="3" t="s">
        <v>127</v>
      </c>
      <c r="AG2165" s="3"/>
      <c r="AH2165" s="3" t="s">
        <v>56</v>
      </c>
      <c r="AI2165" s="3"/>
      <c r="AJ2165" s="3"/>
      <c r="AK2165" s="3" t="str">
        <f>HYPERLINK("https://knigipp.ru/api/getInfo/item/81a0dea9-d6d0-11ee-a25a-00155d82e908")</f>
        <v>https://knigipp.ru/api/getInfo/item/81a0dea9-d6d0-11ee-a25a-00155d82e908</v>
      </c>
      <c r="AL2165" s="3" t="s">
        <v>9417</v>
      </c>
    </row>
    <row r="2166" spans="1:38" ht="21" customHeight="1" outlineLevel="3" x14ac:dyDescent="0.2">
      <c r="A2166" s="39">
        <v>1665</v>
      </c>
      <c r="B2166" s="3" t="s">
        <v>9418</v>
      </c>
      <c r="C2166" s="49" t="s">
        <v>9419</v>
      </c>
      <c r="D2166" s="49"/>
      <c r="E2166" s="49"/>
      <c r="F2166" s="49"/>
      <c r="G2166" s="4" t="s">
        <v>9420</v>
      </c>
      <c r="H2166" s="8"/>
      <c r="I2166" s="9" t="s">
        <v>9421</v>
      </c>
      <c r="J2166" s="10"/>
      <c r="K2166" s="11">
        <v>10</v>
      </c>
      <c r="L2166" s="10"/>
      <c r="M2166" s="10" t="s">
        <v>47</v>
      </c>
      <c r="N2166" s="10"/>
      <c r="O2166" s="2">
        <v>1</v>
      </c>
      <c r="P2166" s="17">
        <f>699*(1-S3/100)</f>
        <v>699</v>
      </c>
      <c r="Q2166" s="18"/>
      <c r="R2166" s="10">
        <f t="shared" si="93"/>
        <v>0</v>
      </c>
      <c r="S2166" s="19">
        <f>0.534*Q2166</f>
        <v>0</v>
      </c>
      <c r="T2166" s="20">
        <f>0.00089*Q2166</f>
        <v>0</v>
      </c>
      <c r="U2166" s="21"/>
      <c r="V2166" s="22" t="s">
        <v>9422</v>
      </c>
      <c r="W2166" s="22" t="s">
        <v>49</v>
      </c>
      <c r="X2166" s="3" t="s">
        <v>4754</v>
      </c>
      <c r="Y2166" s="3" t="s">
        <v>9423</v>
      </c>
      <c r="Z2166" s="3" t="s">
        <v>52</v>
      </c>
      <c r="AA2166" s="3"/>
      <c r="AB2166" s="3"/>
      <c r="AC2166" s="3" t="str">
        <f>HYPERLINK("https://knigipp.ru/api/getInfo/image/bf708bd7-f393-11eb-a20d-ac1f6b442185")</f>
        <v>https://knigipp.ru/api/getInfo/image/bf708bd7-f393-11eb-a20d-ac1f6b442185</v>
      </c>
      <c r="AD2166" s="32">
        <v>224</v>
      </c>
      <c r="AE2166" s="3" t="s">
        <v>2372</v>
      </c>
      <c r="AF2166" s="3" t="s">
        <v>127</v>
      </c>
      <c r="AG2166" s="3"/>
      <c r="AH2166" s="3" t="s">
        <v>56</v>
      </c>
      <c r="AI2166" s="3"/>
      <c r="AJ2166" s="3"/>
      <c r="AK2166" s="3" t="str">
        <f>HYPERLINK("https://knigipp.ru/api/getInfo/item/bf708bd7-f393-11eb-a20d-ac1f6b442185")</f>
        <v>https://knigipp.ru/api/getInfo/item/bf708bd7-f393-11eb-a20d-ac1f6b442185</v>
      </c>
      <c r="AL2166" s="3" t="s">
        <v>9424</v>
      </c>
    </row>
    <row r="2167" spans="1:38" ht="21" customHeight="1" outlineLevel="3" x14ac:dyDescent="0.2">
      <c r="A2167" s="39">
        <v>1666</v>
      </c>
      <c r="B2167" s="3" t="s">
        <v>9425</v>
      </c>
      <c r="C2167" s="49" t="s">
        <v>9426</v>
      </c>
      <c r="D2167" s="49"/>
      <c r="E2167" s="49"/>
      <c r="F2167" s="49"/>
      <c r="G2167" s="4" t="s">
        <v>9427</v>
      </c>
      <c r="H2167" s="8"/>
      <c r="I2167" s="9" t="s">
        <v>9428</v>
      </c>
      <c r="J2167" s="10"/>
      <c r="K2167" s="11">
        <v>20</v>
      </c>
      <c r="L2167" s="10"/>
      <c r="M2167" s="10" t="s">
        <v>47</v>
      </c>
      <c r="N2167" s="10"/>
      <c r="O2167" s="2">
        <v>1</v>
      </c>
      <c r="P2167" s="17">
        <f>597*(1-S3/100)</f>
        <v>597</v>
      </c>
      <c r="Q2167" s="18"/>
      <c r="R2167" s="10">
        <f t="shared" si="93"/>
        <v>0</v>
      </c>
      <c r="S2167" s="19">
        <f>0.208*Q2167</f>
        <v>0</v>
      </c>
      <c r="T2167" s="20">
        <f>0.00054*Q2167</f>
        <v>0</v>
      </c>
      <c r="U2167" s="21"/>
      <c r="V2167" s="22" t="s">
        <v>9429</v>
      </c>
      <c r="W2167" s="22" t="s">
        <v>49</v>
      </c>
      <c r="X2167" s="3" t="s">
        <v>9430</v>
      </c>
      <c r="Y2167" s="3" t="s">
        <v>9431</v>
      </c>
      <c r="Z2167" s="3" t="s">
        <v>52</v>
      </c>
      <c r="AA2167" s="3"/>
      <c r="AB2167" s="3"/>
      <c r="AC2167" s="3" t="str">
        <f>HYPERLINK("https://knigipp.ru/api/getInfo/image/3dbf43b7-4f36-11ef-a262-00155d82e908")</f>
        <v>https://knigipp.ru/api/getInfo/image/3dbf43b7-4f36-11ef-a262-00155d82e908</v>
      </c>
      <c r="AD2167" s="32">
        <v>160</v>
      </c>
      <c r="AE2167" s="3" t="s">
        <v>481</v>
      </c>
      <c r="AF2167" s="3" t="s">
        <v>127</v>
      </c>
      <c r="AG2167" s="3"/>
      <c r="AH2167" s="3" t="s">
        <v>56</v>
      </c>
      <c r="AI2167" s="3"/>
      <c r="AJ2167" s="3"/>
      <c r="AK2167" s="3" t="str">
        <f>HYPERLINK("https://knigipp.ru/api/getInfo/item/3dbf43b7-4f36-11ef-a262-00155d82e908")</f>
        <v>https://knigipp.ru/api/getInfo/item/3dbf43b7-4f36-11ef-a262-00155d82e908</v>
      </c>
      <c r="AL2167" s="3" t="s">
        <v>9432</v>
      </c>
    </row>
    <row r="2168" spans="1:38" ht="21" customHeight="1" outlineLevel="3" x14ac:dyDescent="0.2">
      <c r="A2168" s="39">
        <v>1667</v>
      </c>
      <c r="B2168" s="3" t="s">
        <v>9433</v>
      </c>
      <c r="C2168" s="49" t="s">
        <v>9434</v>
      </c>
      <c r="D2168" s="49"/>
      <c r="E2168" s="49"/>
      <c r="F2168" s="49"/>
      <c r="G2168" s="4" t="s">
        <v>9435</v>
      </c>
      <c r="H2168" s="8"/>
      <c r="I2168" s="9" t="s">
        <v>9436</v>
      </c>
      <c r="J2168" s="10"/>
      <c r="K2168" s="11">
        <v>8</v>
      </c>
      <c r="L2168" s="10"/>
      <c r="M2168" s="10" t="s">
        <v>47</v>
      </c>
      <c r="N2168" s="10"/>
      <c r="O2168" s="2">
        <v>1</v>
      </c>
      <c r="P2168" s="29">
        <f>1377*(1-S3/100)</f>
        <v>1377</v>
      </c>
      <c r="Q2168" s="18"/>
      <c r="R2168" s="10">
        <f t="shared" si="93"/>
        <v>0</v>
      </c>
      <c r="S2168" s="19">
        <f>0.722*Q2168</f>
        <v>0</v>
      </c>
      <c r="T2168" s="30">
        <f>0.0007*Q2168</f>
        <v>0</v>
      </c>
      <c r="U2168" s="21"/>
      <c r="V2168" s="22" t="s">
        <v>9437</v>
      </c>
      <c r="W2168" s="22" t="s">
        <v>49</v>
      </c>
      <c r="X2168" s="3" t="s">
        <v>9438</v>
      </c>
      <c r="Y2168" s="3" t="s">
        <v>9439</v>
      </c>
      <c r="Z2168" s="3" t="s">
        <v>3329</v>
      </c>
      <c r="AA2168" s="3"/>
      <c r="AB2168" s="3"/>
      <c r="AC2168" s="3" t="str">
        <f>HYPERLINK("https://knigipp.ru/api/getInfo/image/322459ab-cb92-11f0-a28a-00155d82e908")</f>
        <v>https://knigipp.ru/api/getInfo/image/322459ab-cb92-11f0-a28a-00155d82e908</v>
      </c>
      <c r="AD2168" s="32">
        <v>160</v>
      </c>
      <c r="AE2168" s="3" t="s">
        <v>65</v>
      </c>
      <c r="AF2168" s="3" t="s">
        <v>127</v>
      </c>
      <c r="AG2168" s="3"/>
      <c r="AH2168" s="3" t="s">
        <v>56</v>
      </c>
      <c r="AI2168" s="3"/>
      <c r="AJ2168" s="3"/>
      <c r="AK2168" s="3" t="str">
        <f>HYPERLINK("https://knigipp.ru/api/getInfo/item/322459ab-cb92-11f0-a28a-00155d82e908")</f>
        <v>https://knigipp.ru/api/getInfo/item/322459ab-cb92-11f0-a28a-00155d82e908</v>
      </c>
      <c r="AL2168" s="3" t="s">
        <v>9440</v>
      </c>
    </row>
    <row r="2169" spans="1:38" ht="21" customHeight="1" outlineLevel="3" x14ac:dyDescent="0.2">
      <c r="A2169" s="39">
        <v>1668</v>
      </c>
      <c r="B2169" s="3" t="s">
        <v>9441</v>
      </c>
      <c r="C2169" s="49" t="s">
        <v>9442</v>
      </c>
      <c r="D2169" s="49"/>
      <c r="E2169" s="49"/>
      <c r="F2169" s="49"/>
      <c r="G2169" s="4" t="s">
        <v>9443</v>
      </c>
      <c r="H2169" s="8"/>
      <c r="I2169" s="9" t="s">
        <v>9444</v>
      </c>
      <c r="J2169" s="10"/>
      <c r="K2169" s="11">
        <v>8</v>
      </c>
      <c r="L2169" s="10"/>
      <c r="M2169" s="10" t="s">
        <v>47</v>
      </c>
      <c r="N2169" s="10"/>
      <c r="O2169" s="2">
        <v>1</v>
      </c>
      <c r="P2169" s="17">
        <f>797*(1-S3/100)</f>
        <v>797</v>
      </c>
      <c r="Q2169" s="18"/>
      <c r="R2169" s="10">
        <f t="shared" si="93"/>
        <v>0</v>
      </c>
      <c r="S2169" s="19">
        <f>0.454*Q2169</f>
        <v>0</v>
      </c>
      <c r="T2169" s="20">
        <f>0.00093*Q2169</f>
        <v>0</v>
      </c>
      <c r="U2169" s="21"/>
      <c r="V2169" s="22" t="s">
        <v>9445</v>
      </c>
      <c r="W2169" s="22" t="s">
        <v>49</v>
      </c>
      <c r="X2169" s="3" t="s">
        <v>9446</v>
      </c>
      <c r="Y2169" s="3"/>
      <c r="Z2169" s="3" t="s">
        <v>52</v>
      </c>
      <c r="AA2169" s="3"/>
      <c r="AB2169" s="3"/>
      <c r="AC2169" s="3" t="str">
        <f>HYPERLINK("https://knigipp.ru/api/getInfo/image/24ce7da2-e126-11e9-a234-ac1f6b442184")</f>
        <v>https://knigipp.ru/api/getInfo/image/24ce7da2-e126-11e9-a234-ac1f6b442184</v>
      </c>
      <c r="AD2169" s="32">
        <v>64</v>
      </c>
      <c r="AE2169" s="3"/>
      <c r="AF2169" s="3" t="s">
        <v>127</v>
      </c>
      <c r="AG2169" s="3"/>
      <c r="AH2169" s="3" t="s">
        <v>56</v>
      </c>
      <c r="AI2169" s="3"/>
      <c r="AJ2169" s="3"/>
      <c r="AK2169" s="3" t="str">
        <f>HYPERLINK("https://knigipp.ru/api/getInfo/item/24ce7da2-e126-11e9-a234-ac1f6b442184")</f>
        <v>https://knigipp.ru/api/getInfo/item/24ce7da2-e126-11e9-a234-ac1f6b442184</v>
      </c>
      <c r="AL2169" s="3" t="s">
        <v>9447</v>
      </c>
    </row>
    <row r="2170" spans="1:38" ht="21" customHeight="1" outlineLevel="3" x14ac:dyDescent="0.2">
      <c r="A2170" s="39">
        <v>1669</v>
      </c>
      <c r="B2170" s="3" t="s">
        <v>9448</v>
      </c>
      <c r="C2170" s="49" t="s">
        <v>9449</v>
      </c>
      <c r="D2170" s="49"/>
      <c r="E2170" s="49"/>
      <c r="F2170" s="49"/>
      <c r="G2170" s="4" t="s">
        <v>9450</v>
      </c>
      <c r="H2170" s="8"/>
      <c r="I2170" s="9" t="s">
        <v>9451</v>
      </c>
      <c r="J2170" s="10"/>
      <c r="K2170" s="11">
        <v>10</v>
      </c>
      <c r="L2170" s="10"/>
      <c r="M2170" s="10" t="s">
        <v>47</v>
      </c>
      <c r="N2170" s="10"/>
      <c r="O2170" s="2">
        <v>1</v>
      </c>
      <c r="P2170" s="17">
        <f>749*(1-S3/100)</f>
        <v>749</v>
      </c>
      <c r="Q2170" s="18"/>
      <c r="R2170" s="10">
        <f t="shared" si="93"/>
        <v>0</v>
      </c>
      <c r="S2170" s="19">
        <f>0.491*Q2170</f>
        <v>0</v>
      </c>
      <c r="T2170" s="20">
        <f>0.00082*Q2170</f>
        <v>0</v>
      </c>
      <c r="U2170" s="21"/>
      <c r="V2170" s="22" t="s">
        <v>9452</v>
      </c>
      <c r="W2170" s="22" t="s">
        <v>49</v>
      </c>
      <c r="X2170" s="3" t="s">
        <v>9453</v>
      </c>
      <c r="Y2170" s="3" t="s">
        <v>9454</v>
      </c>
      <c r="Z2170" s="3" t="s">
        <v>52</v>
      </c>
      <c r="AA2170" s="3"/>
      <c r="AB2170" s="3"/>
      <c r="AC2170" s="3" t="str">
        <f>HYPERLINK("https://knigipp.ru/api/getInfo/image/c3a52ae2-1f4e-11ef-a25f-00155d82e908")</f>
        <v>https://knigipp.ru/api/getInfo/image/c3a52ae2-1f4e-11ef-a25f-00155d82e908</v>
      </c>
      <c r="AD2170" s="32">
        <v>128</v>
      </c>
      <c r="AE2170" s="3" t="s">
        <v>355</v>
      </c>
      <c r="AF2170" s="3" t="s">
        <v>127</v>
      </c>
      <c r="AG2170" s="3"/>
      <c r="AH2170" s="3" t="s">
        <v>56</v>
      </c>
      <c r="AI2170" s="3"/>
      <c r="AJ2170" s="3"/>
      <c r="AK2170" s="3" t="str">
        <f>HYPERLINK("https://knigipp.ru/api/getInfo/item/c3a52ae2-1f4e-11ef-a25f-00155d82e908")</f>
        <v>https://knigipp.ru/api/getInfo/item/c3a52ae2-1f4e-11ef-a25f-00155d82e908</v>
      </c>
      <c r="AL2170" s="3" t="s">
        <v>1254</v>
      </c>
    </row>
    <row r="2171" spans="1:38" ht="21" customHeight="1" outlineLevel="3" x14ac:dyDescent="0.2">
      <c r="A2171" s="39">
        <v>1670</v>
      </c>
      <c r="B2171" s="3" t="s">
        <v>9455</v>
      </c>
      <c r="C2171" s="49" t="s">
        <v>9456</v>
      </c>
      <c r="D2171" s="49"/>
      <c r="E2171" s="49"/>
      <c r="F2171" s="49"/>
      <c r="G2171" s="4" t="s">
        <v>9457</v>
      </c>
      <c r="H2171" s="8"/>
      <c r="I2171" s="9" t="s">
        <v>9458</v>
      </c>
      <c r="J2171" s="10"/>
      <c r="K2171" s="11">
        <v>8</v>
      </c>
      <c r="L2171" s="10"/>
      <c r="M2171" s="10" t="s">
        <v>47</v>
      </c>
      <c r="N2171" s="10"/>
      <c r="O2171" s="2">
        <v>1</v>
      </c>
      <c r="P2171" s="17">
        <f>977*(1-S3/100)</f>
        <v>977</v>
      </c>
      <c r="Q2171" s="18"/>
      <c r="R2171" s="10">
        <f t="shared" si="93"/>
        <v>0</v>
      </c>
      <c r="S2171" s="19">
        <f>0.669*Q2171</f>
        <v>0</v>
      </c>
      <c r="T2171" s="20">
        <f>0.00083*Q2171</f>
        <v>0</v>
      </c>
      <c r="U2171" s="21"/>
      <c r="V2171" s="22" t="s">
        <v>9459</v>
      </c>
      <c r="W2171" s="22" t="s">
        <v>49</v>
      </c>
      <c r="X2171" s="3" t="s">
        <v>9460</v>
      </c>
      <c r="Y2171" s="3" t="s">
        <v>9461</v>
      </c>
      <c r="Z2171" s="3" t="s">
        <v>52</v>
      </c>
      <c r="AA2171" s="3"/>
      <c r="AB2171" s="3"/>
      <c r="AC2171" s="3" t="str">
        <f>HYPERLINK("https://knigipp.ru/api/getInfo/image/40cc6641-6b30-11e9-a224-ac1f6b442184")</f>
        <v>https://knigipp.ru/api/getInfo/image/40cc6641-6b30-11e9-a224-ac1f6b442184</v>
      </c>
      <c r="AD2171" s="32">
        <v>104</v>
      </c>
      <c r="AE2171" s="3"/>
      <c r="AF2171" s="3" t="s">
        <v>127</v>
      </c>
      <c r="AG2171" s="3"/>
      <c r="AH2171" s="3" t="s">
        <v>56</v>
      </c>
      <c r="AI2171" s="3"/>
      <c r="AJ2171" s="3"/>
      <c r="AK2171" s="3" t="str">
        <f>HYPERLINK("https://knigipp.ru/api/getInfo/item/40cc6641-6b30-11e9-a224-ac1f6b442184")</f>
        <v>https://knigipp.ru/api/getInfo/item/40cc6641-6b30-11e9-a224-ac1f6b442184</v>
      </c>
      <c r="AL2171" s="3" t="s">
        <v>9462</v>
      </c>
    </row>
    <row r="2172" spans="1:38" ht="23.1" customHeight="1" outlineLevel="2" x14ac:dyDescent="0.2">
      <c r="A2172" s="47" t="s">
        <v>9463</v>
      </c>
      <c r="B2172" s="47"/>
      <c r="C2172" s="47"/>
      <c r="D2172" s="47"/>
      <c r="E2172" s="47"/>
      <c r="F2172" s="47"/>
    </row>
    <row r="2173" spans="1:38" ht="23.1" customHeight="1" outlineLevel="3" x14ac:dyDescent="0.2">
      <c r="A2173" s="48" t="s">
        <v>9464</v>
      </c>
      <c r="B2173" s="48"/>
      <c r="C2173" s="48"/>
      <c r="D2173" s="48"/>
      <c r="E2173" s="48"/>
      <c r="F2173" s="48"/>
    </row>
    <row r="2174" spans="1:38" ht="21" customHeight="1" outlineLevel="4" x14ac:dyDescent="0.2">
      <c r="A2174" s="39">
        <v>1671</v>
      </c>
      <c r="B2174" s="3" t="s">
        <v>9465</v>
      </c>
      <c r="C2174" s="49" t="s">
        <v>9466</v>
      </c>
      <c r="D2174" s="49"/>
      <c r="E2174" s="49"/>
      <c r="F2174" s="49"/>
      <c r="G2174" s="4" t="s">
        <v>9467</v>
      </c>
      <c r="H2174" s="8"/>
      <c r="I2174" s="9" t="s">
        <v>9468</v>
      </c>
      <c r="J2174" s="10"/>
      <c r="K2174" s="11">
        <v>8</v>
      </c>
      <c r="L2174" s="10"/>
      <c r="M2174" s="10" t="s">
        <v>47</v>
      </c>
      <c r="N2174" s="10"/>
      <c r="O2174" s="2">
        <v>1</v>
      </c>
      <c r="P2174" s="17">
        <f>597*(1-S3/100)</f>
        <v>597</v>
      </c>
      <c r="Q2174" s="18"/>
      <c r="R2174" s="10">
        <f t="shared" ref="R2174:R2180" si="94">P2174*Q2174</f>
        <v>0</v>
      </c>
      <c r="S2174" s="35">
        <f>0.4*Q2174</f>
        <v>0</v>
      </c>
      <c r="T2174" s="20">
        <f>0.00068*Q2174</f>
        <v>0</v>
      </c>
      <c r="U2174" s="21"/>
      <c r="V2174" s="22" t="s">
        <v>9469</v>
      </c>
      <c r="W2174" s="22" t="s">
        <v>49</v>
      </c>
      <c r="X2174" s="3" t="s">
        <v>9470</v>
      </c>
      <c r="Y2174" s="3" t="s">
        <v>9471</v>
      </c>
      <c r="Z2174" s="3" t="s">
        <v>52</v>
      </c>
      <c r="AA2174" s="3"/>
      <c r="AB2174" s="3"/>
      <c r="AC2174" s="3" t="str">
        <f>HYPERLINK("https://knigipp.ru/api/getInfo/image/f380128f-6b2f-11e9-a224-ac1f6b442184")</f>
        <v>https://knigipp.ru/api/getInfo/image/f380128f-6b2f-11e9-a224-ac1f6b442184</v>
      </c>
      <c r="AD2174" s="32">
        <v>96</v>
      </c>
      <c r="AE2174" s="3"/>
      <c r="AF2174" s="3" t="s">
        <v>127</v>
      </c>
      <c r="AG2174" s="3"/>
      <c r="AH2174" s="3" t="s">
        <v>56</v>
      </c>
      <c r="AI2174" s="3"/>
      <c r="AJ2174" s="3"/>
      <c r="AK2174" s="3" t="str">
        <f>HYPERLINK("https://knigipp.ru/api/getInfo/item/f380128f-6b2f-11e9-a224-ac1f6b442184")</f>
        <v>https://knigipp.ru/api/getInfo/item/f380128f-6b2f-11e9-a224-ac1f6b442184</v>
      </c>
      <c r="AL2174" s="3" t="s">
        <v>1254</v>
      </c>
    </row>
    <row r="2175" spans="1:38" ht="21" customHeight="1" outlineLevel="4" x14ac:dyDescent="0.2">
      <c r="A2175" s="39">
        <v>1672</v>
      </c>
      <c r="B2175" s="3" t="s">
        <v>9472</v>
      </c>
      <c r="C2175" s="49" t="s">
        <v>9473</v>
      </c>
      <c r="D2175" s="49"/>
      <c r="E2175" s="49"/>
      <c r="F2175" s="49"/>
      <c r="G2175" s="4" t="s">
        <v>9474</v>
      </c>
      <c r="H2175" s="8"/>
      <c r="I2175" s="9" t="s">
        <v>9475</v>
      </c>
      <c r="J2175" s="10"/>
      <c r="K2175" s="11">
        <v>20</v>
      </c>
      <c r="L2175" s="10"/>
      <c r="M2175" s="10" t="s">
        <v>47</v>
      </c>
      <c r="N2175" s="10"/>
      <c r="O2175" s="2">
        <v>1</v>
      </c>
      <c r="P2175" s="17">
        <f>617*(1-S3/100)</f>
        <v>617</v>
      </c>
      <c r="Q2175" s="18"/>
      <c r="R2175" s="10">
        <f t="shared" si="94"/>
        <v>0</v>
      </c>
      <c r="S2175" s="19">
        <f>0.281*Q2175</f>
        <v>0</v>
      </c>
      <c r="T2175" s="20">
        <f>0.00055*Q2175</f>
        <v>0</v>
      </c>
      <c r="U2175" s="21"/>
      <c r="V2175" s="22" t="s">
        <v>9476</v>
      </c>
      <c r="W2175" s="22" t="s">
        <v>49</v>
      </c>
      <c r="X2175" s="3"/>
      <c r="Y2175" s="3" t="s">
        <v>9477</v>
      </c>
      <c r="Z2175" s="3" t="s">
        <v>52</v>
      </c>
      <c r="AA2175" s="3"/>
      <c r="AB2175" s="3"/>
      <c r="AC2175" s="3" t="str">
        <f>HYPERLINK("https://knigipp.ru/api/getInfo/image/4ae1d9bd-0a58-11ec-a20e-ac1f6b442185")</f>
        <v>https://knigipp.ru/api/getInfo/image/4ae1d9bd-0a58-11ec-a20e-ac1f6b442185</v>
      </c>
      <c r="AD2175" s="32">
        <v>96</v>
      </c>
      <c r="AE2175" s="3" t="s">
        <v>54</v>
      </c>
      <c r="AF2175" s="3" t="s">
        <v>55</v>
      </c>
      <c r="AG2175" s="3"/>
      <c r="AH2175" s="3" t="s">
        <v>56</v>
      </c>
      <c r="AI2175" s="3"/>
      <c r="AJ2175" s="3"/>
      <c r="AK2175" s="3" t="str">
        <f>HYPERLINK("https://knigipp.ru/api/getInfo/item/4ae1d9bd-0a58-11ec-a20e-ac1f6b442185")</f>
        <v>https://knigipp.ru/api/getInfo/item/4ae1d9bd-0a58-11ec-a20e-ac1f6b442185</v>
      </c>
      <c r="AL2175" s="3" t="s">
        <v>9478</v>
      </c>
    </row>
    <row r="2176" spans="1:38" ht="21" customHeight="1" outlineLevel="4" x14ac:dyDescent="0.2">
      <c r="A2176" s="39">
        <v>1673</v>
      </c>
      <c r="B2176" s="3" t="s">
        <v>9479</v>
      </c>
      <c r="C2176" s="49" t="s">
        <v>9480</v>
      </c>
      <c r="D2176" s="49"/>
      <c r="E2176" s="49"/>
      <c r="F2176" s="49"/>
      <c r="G2176" s="4" t="s">
        <v>9481</v>
      </c>
      <c r="H2176" s="8"/>
      <c r="I2176" s="9" t="s">
        <v>9482</v>
      </c>
      <c r="J2176" s="10"/>
      <c r="K2176" s="11">
        <v>20</v>
      </c>
      <c r="L2176" s="10"/>
      <c r="M2176" s="10" t="s">
        <v>47</v>
      </c>
      <c r="N2176" s="10"/>
      <c r="O2176" s="2">
        <v>1</v>
      </c>
      <c r="P2176" s="17">
        <f>399*(1-S3/100)</f>
        <v>399</v>
      </c>
      <c r="Q2176" s="18"/>
      <c r="R2176" s="10">
        <f t="shared" si="94"/>
        <v>0</v>
      </c>
      <c r="S2176" s="28">
        <f>0.14*Q2176</f>
        <v>0</v>
      </c>
      <c r="T2176" s="20">
        <f>0.00025*Q2176</f>
        <v>0</v>
      </c>
      <c r="U2176" s="21"/>
      <c r="V2176" s="22" t="s">
        <v>9483</v>
      </c>
      <c r="W2176" s="22" t="s">
        <v>49</v>
      </c>
      <c r="X2176" s="3"/>
      <c r="Y2176" s="3" t="s">
        <v>9484</v>
      </c>
      <c r="Z2176" s="3" t="s">
        <v>52</v>
      </c>
      <c r="AA2176" s="3"/>
      <c r="AB2176" s="3"/>
      <c r="AC2176" s="3" t="str">
        <f>HYPERLINK("https://knigipp.ru/api/getInfo/image/d68bec93-55a2-11f0-a27e-00155d82e908")</f>
        <v>https://knigipp.ru/api/getInfo/image/d68bec93-55a2-11f0-a27e-00155d82e908</v>
      </c>
      <c r="AD2176" s="32">
        <v>48</v>
      </c>
      <c r="AE2176" s="3" t="s">
        <v>54</v>
      </c>
      <c r="AF2176" s="3" t="s">
        <v>127</v>
      </c>
      <c r="AG2176" s="3"/>
      <c r="AH2176" s="3" t="s">
        <v>56</v>
      </c>
      <c r="AI2176" s="3"/>
      <c r="AJ2176" s="3"/>
      <c r="AK2176" s="3" t="str">
        <f>HYPERLINK("https://knigipp.ru/api/getInfo/item/d68bec93-55a2-11f0-a27e-00155d82e908")</f>
        <v>https://knigipp.ru/api/getInfo/item/d68bec93-55a2-11f0-a27e-00155d82e908</v>
      </c>
      <c r="AL2176" s="3" t="s">
        <v>9485</v>
      </c>
    </row>
    <row r="2177" spans="1:38" ht="21" customHeight="1" outlineLevel="4" x14ac:dyDescent="0.2">
      <c r="A2177" s="39">
        <v>1674</v>
      </c>
      <c r="B2177" s="3" t="s">
        <v>9486</v>
      </c>
      <c r="C2177" s="49" t="s">
        <v>9487</v>
      </c>
      <c r="D2177" s="49"/>
      <c r="E2177" s="49"/>
      <c r="F2177" s="49"/>
      <c r="G2177" s="4" t="s">
        <v>9488</v>
      </c>
      <c r="H2177" s="8"/>
      <c r="I2177" s="9" t="s">
        <v>9489</v>
      </c>
      <c r="J2177" s="10"/>
      <c r="K2177" s="11">
        <v>20</v>
      </c>
      <c r="L2177" s="10"/>
      <c r="M2177" s="10" t="s">
        <v>47</v>
      </c>
      <c r="N2177" s="10"/>
      <c r="O2177" s="2">
        <v>1</v>
      </c>
      <c r="P2177" s="17">
        <f>399*(1-S3/100)</f>
        <v>399</v>
      </c>
      <c r="Q2177" s="18"/>
      <c r="R2177" s="10">
        <f t="shared" si="94"/>
        <v>0</v>
      </c>
      <c r="S2177" s="19">
        <f>0.146*Q2177</f>
        <v>0</v>
      </c>
      <c r="T2177" s="20">
        <f>0.00022*Q2177</f>
        <v>0</v>
      </c>
      <c r="U2177" s="21"/>
      <c r="V2177" s="22" t="s">
        <v>9490</v>
      </c>
      <c r="W2177" s="22" t="s">
        <v>49</v>
      </c>
      <c r="X2177" s="3" t="s">
        <v>117</v>
      </c>
      <c r="Y2177" s="3" t="s">
        <v>9491</v>
      </c>
      <c r="Z2177" s="3" t="s">
        <v>52</v>
      </c>
      <c r="AA2177" s="3"/>
      <c r="AB2177" s="3"/>
      <c r="AC2177" s="3" t="str">
        <f>HYPERLINK("https://knigipp.ru/api/getInfo/image/cf510d6b-13e0-11f1-a28f-00155d82e908")</f>
        <v>https://knigipp.ru/api/getInfo/image/cf510d6b-13e0-11f1-a28f-00155d82e908</v>
      </c>
      <c r="AD2177" s="32">
        <v>48</v>
      </c>
      <c r="AE2177" s="3" t="s">
        <v>54</v>
      </c>
      <c r="AF2177" s="3" t="s">
        <v>127</v>
      </c>
      <c r="AG2177" s="3"/>
      <c r="AH2177" s="3" t="s">
        <v>56</v>
      </c>
      <c r="AI2177" s="3"/>
      <c r="AJ2177" s="3"/>
      <c r="AK2177" s="3" t="str">
        <f>HYPERLINK("https://knigipp.ru/api/getInfo/item/cf510d6b-13e0-11f1-a28f-00155d82e908")</f>
        <v>https://knigipp.ru/api/getInfo/item/cf510d6b-13e0-11f1-a28f-00155d82e908</v>
      </c>
      <c r="AL2177" s="3" t="s">
        <v>9492</v>
      </c>
    </row>
    <row r="2178" spans="1:38" ht="21" customHeight="1" outlineLevel="4" x14ac:dyDescent="0.2">
      <c r="A2178" s="40">
        <v>1675</v>
      </c>
      <c r="B2178" s="6" t="s">
        <v>9493</v>
      </c>
      <c r="C2178" s="54" t="s">
        <v>9494</v>
      </c>
      <c r="D2178" s="54"/>
      <c r="E2178" s="54"/>
      <c r="F2178" s="54"/>
      <c r="G2178" s="7" t="s">
        <v>9495</v>
      </c>
      <c r="H2178" s="12"/>
      <c r="I2178" s="13" t="s">
        <v>9496</v>
      </c>
      <c r="J2178" s="14"/>
      <c r="K2178" s="15">
        <v>20</v>
      </c>
      <c r="L2178" s="14"/>
      <c r="M2178" s="14" t="s">
        <v>47</v>
      </c>
      <c r="N2178" s="14"/>
      <c r="O2178" s="5">
        <v>1</v>
      </c>
      <c r="P2178" s="23">
        <f>357*(1-S3/100)</f>
        <v>357</v>
      </c>
      <c r="Q2178" s="18"/>
      <c r="R2178" s="14">
        <f t="shared" si="94"/>
        <v>0</v>
      </c>
      <c r="S2178" s="24">
        <f>0.147*Q2178</f>
        <v>0</v>
      </c>
      <c r="T2178" s="25">
        <f>0.00018*Q2178</f>
        <v>0</v>
      </c>
      <c r="U2178" s="26" t="s">
        <v>62</v>
      </c>
      <c r="V2178" s="27" t="s">
        <v>9497</v>
      </c>
      <c r="W2178" s="27" t="s">
        <v>49</v>
      </c>
      <c r="X2178" s="6" t="s">
        <v>207</v>
      </c>
      <c r="Y2178" s="6" t="s">
        <v>9498</v>
      </c>
      <c r="Z2178" s="6" t="s">
        <v>52</v>
      </c>
      <c r="AA2178" s="6"/>
      <c r="AB2178" s="6"/>
      <c r="AC2178" s="6" t="str">
        <f>HYPERLINK("https://knigipp.ru/api/getInfo/image/f521c707-4495-11f1-a294-00155d82e908")</f>
        <v>https://knigipp.ru/api/getInfo/image/f521c707-4495-11f1-a294-00155d82e908</v>
      </c>
      <c r="AD2178" s="33">
        <v>48</v>
      </c>
      <c r="AE2178" s="6" t="s">
        <v>54</v>
      </c>
      <c r="AF2178" s="6" t="s">
        <v>127</v>
      </c>
      <c r="AG2178" s="6"/>
      <c r="AH2178" s="6" t="s">
        <v>56</v>
      </c>
      <c r="AI2178" s="6"/>
      <c r="AJ2178" s="6"/>
      <c r="AK2178" s="6" t="str">
        <f>HYPERLINK("https://knigipp.ru/api/getInfo/item/f521c707-4495-11f1-a294-00155d82e908")</f>
        <v>https://knigipp.ru/api/getInfo/item/f521c707-4495-11f1-a294-00155d82e908</v>
      </c>
      <c r="AL2178" s="6" t="s">
        <v>9499</v>
      </c>
    </row>
    <row r="2179" spans="1:38" ht="21" customHeight="1" outlineLevel="4" x14ac:dyDescent="0.2">
      <c r="A2179" s="39">
        <v>1676</v>
      </c>
      <c r="B2179" s="3" t="s">
        <v>9500</v>
      </c>
      <c r="C2179" s="49" t="s">
        <v>9501</v>
      </c>
      <c r="D2179" s="49"/>
      <c r="E2179" s="49"/>
      <c r="F2179" s="49"/>
      <c r="G2179" s="4" t="s">
        <v>9502</v>
      </c>
      <c r="H2179" s="8"/>
      <c r="I2179" s="9" t="s">
        <v>9503</v>
      </c>
      <c r="J2179" s="10"/>
      <c r="K2179" s="11">
        <v>10</v>
      </c>
      <c r="L2179" s="10"/>
      <c r="M2179" s="10" t="s">
        <v>47</v>
      </c>
      <c r="N2179" s="10"/>
      <c r="O2179" s="2">
        <v>1</v>
      </c>
      <c r="P2179" s="17">
        <f>360*(1-S3/100)</f>
        <v>360</v>
      </c>
      <c r="Q2179" s="18"/>
      <c r="R2179" s="10">
        <f t="shared" si="94"/>
        <v>0</v>
      </c>
      <c r="S2179" s="19">
        <f>0.233*Q2179</f>
        <v>0</v>
      </c>
      <c r="T2179" s="20">
        <f>0.00041*Q2179</f>
        <v>0</v>
      </c>
      <c r="U2179" s="21"/>
      <c r="V2179" s="22" t="s">
        <v>9504</v>
      </c>
      <c r="W2179" s="22" t="s">
        <v>49</v>
      </c>
      <c r="X2179" s="3" t="s">
        <v>9505</v>
      </c>
      <c r="Y2179" s="3"/>
      <c r="Z2179" s="3" t="s">
        <v>52</v>
      </c>
      <c r="AA2179" s="3"/>
      <c r="AB2179" s="3"/>
      <c r="AC2179" s="3" t="str">
        <f>HYPERLINK("https://knigipp.ru/api/getInfo/image/1b23e1d0-af68-11e8-a209-ac1f6b442184")</f>
        <v>https://knigipp.ru/api/getInfo/image/1b23e1d0-af68-11e8-a209-ac1f6b442184</v>
      </c>
      <c r="AD2179" s="32">
        <v>32</v>
      </c>
      <c r="AE2179" s="3"/>
      <c r="AF2179" s="3" t="s">
        <v>127</v>
      </c>
      <c r="AG2179" s="3"/>
      <c r="AH2179" s="3" t="s">
        <v>56</v>
      </c>
      <c r="AI2179" s="3"/>
      <c r="AJ2179" s="3"/>
      <c r="AK2179" s="3" t="str">
        <f>HYPERLINK("https://knigipp.ru/api/getInfo/item/1b23e1d0-af68-11e8-a209-ac1f6b442184")</f>
        <v>https://knigipp.ru/api/getInfo/item/1b23e1d0-af68-11e8-a209-ac1f6b442184</v>
      </c>
      <c r="AL2179" s="3" t="s">
        <v>9506</v>
      </c>
    </row>
    <row r="2180" spans="1:38" ht="21" customHeight="1" outlineLevel="4" x14ac:dyDescent="0.2">
      <c r="A2180" s="39">
        <v>1677</v>
      </c>
      <c r="B2180" s="3" t="s">
        <v>9507</v>
      </c>
      <c r="C2180" s="49" t="s">
        <v>9508</v>
      </c>
      <c r="D2180" s="49"/>
      <c r="E2180" s="49"/>
      <c r="F2180" s="49"/>
      <c r="G2180" s="4" t="s">
        <v>9509</v>
      </c>
      <c r="H2180" s="8"/>
      <c r="I2180" s="9" t="s">
        <v>9510</v>
      </c>
      <c r="J2180" s="10"/>
      <c r="K2180" s="11">
        <v>10</v>
      </c>
      <c r="L2180" s="10"/>
      <c r="M2180" s="10" t="s">
        <v>47</v>
      </c>
      <c r="N2180" s="10"/>
      <c r="O2180" s="2">
        <v>1</v>
      </c>
      <c r="P2180" s="17">
        <f>399*(1-S3/100)</f>
        <v>399</v>
      </c>
      <c r="Q2180" s="18"/>
      <c r="R2180" s="10">
        <f t="shared" si="94"/>
        <v>0</v>
      </c>
      <c r="S2180" s="28">
        <f>0.23*Q2180</f>
        <v>0</v>
      </c>
      <c r="T2180" s="20">
        <f>0.00031*Q2180</f>
        <v>0</v>
      </c>
      <c r="U2180" s="21"/>
      <c r="V2180" s="22" t="s">
        <v>9511</v>
      </c>
      <c r="W2180" s="22" t="s">
        <v>49</v>
      </c>
      <c r="X2180" s="3" t="s">
        <v>319</v>
      </c>
      <c r="Y2180" s="3"/>
      <c r="Z2180" s="3" t="s">
        <v>52</v>
      </c>
      <c r="AA2180" s="3"/>
      <c r="AB2180" s="3"/>
      <c r="AC2180" s="3" t="str">
        <f>HYPERLINK("https://knigipp.ru/api/getInfo/image/31052672-cd8b-11e9-a234-ac1f6b442184")</f>
        <v>https://knigipp.ru/api/getInfo/image/31052672-cd8b-11e9-a234-ac1f6b442184</v>
      </c>
      <c r="AD2180" s="32">
        <v>32</v>
      </c>
      <c r="AE2180" s="3"/>
      <c r="AF2180" s="3" t="s">
        <v>127</v>
      </c>
      <c r="AG2180" s="3"/>
      <c r="AH2180" s="3" t="s">
        <v>56</v>
      </c>
      <c r="AI2180" s="3"/>
      <c r="AJ2180" s="3"/>
      <c r="AK2180" s="3" t="str">
        <f>HYPERLINK("https://knigipp.ru/api/getInfo/item/31052672-cd8b-11e9-a234-ac1f6b442184")</f>
        <v>https://knigipp.ru/api/getInfo/item/31052672-cd8b-11e9-a234-ac1f6b442184</v>
      </c>
      <c r="AL2180" s="3" t="s">
        <v>9512</v>
      </c>
    </row>
    <row r="2181" spans="1:38" ht="23.1" customHeight="1" outlineLevel="3" x14ac:dyDescent="0.2">
      <c r="A2181" s="48" t="s">
        <v>9513</v>
      </c>
      <c r="B2181" s="48"/>
      <c r="C2181" s="48"/>
      <c r="D2181" s="48"/>
      <c r="E2181" s="48"/>
      <c r="F2181" s="48"/>
    </row>
    <row r="2182" spans="1:38" ht="21" customHeight="1" outlineLevel="4" x14ac:dyDescent="0.2">
      <c r="A2182" s="39">
        <v>1678</v>
      </c>
      <c r="B2182" s="3" t="s">
        <v>9514</v>
      </c>
      <c r="C2182" s="49" t="s">
        <v>9515</v>
      </c>
      <c r="D2182" s="49"/>
      <c r="E2182" s="49"/>
      <c r="F2182" s="49"/>
      <c r="G2182" s="4" t="s">
        <v>9516</v>
      </c>
      <c r="H2182" s="8"/>
      <c r="I2182" s="9" t="s">
        <v>9517</v>
      </c>
      <c r="J2182" s="10"/>
      <c r="K2182" s="11">
        <v>20</v>
      </c>
      <c r="L2182" s="10"/>
      <c r="M2182" s="10" t="s">
        <v>47</v>
      </c>
      <c r="N2182" s="10"/>
      <c r="O2182" s="2">
        <v>2</v>
      </c>
      <c r="P2182" s="17">
        <f>307*(1-S3/100)</f>
        <v>307</v>
      </c>
      <c r="Q2182" s="18"/>
      <c r="R2182" s="10">
        <f>P2182*Q2182</f>
        <v>0</v>
      </c>
      <c r="S2182" s="19">
        <f>0.131*Q2182</f>
        <v>0</v>
      </c>
      <c r="T2182" s="30">
        <f>0.0004*Q2182</f>
        <v>0</v>
      </c>
      <c r="U2182" s="21"/>
      <c r="V2182" s="22" t="s">
        <v>9518</v>
      </c>
      <c r="W2182" s="22" t="s">
        <v>191</v>
      </c>
      <c r="X2182" s="3" t="s">
        <v>9519</v>
      </c>
      <c r="Y2182" s="3" t="s">
        <v>9520</v>
      </c>
      <c r="Z2182" s="3" t="s">
        <v>52</v>
      </c>
      <c r="AA2182" s="3"/>
      <c r="AB2182" s="3"/>
      <c r="AC2182" s="3" t="str">
        <f>HYPERLINK("https://knigipp.ru/api/getInfo/image/cdf13601-4d5b-11ee-a244-00155d82e902")</f>
        <v>https://knigipp.ru/api/getInfo/image/cdf13601-4d5b-11ee-a244-00155d82e902</v>
      </c>
      <c r="AD2182" s="32">
        <v>64</v>
      </c>
      <c r="AE2182" s="3" t="s">
        <v>54</v>
      </c>
      <c r="AF2182" s="3" t="s">
        <v>55</v>
      </c>
      <c r="AG2182" s="3"/>
      <c r="AH2182" s="3" t="s">
        <v>56</v>
      </c>
      <c r="AI2182" s="3"/>
      <c r="AJ2182" s="3"/>
      <c r="AK2182" s="3" t="str">
        <f>HYPERLINK("https://knigipp.ru/api/getInfo/item/cdf13601-4d5b-11ee-a244-00155d82e902")</f>
        <v>https://knigipp.ru/api/getInfo/item/cdf13601-4d5b-11ee-a244-00155d82e902</v>
      </c>
      <c r="AL2182" s="3" t="s">
        <v>9521</v>
      </c>
    </row>
    <row r="2183" spans="1:38" ht="21" customHeight="1" outlineLevel="4" x14ac:dyDescent="0.2">
      <c r="A2183" s="39">
        <v>1679</v>
      </c>
      <c r="B2183" s="3" t="s">
        <v>9522</v>
      </c>
      <c r="C2183" s="49" t="s">
        <v>9523</v>
      </c>
      <c r="D2183" s="49"/>
      <c r="E2183" s="49"/>
      <c r="F2183" s="49"/>
      <c r="G2183" s="4" t="s">
        <v>9524</v>
      </c>
      <c r="H2183" s="8"/>
      <c r="I2183" s="9" t="s">
        <v>9517</v>
      </c>
      <c r="J2183" s="10"/>
      <c r="K2183" s="11">
        <v>10</v>
      </c>
      <c r="L2183" s="10"/>
      <c r="M2183" s="10" t="s">
        <v>47</v>
      </c>
      <c r="N2183" s="10"/>
      <c r="O2183" s="2">
        <v>2</v>
      </c>
      <c r="P2183" s="17">
        <f>597*(1-S3/100)</f>
        <v>597</v>
      </c>
      <c r="Q2183" s="18"/>
      <c r="R2183" s="10">
        <f>P2183*Q2183</f>
        <v>0</v>
      </c>
      <c r="S2183" s="28">
        <f>0.43*Q2183</f>
        <v>0</v>
      </c>
      <c r="T2183" s="20">
        <f>0.00079*Q2183</f>
        <v>0</v>
      </c>
      <c r="U2183" s="21"/>
      <c r="V2183" s="22" t="s">
        <v>9525</v>
      </c>
      <c r="W2183" s="22" t="s">
        <v>191</v>
      </c>
      <c r="X2183" s="3" t="s">
        <v>9519</v>
      </c>
      <c r="Y2183" s="3" t="s">
        <v>9526</v>
      </c>
      <c r="Z2183" s="3" t="s">
        <v>3329</v>
      </c>
      <c r="AA2183" s="3"/>
      <c r="AB2183" s="3"/>
      <c r="AC2183" s="3" t="str">
        <f>HYPERLINK("https://knigipp.ru/api/getInfo/image/4beb46d9-b7fd-11ed-a230-00155d82e902")</f>
        <v>https://knigipp.ru/api/getInfo/image/4beb46d9-b7fd-11ed-a230-00155d82e902</v>
      </c>
      <c r="AD2183" s="32">
        <v>64</v>
      </c>
      <c r="AE2183" s="3" t="s">
        <v>54</v>
      </c>
      <c r="AF2183" s="3" t="s">
        <v>127</v>
      </c>
      <c r="AG2183" s="3"/>
      <c r="AH2183" s="3" t="s">
        <v>56</v>
      </c>
      <c r="AI2183" s="3"/>
      <c r="AJ2183" s="3"/>
      <c r="AK2183" s="3" t="str">
        <f>HYPERLINK("https://knigipp.ru/api/getInfo/item/4beb46d9-b7fd-11ed-a230-00155d82e902")</f>
        <v>https://knigipp.ru/api/getInfo/item/4beb46d9-b7fd-11ed-a230-00155d82e902</v>
      </c>
      <c r="AL2183" s="3" t="s">
        <v>9527</v>
      </c>
    </row>
    <row r="2184" spans="1:38" ht="23.1" customHeight="1" outlineLevel="3" x14ac:dyDescent="0.2">
      <c r="A2184" s="48" t="s">
        <v>9528</v>
      </c>
      <c r="B2184" s="48"/>
      <c r="C2184" s="48"/>
      <c r="D2184" s="48"/>
      <c r="E2184" s="48"/>
      <c r="F2184" s="48"/>
    </row>
    <row r="2185" spans="1:38" ht="21" customHeight="1" outlineLevel="4" x14ac:dyDescent="0.2">
      <c r="A2185" s="39">
        <v>1680</v>
      </c>
      <c r="B2185" s="3" t="s">
        <v>9529</v>
      </c>
      <c r="C2185" s="49" t="s">
        <v>9530</v>
      </c>
      <c r="D2185" s="49"/>
      <c r="E2185" s="49"/>
      <c r="F2185" s="49"/>
      <c r="G2185" s="4" t="s">
        <v>9531</v>
      </c>
      <c r="H2185" s="8"/>
      <c r="I2185" s="9" t="s">
        <v>9532</v>
      </c>
      <c r="J2185" s="10"/>
      <c r="K2185" s="11">
        <v>20</v>
      </c>
      <c r="L2185" s="10"/>
      <c r="M2185" s="10" t="s">
        <v>47</v>
      </c>
      <c r="N2185" s="10"/>
      <c r="O2185" s="2">
        <v>2</v>
      </c>
      <c r="P2185" s="17">
        <f>349*(1-S3/100)</f>
        <v>349</v>
      </c>
      <c r="Q2185" s="18"/>
      <c r="R2185" s="10">
        <f>P2185*Q2185</f>
        <v>0</v>
      </c>
      <c r="S2185" s="19">
        <f>0.183*Q2185</f>
        <v>0</v>
      </c>
      <c r="T2185" s="20">
        <f>0.00039*Q2185</f>
        <v>0</v>
      </c>
      <c r="U2185" s="21"/>
      <c r="V2185" s="22" t="s">
        <v>9533</v>
      </c>
      <c r="W2185" s="22" t="s">
        <v>49</v>
      </c>
      <c r="X2185" s="3" t="s">
        <v>9534</v>
      </c>
      <c r="Y2185" s="3" t="s">
        <v>9535</v>
      </c>
      <c r="Z2185" s="3" t="s">
        <v>52</v>
      </c>
      <c r="AA2185" s="3" t="s">
        <v>9536</v>
      </c>
      <c r="AB2185" s="3"/>
      <c r="AC2185" s="3" t="str">
        <f>HYPERLINK("https://knigipp.ru/api/getInfo/image/acbe421a-2e33-11e6-b4ab-5cf3fc4a2490")</f>
        <v>https://knigipp.ru/api/getInfo/image/acbe421a-2e33-11e6-b4ab-5cf3fc4a2490</v>
      </c>
      <c r="AD2185" s="32">
        <v>48</v>
      </c>
      <c r="AE2185" s="3"/>
      <c r="AF2185" s="3" t="s">
        <v>127</v>
      </c>
      <c r="AG2185" s="3"/>
      <c r="AH2185" s="3" t="s">
        <v>56</v>
      </c>
      <c r="AI2185" s="3"/>
      <c r="AJ2185" s="3" t="s">
        <v>9537</v>
      </c>
      <c r="AK2185" s="3" t="str">
        <f>HYPERLINK("https://knigipp.ru/api/getInfo/item/acbe421a-2e33-11e6-b4ab-5cf3fc4a2490")</f>
        <v>https://knigipp.ru/api/getInfo/item/acbe421a-2e33-11e6-b4ab-5cf3fc4a2490</v>
      </c>
      <c r="AL2185" s="3" t="s">
        <v>9538</v>
      </c>
    </row>
    <row r="2186" spans="1:38" ht="21" customHeight="1" outlineLevel="4" x14ac:dyDescent="0.2">
      <c r="A2186" s="39">
        <v>1681</v>
      </c>
      <c r="B2186" s="3" t="s">
        <v>9539</v>
      </c>
      <c r="C2186" s="49" t="s">
        <v>9540</v>
      </c>
      <c r="D2186" s="49"/>
      <c r="E2186" s="49"/>
      <c r="F2186" s="49"/>
      <c r="G2186" s="4" t="s">
        <v>9541</v>
      </c>
      <c r="H2186" s="8"/>
      <c r="I2186" s="9" t="s">
        <v>9532</v>
      </c>
      <c r="J2186" s="10"/>
      <c r="K2186" s="11">
        <v>12</v>
      </c>
      <c r="L2186" s="10"/>
      <c r="M2186" s="10" t="s">
        <v>47</v>
      </c>
      <c r="N2186" s="10"/>
      <c r="O2186" s="2">
        <v>2</v>
      </c>
      <c r="P2186" s="17">
        <f>309*(1-S3/100)</f>
        <v>309</v>
      </c>
      <c r="Q2186" s="18"/>
      <c r="R2186" s="10">
        <f>P2186*Q2186</f>
        <v>0</v>
      </c>
      <c r="S2186" s="19">
        <f>0.417*Q2186</f>
        <v>0</v>
      </c>
      <c r="T2186" s="20">
        <f>0.00041*Q2186</f>
        <v>0</v>
      </c>
      <c r="U2186" s="21"/>
      <c r="V2186" s="22" t="s">
        <v>9542</v>
      </c>
      <c r="W2186" s="22" t="s">
        <v>49</v>
      </c>
      <c r="X2186" s="3"/>
      <c r="Y2186" s="3"/>
      <c r="Z2186" s="3" t="s">
        <v>52</v>
      </c>
      <c r="AA2186" s="3" t="s">
        <v>3251</v>
      </c>
      <c r="AB2186" s="3"/>
      <c r="AC2186" s="3" t="str">
        <f>HYPERLINK("https://knigipp.ru/api/getInfo/image/cdb4c16e-99af-11e5-b0ae-5cf3fc4a2490")</f>
        <v>https://knigipp.ru/api/getInfo/image/cdb4c16e-99af-11e5-b0ae-5cf3fc4a2490</v>
      </c>
      <c r="AD2186" s="32">
        <v>48</v>
      </c>
      <c r="AE2186" s="3"/>
      <c r="AF2186" s="3" t="s">
        <v>127</v>
      </c>
      <c r="AG2186" s="3"/>
      <c r="AH2186" s="3" t="s">
        <v>56</v>
      </c>
      <c r="AI2186" s="3"/>
      <c r="AJ2186" s="3" t="s">
        <v>9537</v>
      </c>
      <c r="AK2186" s="3" t="str">
        <f>HYPERLINK("https://knigipp.ru/api/getInfo/item/cdb4c16e-99af-11e5-b0ae-5cf3fc4a2490")</f>
        <v>https://knigipp.ru/api/getInfo/item/cdb4c16e-99af-11e5-b0ae-5cf3fc4a2490</v>
      </c>
      <c r="AL2186" s="3" t="s">
        <v>9543</v>
      </c>
    </row>
    <row r="2187" spans="1:38" ht="21" customHeight="1" outlineLevel="4" x14ac:dyDescent="0.2">
      <c r="A2187" s="40">
        <v>1682</v>
      </c>
      <c r="B2187" s="6" t="s">
        <v>9544</v>
      </c>
      <c r="C2187" s="54" t="s">
        <v>9545</v>
      </c>
      <c r="D2187" s="54"/>
      <c r="E2187" s="54"/>
      <c r="F2187" s="54"/>
      <c r="G2187" s="7" t="s">
        <v>9546</v>
      </c>
      <c r="H2187" s="12"/>
      <c r="I2187" s="13" t="s">
        <v>9547</v>
      </c>
      <c r="J2187" s="14"/>
      <c r="K2187" s="15">
        <v>20</v>
      </c>
      <c r="L2187" s="14"/>
      <c r="M2187" s="14" t="s">
        <v>47</v>
      </c>
      <c r="N2187" s="14"/>
      <c r="O2187" s="5">
        <v>2</v>
      </c>
      <c r="P2187" s="23">
        <f>349*(1-S3/100)</f>
        <v>349</v>
      </c>
      <c r="Q2187" s="18"/>
      <c r="R2187" s="14">
        <f>P2187*Q2187</f>
        <v>0</v>
      </c>
      <c r="S2187" s="24">
        <f>0.183*Q2187</f>
        <v>0</v>
      </c>
      <c r="T2187" s="25">
        <f>0.00023*Q2187</f>
        <v>0</v>
      </c>
      <c r="U2187" s="26" t="s">
        <v>62</v>
      </c>
      <c r="V2187" s="27" t="s">
        <v>9548</v>
      </c>
      <c r="W2187" s="27" t="s">
        <v>49</v>
      </c>
      <c r="X2187" s="6" t="s">
        <v>9549</v>
      </c>
      <c r="Y2187" s="6"/>
      <c r="Z2187" s="6" t="s">
        <v>52</v>
      </c>
      <c r="AA2187" s="6"/>
      <c r="AB2187" s="6"/>
      <c r="AC2187" s="6" t="str">
        <f>HYPERLINK("https://knigipp.ru/api/getInfo/image/c23b0cec-8ce3-11f1-a29b-00155d82e908")</f>
        <v>https://knigipp.ru/api/getInfo/image/c23b0cec-8ce3-11f1-a29b-00155d82e908</v>
      </c>
      <c r="AD2187" s="33">
        <v>48</v>
      </c>
      <c r="AE2187" s="6" t="s">
        <v>54</v>
      </c>
      <c r="AF2187" s="6" t="s">
        <v>127</v>
      </c>
      <c r="AG2187" s="6"/>
      <c r="AH2187" s="6" t="s">
        <v>56</v>
      </c>
      <c r="AI2187" s="6"/>
      <c r="AJ2187" s="6"/>
      <c r="AK2187" s="6" t="str">
        <f>HYPERLINK("https://knigipp.ru/api/getInfo/item/c23b0cec-8ce3-11f1-a29b-00155d82e908")</f>
        <v>https://knigipp.ru/api/getInfo/item/c23b0cec-8ce3-11f1-a29b-00155d82e908</v>
      </c>
      <c r="AL2187" s="6" t="s">
        <v>9550</v>
      </c>
    </row>
    <row r="2188" spans="1:38" ht="21" customHeight="1" outlineLevel="4" x14ac:dyDescent="0.2">
      <c r="A2188" s="39">
        <v>1683</v>
      </c>
      <c r="B2188" s="3" t="s">
        <v>9551</v>
      </c>
      <c r="C2188" s="49" t="s">
        <v>9552</v>
      </c>
      <c r="D2188" s="49"/>
      <c r="E2188" s="49"/>
      <c r="F2188" s="49"/>
      <c r="G2188" s="4" t="s">
        <v>9553</v>
      </c>
      <c r="H2188" s="8"/>
      <c r="I2188" s="9" t="s">
        <v>9554</v>
      </c>
      <c r="J2188" s="10"/>
      <c r="K2188" s="11">
        <v>20</v>
      </c>
      <c r="L2188" s="10"/>
      <c r="M2188" s="10" t="s">
        <v>78</v>
      </c>
      <c r="N2188" s="10"/>
      <c r="O2188" s="2">
        <v>2</v>
      </c>
      <c r="P2188" s="17">
        <f>257*(1-S3/100)</f>
        <v>257</v>
      </c>
      <c r="Q2188" s="18"/>
      <c r="R2188" s="10">
        <f>P2188*Q2188</f>
        <v>0</v>
      </c>
      <c r="S2188" s="19">
        <f>0.167*Q2188</f>
        <v>0</v>
      </c>
      <c r="T2188" s="20">
        <f>0.00073*Q2188</f>
        <v>0</v>
      </c>
      <c r="U2188" s="21"/>
      <c r="V2188" s="22" t="s">
        <v>9555</v>
      </c>
      <c r="W2188" s="22" t="s">
        <v>49</v>
      </c>
      <c r="X2188" s="3"/>
      <c r="Y2188" s="3" t="s">
        <v>9556</v>
      </c>
      <c r="Z2188" s="3" t="s">
        <v>52</v>
      </c>
      <c r="AA2188" s="3"/>
      <c r="AB2188" s="3"/>
      <c r="AC2188" s="3" t="str">
        <f>HYPERLINK("https://knigipp.ru/api/getInfo/image/e70e25ed-400c-11e9-a221-ac1f6b442184")</f>
        <v>https://knigipp.ru/api/getInfo/image/e70e25ed-400c-11e9-a221-ac1f6b442184</v>
      </c>
      <c r="AD2188" s="32">
        <v>48</v>
      </c>
      <c r="AE2188" s="3"/>
      <c r="AF2188" s="3" t="s">
        <v>55</v>
      </c>
      <c r="AG2188" s="3"/>
      <c r="AH2188" s="3" t="s">
        <v>56</v>
      </c>
      <c r="AI2188" s="3"/>
      <c r="AJ2188" s="3"/>
      <c r="AK2188" s="3" t="str">
        <f>HYPERLINK("https://knigipp.ru/api/getInfo/item/e70e25ed-400c-11e9-a221-ac1f6b442184")</f>
        <v>https://knigipp.ru/api/getInfo/item/e70e25ed-400c-11e9-a221-ac1f6b442184</v>
      </c>
      <c r="AL2188" s="3" t="s">
        <v>9557</v>
      </c>
    </row>
    <row r="2189" spans="1:38" ht="21" customHeight="1" outlineLevel="4" x14ac:dyDescent="0.2">
      <c r="A2189" s="39">
        <v>1684</v>
      </c>
      <c r="B2189" s="3" t="s">
        <v>9558</v>
      </c>
      <c r="C2189" s="49" t="s">
        <v>9559</v>
      </c>
      <c r="D2189" s="49"/>
      <c r="E2189" s="49"/>
      <c r="F2189" s="49"/>
      <c r="G2189" s="4" t="s">
        <v>9560</v>
      </c>
      <c r="H2189" s="8"/>
      <c r="I2189" s="9" t="s">
        <v>9561</v>
      </c>
      <c r="J2189" s="10"/>
      <c r="K2189" s="11">
        <v>20</v>
      </c>
      <c r="L2189" s="10"/>
      <c r="M2189" s="10" t="s">
        <v>47</v>
      </c>
      <c r="N2189" s="10"/>
      <c r="O2189" s="2">
        <v>2</v>
      </c>
      <c r="P2189" s="17">
        <f>349*(1-S3/100)</f>
        <v>349</v>
      </c>
      <c r="Q2189" s="18"/>
      <c r="R2189" s="10">
        <f>P2189*Q2189</f>
        <v>0</v>
      </c>
      <c r="S2189" s="19">
        <f>0.191*Q2189</f>
        <v>0</v>
      </c>
      <c r="T2189" s="20">
        <f>0.00024*Q2189</f>
        <v>0</v>
      </c>
      <c r="U2189" s="21"/>
      <c r="V2189" s="22" t="s">
        <v>9562</v>
      </c>
      <c r="W2189" s="22" t="s">
        <v>49</v>
      </c>
      <c r="X2189" s="3"/>
      <c r="Y2189" s="3" t="s">
        <v>9563</v>
      </c>
      <c r="Z2189" s="3" t="s">
        <v>52</v>
      </c>
      <c r="AA2189" s="3"/>
      <c r="AB2189" s="3"/>
      <c r="AC2189" s="3" t="str">
        <f>HYPERLINK("https://knigipp.ru/api/getInfo/image/8e8856ee-13dc-11f1-a28f-00155d82e908")</f>
        <v>https://knigipp.ru/api/getInfo/image/8e8856ee-13dc-11f1-a28f-00155d82e908</v>
      </c>
      <c r="AD2189" s="32">
        <v>48</v>
      </c>
      <c r="AE2189" s="3"/>
      <c r="AF2189" s="3" t="s">
        <v>127</v>
      </c>
      <c r="AG2189" s="3"/>
      <c r="AH2189" s="3" t="s">
        <v>56</v>
      </c>
      <c r="AI2189" s="3"/>
      <c r="AJ2189" s="3"/>
      <c r="AK2189" s="3" t="str">
        <f>HYPERLINK("https://knigipp.ru/api/getInfo/item/8e8856ee-13dc-11f1-a28f-00155d82e908")</f>
        <v>https://knigipp.ru/api/getInfo/item/8e8856ee-13dc-11f1-a28f-00155d82e908</v>
      </c>
      <c r="AL2189" s="3" t="s">
        <v>9543</v>
      </c>
    </row>
    <row r="2190" spans="1:38" ht="23.1" customHeight="1" outlineLevel="3" x14ac:dyDescent="0.2">
      <c r="A2190" s="48" t="s">
        <v>9564</v>
      </c>
      <c r="B2190" s="48"/>
      <c r="C2190" s="48"/>
      <c r="D2190" s="48"/>
      <c r="E2190" s="48"/>
      <c r="F2190" s="48"/>
    </row>
    <row r="2191" spans="1:38" ht="21" customHeight="1" outlineLevel="4" x14ac:dyDescent="0.2">
      <c r="A2191" s="39">
        <v>1685</v>
      </c>
      <c r="B2191" s="3" t="s">
        <v>9565</v>
      </c>
      <c r="C2191" s="49" t="s">
        <v>9566</v>
      </c>
      <c r="D2191" s="49"/>
      <c r="E2191" s="49"/>
      <c r="F2191" s="49"/>
      <c r="G2191" s="4" t="s">
        <v>9567</v>
      </c>
      <c r="H2191" s="8"/>
      <c r="I2191" s="9" t="s">
        <v>9568</v>
      </c>
      <c r="J2191" s="10"/>
      <c r="K2191" s="11">
        <v>8</v>
      </c>
      <c r="L2191" s="10"/>
      <c r="M2191" s="10" t="s">
        <v>47</v>
      </c>
      <c r="N2191" s="10"/>
      <c r="O2191" s="2">
        <v>1</v>
      </c>
      <c r="P2191" s="17">
        <f>597*(1-S3/100)</f>
        <v>597</v>
      </c>
      <c r="Q2191" s="18"/>
      <c r="R2191" s="10">
        <f>P2191*Q2191</f>
        <v>0</v>
      </c>
      <c r="S2191" s="19">
        <f>0.459*Q2191</f>
        <v>0</v>
      </c>
      <c r="T2191" s="20">
        <f>0.00093*Q2191</f>
        <v>0</v>
      </c>
      <c r="U2191" s="21"/>
      <c r="V2191" s="22" t="s">
        <v>9569</v>
      </c>
      <c r="W2191" s="22" t="s">
        <v>49</v>
      </c>
      <c r="X2191" s="3" t="s">
        <v>9570</v>
      </c>
      <c r="Y2191" s="3" t="s">
        <v>9571</v>
      </c>
      <c r="Z2191" s="3" t="s">
        <v>52</v>
      </c>
      <c r="AA2191" s="3"/>
      <c r="AB2191" s="3"/>
      <c r="AC2191" s="3" t="str">
        <f>HYPERLINK("https://knigipp.ru/api/getInfo/image/6933af36-b9cc-11e9-a22e-ac1f6b442184")</f>
        <v>https://knigipp.ru/api/getInfo/image/6933af36-b9cc-11e9-a22e-ac1f6b442184</v>
      </c>
      <c r="AD2191" s="32">
        <v>128</v>
      </c>
      <c r="AE2191" s="3"/>
      <c r="AF2191" s="3" t="s">
        <v>127</v>
      </c>
      <c r="AG2191" s="3"/>
      <c r="AH2191" s="3" t="s">
        <v>56</v>
      </c>
      <c r="AI2191" s="3"/>
      <c r="AJ2191" s="3"/>
      <c r="AK2191" s="3" t="str">
        <f>HYPERLINK("https://knigipp.ru/api/getInfo/item/6933af36-b9cc-11e9-a22e-ac1f6b442184")</f>
        <v>https://knigipp.ru/api/getInfo/item/6933af36-b9cc-11e9-a22e-ac1f6b442184</v>
      </c>
      <c r="AL2191" s="3" t="s">
        <v>9572</v>
      </c>
    </row>
    <row r="2192" spans="1:38" ht="21" customHeight="1" outlineLevel="4" x14ac:dyDescent="0.2">
      <c r="A2192" s="39">
        <v>1686</v>
      </c>
      <c r="B2192" s="3" t="s">
        <v>9573</v>
      </c>
      <c r="C2192" s="49" t="s">
        <v>9574</v>
      </c>
      <c r="D2192" s="49"/>
      <c r="E2192" s="49"/>
      <c r="F2192" s="49"/>
      <c r="G2192" s="4" t="s">
        <v>9575</v>
      </c>
      <c r="H2192" s="8"/>
      <c r="I2192" s="9" t="s">
        <v>9576</v>
      </c>
      <c r="J2192" s="10"/>
      <c r="K2192" s="11">
        <v>8</v>
      </c>
      <c r="L2192" s="10"/>
      <c r="M2192" s="10" t="s">
        <v>47</v>
      </c>
      <c r="N2192" s="10"/>
      <c r="O2192" s="2">
        <v>1</v>
      </c>
      <c r="P2192" s="17">
        <f>597*(1-S3/100)</f>
        <v>597</v>
      </c>
      <c r="Q2192" s="18"/>
      <c r="R2192" s="10">
        <f>P2192*Q2192</f>
        <v>0</v>
      </c>
      <c r="S2192" s="19">
        <f>0.371*Q2192</f>
        <v>0</v>
      </c>
      <c r="T2192" s="20">
        <f>0.00074*Q2192</f>
        <v>0</v>
      </c>
      <c r="U2192" s="21"/>
      <c r="V2192" s="22" t="s">
        <v>9577</v>
      </c>
      <c r="W2192" s="22" t="s">
        <v>49</v>
      </c>
      <c r="X2192" s="3" t="s">
        <v>9578</v>
      </c>
      <c r="Y2192" s="3" t="s">
        <v>9579</v>
      </c>
      <c r="Z2192" s="3" t="s">
        <v>52</v>
      </c>
      <c r="AA2192" s="3"/>
      <c r="AB2192" s="3"/>
      <c r="AC2192" s="3" t="str">
        <f>HYPERLINK("https://knigipp.ru/api/getInfo/image/4dff4ddb-bf1b-11ed-a230-00155d82e902")</f>
        <v>https://knigipp.ru/api/getInfo/image/4dff4ddb-bf1b-11ed-a230-00155d82e902</v>
      </c>
      <c r="AD2192" s="32">
        <v>96</v>
      </c>
      <c r="AE2192" s="3" t="s">
        <v>481</v>
      </c>
      <c r="AF2192" s="3" t="s">
        <v>127</v>
      </c>
      <c r="AG2192" s="3"/>
      <c r="AH2192" s="3" t="s">
        <v>56</v>
      </c>
      <c r="AI2192" s="3"/>
      <c r="AJ2192" s="3"/>
      <c r="AK2192" s="3" t="str">
        <f>HYPERLINK("https://knigipp.ru/api/getInfo/item/4dff4ddb-bf1b-11ed-a230-00155d82e902")</f>
        <v>https://knigipp.ru/api/getInfo/item/4dff4ddb-bf1b-11ed-a230-00155d82e902</v>
      </c>
      <c r="AL2192" s="3" t="s">
        <v>1239</v>
      </c>
    </row>
    <row r="2193" spans="1:38" ht="21" customHeight="1" outlineLevel="4" x14ac:dyDescent="0.2">
      <c r="A2193" s="39">
        <v>1687</v>
      </c>
      <c r="B2193" s="3" t="s">
        <v>9580</v>
      </c>
      <c r="C2193" s="49" t="s">
        <v>9581</v>
      </c>
      <c r="D2193" s="49"/>
      <c r="E2193" s="49"/>
      <c r="F2193" s="49"/>
      <c r="G2193" s="4" t="s">
        <v>9582</v>
      </c>
      <c r="H2193" s="8"/>
      <c r="I2193" s="9" t="s">
        <v>9583</v>
      </c>
      <c r="J2193" s="10"/>
      <c r="K2193" s="11">
        <v>8</v>
      </c>
      <c r="L2193" s="10"/>
      <c r="M2193" s="10" t="s">
        <v>47</v>
      </c>
      <c r="N2193" s="10"/>
      <c r="O2193" s="2">
        <v>1</v>
      </c>
      <c r="P2193" s="17">
        <f>597*(1-S3/100)</f>
        <v>597</v>
      </c>
      <c r="Q2193" s="18"/>
      <c r="R2193" s="10">
        <f>P2193*Q2193</f>
        <v>0</v>
      </c>
      <c r="S2193" s="19">
        <f>0.461*Q2193</f>
        <v>0</v>
      </c>
      <c r="T2193" s="20">
        <f>0.00086*Q2193</f>
        <v>0</v>
      </c>
      <c r="U2193" s="21"/>
      <c r="V2193" s="22" t="s">
        <v>9584</v>
      </c>
      <c r="W2193" s="22" t="s">
        <v>49</v>
      </c>
      <c r="X2193" s="3" t="s">
        <v>9578</v>
      </c>
      <c r="Y2193" s="3" t="s">
        <v>9585</v>
      </c>
      <c r="Z2193" s="3" t="s">
        <v>52</v>
      </c>
      <c r="AA2193" s="3"/>
      <c r="AB2193" s="3"/>
      <c r="AC2193" s="3" t="str">
        <f>HYPERLINK("https://knigipp.ru/api/getInfo/image/af24bf11-bf1b-11ed-a230-00155d82e902")</f>
        <v>https://knigipp.ru/api/getInfo/image/af24bf11-bf1b-11ed-a230-00155d82e902</v>
      </c>
      <c r="AD2193" s="32">
        <v>96</v>
      </c>
      <c r="AE2193" s="3" t="s">
        <v>481</v>
      </c>
      <c r="AF2193" s="3" t="s">
        <v>127</v>
      </c>
      <c r="AG2193" s="3"/>
      <c r="AH2193" s="3" t="s">
        <v>56</v>
      </c>
      <c r="AI2193" s="3"/>
      <c r="AJ2193" s="3"/>
      <c r="AK2193" s="3" t="str">
        <f>HYPERLINK("https://knigipp.ru/api/getInfo/item/af24bf11-bf1b-11ed-a230-00155d82e902")</f>
        <v>https://knigipp.ru/api/getInfo/item/af24bf11-bf1b-11ed-a230-00155d82e902</v>
      </c>
      <c r="AL2193" s="3" t="s">
        <v>1239</v>
      </c>
    </row>
    <row r="2194" spans="1:38" ht="21" customHeight="1" outlineLevel="4" x14ac:dyDescent="0.2">
      <c r="A2194" s="39">
        <v>1688</v>
      </c>
      <c r="B2194" s="3" t="s">
        <v>9586</v>
      </c>
      <c r="C2194" s="49" t="s">
        <v>9587</v>
      </c>
      <c r="D2194" s="49"/>
      <c r="E2194" s="49"/>
      <c r="F2194" s="49"/>
      <c r="G2194" s="4" t="s">
        <v>9588</v>
      </c>
      <c r="H2194" s="8"/>
      <c r="I2194" s="9" t="s">
        <v>9589</v>
      </c>
      <c r="J2194" s="10"/>
      <c r="K2194" s="11">
        <v>8</v>
      </c>
      <c r="L2194" s="10"/>
      <c r="M2194" s="10" t="s">
        <v>47</v>
      </c>
      <c r="N2194" s="10"/>
      <c r="O2194" s="2">
        <v>1</v>
      </c>
      <c r="P2194" s="17">
        <f>597*(1-S3/100)</f>
        <v>597</v>
      </c>
      <c r="Q2194" s="18"/>
      <c r="R2194" s="10">
        <f>P2194*Q2194</f>
        <v>0</v>
      </c>
      <c r="S2194" s="19">
        <f>0.371*Q2194</f>
        <v>0</v>
      </c>
      <c r="T2194" s="20">
        <f>0.00074*Q2194</f>
        <v>0</v>
      </c>
      <c r="U2194" s="21"/>
      <c r="V2194" s="22" t="s">
        <v>9590</v>
      </c>
      <c r="W2194" s="22" t="s">
        <v>49</v>
      </c>
      <c r="X2194" s="3" t="s">
        <v>9591</v>
      </c>
      <c r="Y2194" s="3" t="s">
        <v>9592</v>
      </c>
      <c r="Z2194" s="3" t="s">
        <v>52</v>
      </c>
      <c r="AA2194" s="3"/>
      <c r="AB2194" s="3"/>
      <c r="AC2194" s="3" t="str">
        <f>HYPERLINK("https://knigipp.ru/api/getInfo/image/01aec38c-bf1d-11ed-a230-00155d82e902")</f>
        <v>https://knigipp.ru/api/getInfo/image/01aec38c-bf1d-11ed-a230-00155d82e902</v>
      </c>
      <c r="AD2194" s="32">
        <v>96</v>
      </c>
      <c r="AE2194" s="3" t="s">
        <v>481</v>
      </c>
      <c r="AF2194" s="3" t="s">
        <v>127</v>
      </c>
      <c r="AG2194" s="3"/>
      <c r="AH2194" s="3" t="s">
        <v>56</v>
      </c>
      <c r="AI2194" s="3"/>
      <c r="AJ2194" s="3"/>
      <c r="AK2194" s="3" t="str">
        <f>HYPERLINK("https://knigipp.ru/api/getInfo/item/01aec38c-bf1d-11ed-a230-00155d82e902")</f>
        <v>https://knigipp.ru/api/getInfo/item/01aec38c-bf1d-11ed-a230-00155d82e902</v>
      </c>
      <c r="AL2194" s="3" t="s">
        <v>1239</v>
      </c>
    </row>
    <row r="2195" spans="1:38" ht="23.1" customHeight="1" outlineLevel="3" x14ac:dyDescent="0.2">
      <c r="A2195" s="48" t="s">
        <v>9593</v>
      </c>
      <c r="B2195" s="48"/>
      <c r="C2195" s="48"/>
      <c r="D2195" s="48"/>
      <c r="E2195" s="48"/>
      <c r="F2195" s="48"/>
    </row>
    <row r="2196" spans="1:38" ht="21" customHeight="1" outlineLevel="4" x14ac:dyDescent="0.2">
      <c r="A2196" s="39">
        <v>1689</v>
      </c>
      <c r="B2196" s="3" t="s">
        <v>9594</v>
      </c>
      <c r="C2196" s="49" t="s">
        <v>9595</v>
      </c>
      <c r="D2196" s="49"/>
      <c r="E2196" s="49"/>
      <c r="F2196" s="49"/>
      <c r="G2196" s="4" t="s">
        <v>9596</v>
      </c>
      <c r="H2196" s="8"/>
      <c r="I2196" s="9" t="s">
        <v>9597</v>
      </c>
      <c r="J2196" s="10"/>
      <c r="K2196" s="11">
        <v>10</v>
      </c>
      <c r="L2196" s="10"/>
      <c r="M2196" s="10" t="s">
        <v>304</v>
      </c>
      <c r="N2196" s="10"/>
      <c r="O2196" s="2">
        <v>1</v>
      </c>
      <c r="P2196" s="17">
        <f>655*(1-S3/100)</f>
        <v>655</v>
      </c>
      <c r="Q2196" s="18"/>
      <c r="R2196" s="10">
        <f>P2196*Q2196</f>
        <v>0</v>
      </c>
      <c r="S2196" s="19">
        <f>0.586*Q2196</f>
        <v>0</v>
      </c>
      <c r="T2196" s="20">
        <f>0.00093*Q2196</f>
        <v>0</v>
      </c>
      <c r="U2196" s="21"/>
      <c r="V2196" s="22" t="s">
        <v>9598</v>
      </c>
      <c r="W2196" s="22" t="s">
        <v>49</v>
      </c>
      <c r="X2196" s="3" t="s">
        <v>9599</v>
      </c>
      <c r="Y2196" s="3" t="s">
        <v>9600</v>
      </c>
      <c r="Z2196" s="3" t="s">
        <v>52</v>
      </c>
      <c r="AA2196" s="3"/>
      <c r="AB2196" s="3"/>
      <c r="AC2196" s="3" t="str">
        <f>HYPERLINK("https://knigipp.ru/api/getInfo/image/6c17bc28-22af-11ec-a20f-ac1f6b442185")</f>
        <v>https://knigipp.ru/api/getInfo/image/6c17bc28-22af-11ec-a20f-ac1f6b442185</v>
      </c>
      <c r="AD2196" s="32">
        <v>144</v>
      </c>
      <c r="AE2196" s="3"/>
      <c r="AF2196" s="3" t="s">
        <v>127</v>
      </c>
      <c r="AG2196" s="3"/>
      <c r="AH2196" s="3" t="s">
        <v>56</v>
      </c>
      <c r="AI2196" s="3"/>
      <c r="AJ2196" s="3"/>
      <c r="AK2196" s="3" t="str">
        <f>HYPERLINK("https://knigipp.ru/api/getInfo/item/6c17bc28-22af-11ec-a20f-ac1f6b442185")</f>
        <v>https://knigipp.ru/api/getInfo/item/6c17bc28-22af-11ec-a20f-ac1f6b442185</v>
      </c>
      <c r="AL2196" s="3" t="s">
        <v>9601</v>
      </c>
    </row>
    <row r="2197" spans="1:38" ht="21" customHeight="1" outlineLevel="4" x14ac:dyDescent="0.2">
      <c r="A2197" s="39">
        <v>1690</v>
      </c>
      <c r="B2197" s="3" t="s">
        <v>9602</v>
      </c>
      <c r="C2197" s="49" t="s">
        <v>9603</v>
      </c>
      <c r="D2197" s="49"/>
      <c r="E2197" s="49"/>
      <c r="F2197" s="49"/>
      <c r="G2197" s="4" t="s">
        <v>9604</v>
      </c>
      <c r="H2197" s="8"/>
      <c r="I2197" s="9" t="s">
        <v>9605</v>
      </c>
      <c r="J2197" s="10"/>
      <c r="K2197" s="11">
        <v>20</v>
      </c>
      <c r="L2197" s="10"/>
      <c r="M2197" s="10" t="s">
        <v>47</v>
      </c>
      <c r="N2197" s="10"/>
      <c r="O2197" s="2">
        <v>1</v>
      </c>
      <c r="P2197" s="17">
        <f>617*(1-S3/100)</f>
        <v>617</v>
      </c>
      <c r="Q2197" s="18"/>
      <c r="R2197" s="10">
        <f>P2197*Q2197</f>
        <v>0</v>
      </c>
      <c r="S2197" s="28">
        <f>0.28*Q2197</f>
        <v>0</v>
      </c>
      <c r="T2197" s="20">
        <f>0.00048*Q2197</f>
        <v>0</v>
      </c>
      <c r="U2197" s="21"/>
      <c r="V2197" s="22" t="s">
        <v>9606</v>
      </c>
      <c r="W2197" s="22" t="s">
        <v>49</v>
      </c>
      <c r="X2197" s="3"/>
      <c r="Y2197" s="3" t="s">
        <v>9607</v>
      </c>
      <c r="Z2197" s="3" t="s">
        <v>52</v>
      </c>
      <c r="AA2197" s="3"/>
      <c r="AB2197" s="3"/>
      <c r="AC2197" s="3" t="str">
        <f>HYPERLINK("https://knigipp.ru/api/getInfo/image/4651f403-9959-11ec-a211-ac1f6b442185")</f>
        <v>https://knigipp.ru/api/getInfo/image/4651f403-9959-11ec-a211-ac1f6b442185</v>
      </c>
      <c r="AD2197" s="32">
        <v>96</v>
      </c>
      <c r="AE2197" s="3" t="s">
        <v>54</v>
      </c>
      <c r="AF2197" s="3" t="s">
        <v>55</v>
      </c>
      <c r="AG2197" s="3"/>
      <c r="AH2197" s="3" t="s">
        <v>56</v>
      </c>
      <c r="AI2197" s="3"/>
      <c r="AJ2197" s="3"/>
      <c r="AK2197" s="3" t="str">
        <f>HYPERLINK("https://knigipp.ru/api/getInfo/item/4651f403-9959-11ec-a211-ac1f6b442185")</f>
        <v>https://knigipp.ru/api/getInfo/item/4651f403-9959-11ec-a211-ac1f6b442185</v>
      </c>
      <c r="AL2197" s="3" t="s">
        <v>9608</v>
      </c>
    </row>
    <row r="2198" spans="1:38" ht="23.1" customHeight="1" outlineLevel="2" x14ac:dyDescent="0.2">
      <c r="A2198" s="47" t="s">
        <v>9609</v>
      </c>
      <c r="B2198" s="47"/>
      <c r="C2198" s="47"/>
      <c r="D2198" s="47"/>
      <c r="E2198" s="47"/>
      <c r="F2198" s="47"/>
    </row>
    <row r="2199" spans="1:38" ht="23.1" customHeight="1" outlineLevel="3" x14ac:dyDescent="0.2">
      <c r="A2199" s="48" t="s">
        <v>9610</v>
      </c>
      <c r="B2199" s="48"/>
      <c r="C2199" s="48"/>
      <c r="D2199" s="48"/>
      <c r="E2199" s="48"/>
      <c r="F2199" s="48"/>
    </row>
    <row r="2200" spans="1:38" ht="21" customHeight="1" outlineLevel="4" x14ac:dyDescent="0.2">
      <c r="A2200" s="39">
        <v>1691</v>
      </c>
      <c r="B2200" s="3" t="s">
        <v>9611</v>
      </c>
      <c r="C2200" s="49" t="s">
        <v>9612</v>
      </c>
      <c r="D2200" s="49"/>
      <c r="E2200" s="49"/>
      <c r="F2200" s="49"/>
      <c r="G2200" s="4" t="s">
        <v>9613</v>
      </c>
      <c r="H2200" s="8"/>
      <c r="I2200" s="9" t="s">
        <v>9614</v>
      </c>
      <c r="J2200" s="10"/>
      <c r="K2200" s="11">
        <v>10</v>
      </c>
      <c r="L2200" s="10"/>
      <c r="M2200" s="10" t="s">
        <v>78</v>
      </c>
      <c r="N2200" s="10"/>
      <c r="O2200" s="2">
        <v>1</v>
      </c>
      <c r="P2200" s="17">
        <f>447*(1-S3/100)</f>
        <v>447</v>
      </c>
      <c r="Q2200" s="18"/>
      <c r="R2200" s="10">
        <f>P2200*Q2200</f>
        <v>0</v>
      </c>
      <c r="S2200" s="19">
        <f>0.213*Q2200</f>
        <v>0</v>
      </c>
      <c r="T2200" s="20">
        <f>0.00067*Q2200</f>
        <v>0</v>
      </c>
      <c r="U2200" s="21"/>
      <c r="V2200" s="22" t="s">
        <v>9615</v>
      </c>
      <c r="W2200" s="22" t="s">
        <v>49</v>
      </c>
      <c r="X2200" s="3" t="s">
        <v>9141</v>
      </c>
      <c r="Y2200" s="3" t="s">
        <v>9616</v>
      </c>
      <c r="Z2200" s="3" t="s">
        <v>384</v>
      </c>
      <c r="AA2200" s="3"/>
      <c r="AB2200" s="3"/>
      <c r="AC2200" s="3" t="str">
        <f>HYPERLINK("https://knigipp.ru/api/getInfo/image/b502cefe-8fd6-11f0-a284-00155d82e908")</f>
        <v>https://knigipp.ru/api/getInfo/image/b502cefe-8fd6-11f0-a284-00155d82e908</v>
      </c>
      <c r="AD2200" s="32">
        <v>272</v>
      </c>
      <c r="AE2200" s="3" t="s">
        <v>9112</v>
      </c>
      <c r="AF2200" s="3" t="s">
        <v>55</v>
      </c>
      <c r="AG2200" s="3"/>
      <c r="AH2200" s="3" t="s">
        <v>56</v>
      </c>
      <c r="AI2200" s="3"/>
      <c r="AJ2200" s="3"/>
      <c r="AK2200" s="3" t="str">
        <f>HYPERLINK("https://knigipp.ru/api/getInfo/item/b502cefe-8fd6-11f0-a284-00155d82e908")</f>
        <v>https://knigipp.ru/api/getInfo/item/b502cefe-8fd6-11f0-a284-00155d82e908</v>
      </c>
      <c r="AL2200" s="3" t="s">
        <v>9617</v>
      </c>
    </row>
    <row r="2201" spans="1:38" ht="21" customHeight="1" outlineLevel="4" x14ac:dyDescent="0.2">
      <c r="A2201" s="40">
        <v>1692</v>
      </c>
      <c r="B2201" s="6" t="s">
        <v>9618</v>
      </c>
      <c r="C2201" s="54" t="s">
        <v>9619</v>
      </c>
      <c r="D2201" s="54"/>
      <c r="E2201" s="54"/>
      <c r="F2201" s="54"/>
      <c r="G2201" s="7" t="s">
        <v>9620</v>
      </c>
      <c r="H2201" s="12"/>
      <c r="I2201" s="13" t="s">
        <v>9621</v>
      </c>
      <c r="J2201" s="14"/>
      <c r="K2201" s="15">
        <v>10</v>
      </c>
      <c r="L2201" s="14"/>
      <c r="M2201" s="14" t="s">
        <v>47</v>
      </c>
      <c r="N2201" s="14"/>
      <c r="O2201" s="5">
        <v>1</v>
      </c>
      <c r="P2201" s="23">
        <f>347*(1-S3/100)</f>
        <v>347</v>
      </c>
      <c r="Q2201" s="18"/>
      <c r="R2201" s="14">
        <f>P2201*Q2201</f>
        <v>0</v>
      </c>
      <c r="S2201" s="24">
        <f>0.191*Q2201</f>
        <v>0</v>
      </c>
      <c r="T2201" s="25">
        <f>0.00045*Q2201</f>
        <v>0</v>
      </c>
      <c r="U2201" s="26" t="s">
        <v>62</v>
      </c>
      <c r="V2201" s="27" t="s">
        <v>9622</v>
      </c>
      <c r="W2201" s="27" t="s">
        <v>49</v>
      </c>
      <c r="X2201" s="6" t="s">
        <v>8751</v>
      </c>
      <c r="Y2201" s="6"/>
      <c r="Z2201" s="6" t="s">
        <v>3329</v>
      </c>
      <c r="AA2201" s="6"/>
      <c r="AB2201" s="6"/>
      <c r="AC2201" s="6" t="str">
        <f>HYPERLINK("https://knigipp.ru/api/getInfo/image/c4ed10ca-420f-11f1-a294-00155d82e908")</f>
        <v>https://knigipp.ru/api/getInfo/image/c4ed10ca-420f-11f1-a294-00155d82e908</v>
      </c>
      <c r="AD2201" s="33">
        <v>224</v>
      </c>
      <c r="AE2201" s="6" t="s">
        <v>2372</v>
      </c>
      <c r="AF2201" s="6" t="s">
        <v>55</v>
      </c>
      <c r="AG2201" s="6"/>
      <c r="AH2201" s="6" t="s">
        <v>56</v>
      </c>
      <c r="AI2201" s="6"/>
      <c r="AJ2201" s="6"/>
      <c r="AK2201" s="6" t="str">
        <f>HYPERLINK("https://knigipp.ru/api/getInfo/item/c4ed10ca-420f-11f1-a294-00155d82e908")</f>
        <v>https://knigipp.ru/api/getInfo/item/c4ed10ca-420f-11f1-a294-00155d82e908</v>
      </c>
      <c r="AL2201" s="6" t="s">
        <v>9623</v>
      </c>
    </row>
    <row r="2202" spans="1:38" ht="23.1" customHeight="1" outlineLevel="3" x14ac:dyDescent="0.2">
      <c r="A2202" s="48" t="s">
        <v>9624</v>
      </c>
      <c r="B2202" s="48"/>
      <c r="C2202" s="48"/>
      <c r="D2202" s="48"/>
      <c r="E2202" s="48"/>
      <c r="F2202" s="48"/>
    </row>
    <row r="2203" spans="1:38" ht="21" customHeight="1" outlineLevel="4" x14ac:dyDescent="0.2">
      <c r="A2203" s="40">
        <v>1693</v>
      </c>
      <c r="B2203" s="6" t="s">
        <v>9625</v>
      </c>
      <c r="C2203" s="54" t="s">
        <v>9626</v>
      </c>
      <c r="D2203" s="54"/>
      <c r="E2203" s="54"/>
      <c r="F2203" s="54"/>
      <c r="G2203" s="7" t="s">
        <v>9627</v>
      </c>
      <c r="H2203" s="12"/>
      <c r="I2203" s="13"/>
      <c r="J2203" s="14"/>
      <c r="K2203" s="15">
        <v>10</v>
      </c>
      <c r="L2203" s="14"/>
      <c r="M2203" s="14" t="s">
        <v>47</v>
      </c>
      <c r="N2203" s="14"/>
      <c r="O2203" s="5">
        <v>1</v>
      </c>
      <c r="P2203" s="23">
        <f>547*(1-S3/100)</f>
        <v>547</v>
      </c>
      <c r="Q2203" s="18"/>
      <c r="R2203" s="14">
        <f>P2203*Q2203</f>
        <v>0</v>
      </c>
      <c r="S2203" s="24">
        <f>0.254*Q2203</f>
        <v>0</v>
      </c>
      <c r="T2203" s="25">
        <f>0.00057*Q2203</f>
        <v>0</v>
      </c>
      <c r="U2203" s="26" t="s">
        <v>62</v>
      </c>
      <c r="V2203" s="27" t="s">
        <v>9628</v>
      </c>
      <c r="W2203" s="27" t="s">
        <v>49</v>
      </c>
      <c r="X2203" s="6" t="s">
        <v>8751</v>
      </c>
      <c r="Y2203" s="6"/>
      <c r="Z2203" s="6" t="s">
        <v>3329</v>
      </c>
      <c r="AA2203" s="6"/>
      <c r="AB2203" s="6"/>
      <c r="AC2203" s="6" t="str">
        <f>HYPERLINK("https://knigipp.ru/api/getInfo/image/a23bc730-420e-11f1-a294-00155d82e908")</f>
        <v>https://knigipp.ru/api/getInfo/image/a23bc730-420e-11f1-a294-00155d82e908</v>
      </c>
      <c r="AD2203" s="33">
        <v>224</v>
      </c>
      <c r="AE2203" s="6" t="s">
        <v>355</v>
      </c>
      <c r="AF2203" s="6" t="s">
        <v>127</v>
      </c>
      <c r="AG2203" s="6"/>
      <c r="AH2203" s="6" t="s">
        <v>56</v>
      </c>
      <c r="AI2203" s="6"/>
      <c r="AJ2203" s="6"/>
      <c r="AK2203" s="6" t="str">
        <f>HYPERLINK("https://knigipp.ru/api/getInfo/item/a23bc730-420e-11f1-a294-00155d82e908")</f>
        <v>https://knigipp.ru/api/getInfo/item/a23bc730-420e-11f1-a294-00155d82e908</v>
      </c>
      <c r="AL2203" s="6" t="s">
        <v>9246</v>
      </c>
    </row>
    <row r="2204" spans="1:38" ht="21" customHeight="1" outlineLevel="4" x14ac:dyDescent="0.2">
      <c r="A2204" s="40">
        <v>1694</v>
      </c>
      <c r="B2204" s="6" t="s">
        <v>9629</v>
      </c>
      <c r="C2204" s="54" t="s">
        <v>9630</v>
      </c>
      <c r="D2204" s="54"/>
      <c r="E2204" s="54"/>
      <c r="F2204" s="54"/>
      <c r="G2204" s="7" t="s">
        <v>9631</v>
      </c>
      <c r="H2204" s="12"/>
      <c r="I2204" s="13" t="s">
        <v>9632</v>
      </c>
      <c r="J2204" s="14"/>
      <c r="K2204" s="15">
        <v>10</v>
      </c>
      <c r="L2204" s="14"/>
      <c r="M2204" s="14" t="s">
        <v>47</v>
      </c>
      <c r="N2204" s="14"/>
      <c r="O2204" s="5">
        <v>1</v>
      </c>
      <c r="P2204" s="23">
        <f>597*(1-S3/100)</f>
        <v>597</v>
      </c>
      <c r="Q2204" s="18"/>
      <c r="R2204" s="14">
        <f>P2204*Q2204</f>
        <v>0</v>
      </c>
      <c r="S2204" s="24">
        <f>0.322*Q2204</f>
        <v>0</v>
      </c>
      <c r="T2204" s="25">
        <f>0.00069*Q2204</f>
        <v>0</v>
      </c>
      <c r="U2204" s="26" t="s">
        <v>62</v>
      </c>
      <c r="V2204" s="27" t="s">
        <v>9633</v>
      </c>
      <c r="W2204" s="27" t="s">
        <v>49</v>
      </c>
      <c r="X2204" s="6" t="s">
        <v>8791</v>
      </c>
      <c r="Y2204" s="6"/>
      <c r="Z2204" s="6" t="s">
        <v>3329</v>
      </c>
      <c r="AA2204" s="6"/>
      <c r="AB2204" s="6"/>
      <c r="AC2204" s="6" t="str">
        <f>HYPERLINK("https://knigipp.ru/api/getInfo/image/c5053141-5a87-11f1-a295-00155d82e908")</f>
        <v>https://knigipp.ru/api/getInfo/image/c5053141-5a87-11f1-a295-00155d82e908</v>
      </c>
      <c r="AD2204" s="33">
        <v>304</v>
      </c>
      <c r="AE2204" s="6" t="s">
        <v>355</v>
      </c>
      <c r="AF2204" s="6" t="s">
        <v>127</v>
      </c>
      <c r="AG2204" s="6"/>
      <c r="AH2204" s="6"/>
      <c r="AI2204" s="6"/>
      <c r="AJ2204" s="6"/>
      <c r="AK2204" s="6" t="str">
        <f>HYPERLINK("https://knigipp.ru/api/getInfo/item/c5053141-5a87-11f1-a295-00155d82e908")</f>
        <v>https://knigipp.ru/api/getInfo/item/c5053141-5a87-11f1-a295-00155d82e908</v>
      </c>
      <c r="AL2204" s="6" t="s">
        <v>9634</v>
      </c>
    </row>
    <row r="2205" spans="1:38" ht="23.1" customHeight="1" outlineLevel="3" x14ac:dyDescent="0.2">
      <c r="A2205" s="48" t="s">
        <v>9635</v>
      </c>
      <c r="B2205" s="48"/>
      <c r="C2205" s="48"/>
      <c r="D2205" s="48"/>
      <c r="E2205" s="48"/>
      <c r="F2205" s="48"/>
    </row>
    <row r="2206" spans="1:38" ht="21" customHeight="1" outlineLevel="4" x14ac:dyDescent="0.2">
      <c r="A2206" s="39">
        <v>1695</v>
      </c>
      <c r="B2206" s="3" t="s">
        <v>9636</v>
      </c>
      <c r="C2206" s="49" t="s">
        <v>9637</v>
      </c>
      <c r="D2206" s="49"/>
      <c r="E2206" s="49"/>
      <c r="F2206" s="49"/>
      <c r="G2206" s="4" t="s">
        <v>9638</v>
      </c>
      <c r="H2206" s="8"/>
      <c r="I2206" s="9" t="s">
        <v>9639</v>
      </c>
      <c r="J2206" s="10"/>
      <c r="K2206" s="11">
        <v>10</v>
      </c>
      <c r="L2206" s="10"/>
      <c r="M2206" s="10" t="s">
        <v>47</v>
      </c>
      <c r="N2206" s="10"/>
      <c r="O2206" s="2">
        <v>1</v>
      </c>
      <c r="P2206" s="17">
        <f>767*(1-S3/100)</f>
        <v>767</v>
      </c>
      <c r="Q2206" s="18"/>
      <c r="R2206" s="10">
        <f t="shared" ref="R2206:R2217" si="95">P2206*Q2206</f>
        <v>0</v>
      </c>
      <c r="S2206" s="19">
        <f>0.447*Q2206</f>
        <v>0</v>
      </c>
      <c r="T2206" s="20">
        <f>0.00067*Q2206</f>
        <v>0</v>
      </c>
      <c r="U2206" s="21"/>
      <c r="V2206" s="22" t="s">
        <v>9640</v>
      </c>
      <c r="W2206" s="22" t="s">
        <v>49</v>
      </c>
      <c r="X2206" s="3" t="s">
        <v>8791</v>
      </c>
      <c r="Y2206" s="3" t="s">
        <v>9641</v>
      </c>
      <c r="Z2206" s="3" t="s">
        <v>3329</v>
      </c>
      <c r="AA2206" s="3"/>
      <c r="AB2206" s="3"/>
      <c r="AC2206" s="3" t="str">
        <f>HYPERLINK("https://knigipp.ru/api/getInfo/image/5ca0c160-cc5a-11f0-a28a-00155d82e908")</f>
        <v>https://knigipp.ru/api/getInfo/image/5ca0c160-cc5a-11f0-a28a-00155d82e908</v>
      </c>
      <c r="AD2206" s="32">
        <v>320</v>
      </c>
      <c r="AE2206" s="3" t="s">
        <v>355</v>
      </c>
      <c r="AF2206" s="3" t="s">
        <v>127</v>
      </c>
      <c r="AG2206" s="3"/>
      <c r="AH2206" s="3" t="s">
        <v>56</v>
      </c>
      <c r="AI2206" s="3"/>
      <c r="AJ2206" s="3"/>
      <c r="AK2206" s="3" t="str">
        <f>HYPERLINK("https://knigipp.ru/api/getInfo/item/5ca0c160-cc5a-11f0-a28a-00155d82e908")</f>
        <v>https://knigipp.ru/api/getInfo/item/5ca0c160-cc5a-11f0-a28a-00155d82e908</v>
      </c>
      <c r="AL2206" s="3" t="s">
        <v>9642</v>
      </c>
    </row>
    <row r="2207" spans="1:38" ht="21" customHeight="1" outlineLevel="4" x14ac:dyDescent="0.2">
      <c r="A2207" s="39">
        <v>1696</v>
      </c>
      <c r="B2207" s="3" t="s">
        <v>9643</v>
      </c>
      <c r="C2207" s="49" t="s">
        <v>9644</v>
      </c>
      <c r="D2207" s="49"/>
      <c r="E2207" s="49"/>
      <c r="F2207" s="49"/>
      <c r="G2207" s="4" t="s">
        <v>9645</v>
      </c>
      <c r="H2207" s="8"/>
      <c r="I2207" s="9" t="s">
        <v>9646</v>
      </c>
      <c r="J2207" s="10"/>
      <c r="K2207" s="11">
        <v>10</v>
      </c>
      <c r="L2207" s="10"/>
      <c r="M2207" s="10" t="s">
        <v>47</v>
      </c>
      <c r="N2207" s="10"/>
      <c r="O2207" s="2">
        <v>1</v>
      </c>
      <c r="P2207" s="17">
        <f>767*(1-S3/100)</f>
        <v>767</v>
      </c>
      <c r="Q2207" s="18"/>
      <c r="R2207" s="10">
        <f t="shared" si="95"/>
        <v>0</v>
      </c>
      <c r="S2207" s="19">
        <f>0.288*Q2207</f>
        <v>0</v>
      </c>
      <c r="T2207" s="20">
        <f>0.00077*Q2207</f>
        <v>0</v>
      </c>
      <c r="U2207" s="21"/>
      <c r="V2207" s="22" t="s">
        <v>9647</v>
      </c>
      <c r="W2207" s="22" t="s">
        <v>49</v>
      </c>
      <c r="X2207" s="3" t="s">
        <v>9141</v>
      </c>
      <c r="Y2207" s="3" t="s">
        <v>9648</v>
      </c>
      <c r="Z2207" s="3" t="s">
        <v>3329</v>
      </c>
      <c r="AA2207" s="3"/>
      <c r="AB2207" s="3"/>
      <c r="AC2207" s="3" t="str">
        <f>HYPERLINK("https://knigipp.ru/api/getInfo/image/efd464bd-cc59-11f0-a28a-00155d82e908")</f>
        <v>https://knigipp.ru/api/getInfo/image/efd464bd-cc59-11f0-a28a-00155d82e908</v>
      </c>
      <c r="AD2207" s="32">
        <v>288</v>
      </c>
      <c r="AE2207" s="3" t="s">
        <v>355</v>
      </c>
      <c r="AF2207" s="3" t="s">
        <v>127</v>
      </c>
      <c r="AG2207" s="3"/>
      <c r="AH2207" s="3" t="s">
        <v>56</v>
      </c>
      <c r="AI2207" s="3"/>
      <c r="AJ2207" s="3"/>
      <c r="AK2207" s="3" t="str">
        <f>HYPERLINK("https://knigipp.ru/api/getInfo/item/efd464bd-cc59-11f0-a28a-00155d82e908")</f>
        <v>https://knigipp.ru/api/getInfo/item/efd464bd-cc59-11f0-a28a-00155d82e908</v>
      </c>
      <c r="AL2207" s="3" t="s">
        <v>9302</v>
      </c>
    </row>
    <row r="2208" spans="1:38" ht="21" customHeight="1" outlineLevel="4" x14ac:dyDescent="0.2">
      <c r="A2208" s="39">
        <v>1697</v>
      </c>
      <c r="B2208" s="3" t="s">
        <v>9649</v>
      </c>
      <c r="C2208" s="49" t="s">
        <v>9650</v>
      </c>
      <c r="D2208" s="49"/>
      <c r="E2208" s="49"/>
      <c r="F2208" s="49"/>
      <c r="G2208" s="4" t="s">
        <v>9651</v>
      </c>
      <c r="H2208" s="8"/>
      <c r="I2208" s="9" t="s">
        <v>9652</v>
      </c>
      <c r="J2208" s="10"/>
      <c r="K2208" s="11">
        <v>10</v>
      </c>
      <c r="L2208" s="10"/>
      <c r="M2208" s="10" t="s">
        <v>47</v>
      </c>
      <c r="N2208" s="10"/>
      <c r="O2208" s="2">
        <v>1</v>
      </c>
      <c r="P2208" s="17">
        <f>597*(1-S3/100)</f>
        <v>597</v>
      </c>
      <c r="Q2208" s="18"/>
      <c r="R2208" s="10">
        <f t="shared" si="95"/>
        <v>0</v>
      </c>
      <c r="S2208" s="19">
        <f>0.234*Q2208</f>
        <v>0</v>
      </c>
      <c r="T2208" s="20">
        <f>0.00047*Q2208</f>
        <v>0</v>
      </c>
      <c r="U2208" s="21"/>
      <c r="V2208" s="22" t="s">
        <v>9653</v>
      </c>
      <c r="W2208" s="22" t="s">
        <v>49</v>
      </c>
      <c r="X2208" s="3" t="s">
        <v>8783</v>
      </c>
      <c r="Y2208" s="3" t="s">
        <v>9654</v>
      </c>
      <c r="Z2208" s="3" t="s">
        <v>3329</v>
      </c>
      <c r="AA2208" s="3"/>
      <c r="AB2208" s="3"/>
      <c r="AC2208" s="3" t="str">
        <f>HYPERLINK("https://knigipp.ru/api/getInfo/image/e639d797-9dff-11f0-a285-00155d82e908")</f>
        <v>https://knigipp.ru/api/getInfo/image/e639d797-9dff-11f0-a285-00155d82e908</v>
      </c>
      <c r="AD2208" s="32">
        <v>208</v>
      </c>
      <c r="AE2208" s="3" t="s">
        <v>355</v>
      </c>
      <c r="AF2208" s="3" t="s">
        <v>127</v>
      </c>
      <c r="AG2208" s="3"/>
      <c r="AH2208" s="3" t="s">
        <v>56</v>
      </c>
      <c r="AI2208" s="3"/>
      <c r="AJ2208" s="3"/>
      <c r="AK2208" s="3" t="str">
        <f>HYPERLINK("https://knigipp.ru/api/getInfo/item/e639d797-9dff-11f0-a285-00155d82e908")</f>
        <v>https://knigipp.ru/api/getInfo/item/e639d797-9dff-11f0-a285-00155d82e908</v>
      </c>
      <c r="AL2208" s="3" t="s">
        <v>9246</v>
      </c>
    </row>
    <row r="2209" spans="1:38" ht="21" customHeight="1" outlineLevel="4" x14ac:dyDescent="0.2">
      <c r="A2209" s="39">
        <v>1698</v>
      </c>
      <c r="B2209" s="3" t="s">
        <v>9655</v>
      </c>
      <c r="C2209" s="49" t="s">
        <v>9656</v>
      </c>
      <c r="D2209" s="49"/>
      <c r="E2209" s="49"/>
      <c r="F2209" s="49"/>
      <c r="G2209" s="4" t="s">
        <v>9657</v>
      </c>
      <c r="H2209" s="8"/>
      <c r="I2209" s="9" t="s">
        <v>9658</v>
      </c>
      <c r="J2209" s="10"/>
      <c r="K2209" s="11">
        <v>10</v>
      </c>
      <c r="L2209" s="10"/>
      <c r="M2209" s="10" t="s">
        <v>47</v>
      </c>
      <c r="N2209" s="10"/>
      <c r="O2209" s="2">
        <v>1</v>
      </c>
      <c r="P2209" s="17">
        <f>577*(1-S3/100)</f>
        <v>577</v>
      </c>
      <c r="Q2209" s="18"/>
      <c r="R2209" s="10">
        <f t="shared" si="95"/>
        <v>0</v>
      </c>
      <c r="S2209" s="28">
        <f>0.25*Q2209</f>
        <v>0</v>
      </c>
      <c r="T2209" s="30">
        <f>0.0006*Q2209</f>
        <v>0</v>
      </c>
      <c r="U2209" s="21"/>
      <c r="V2209" s="22" t="s">
        <v>9659</v>
      </c>
      <c r="W2209" s="22" t="s">
        <v>49</v>
      </c>
      <c r="X2209" s="3" t="s">
        <v>8783</v>
      </c>
      <c r="Y2209" s="3" t="s">
        <v>9660</v>
      </c>
      <c r="Z2209" s="3" t="s">
        <v>384</v>
      </c>
      <c r="AA2209" s="3"/>
      <c r="AB2209" s="3"/>
      <c r="AC2209" s="3" t="str">
        <f>HYPERLINK("https://knigipp.ru/api/getInfo/image/8b90c19f-4f1e-11ef-a262-00155d82e908")</f>
        <v>https://knigipp.ru/api/getInfo/image/8b90c19f-4f1e-11ef-a262-00155d82e908</v>
      </c>
      <c r="AD2209" s="32">
        <v>224</v>
      </c>
      <c r="AE2209" s="3" t="s">
        <v>355</v>
      </c>
      <c r="AF2209" s="3" t="s">
        <v>127</v>
      </c>
      <c r="AG2209" s="3"/>
      <c r="AH2209" s="3" t="s">
        <v>56</v>
      </c>
      <c r="AI2209" s="3"/>
      <c r="AJ2209" s="3"/>
      <c r="AK2209" s="3" t="str">
        <f>HYPERLINK("https://knigipp.ru/api/getInfo/item/8b90c19f-4f1e-11ef-a262-00155d82e908")</f>
        <v>https://knigipp.ru/api/getInfo/item/8b90c19f-4f1e-11ef-a262-00155d82e908</v>
      </c>
      <c r="AL2209" s="3" t="s">
        <v>2576</v>
      </c>
    </row>
    <row r="2210" spans="1:38" ht="21" customHeight="1" outlineLevel="4" x14ac:dyDescent="0.2">
      <c r="A2210" s="40">
        <v>1699</v>
      </c>
      <c r="B2210" s="6" t="s">
        <v>9661</v>
      </c>
      <c r="C2210" s="54" t="s">
        <v>9662</v>
      </c>
      <c r="D2210" s="54"/>
      <c r="E2210" s="54"/>
      <c r="F2210" s="54"/>
      <c r="G2210" s="7" t="s">
        <v>9663</v>
      </c>
      <c r="H2210" s="12"/>
      <c r="I2210" s="13" t="s">
        <v>9664</v>
      </c>
      <c r="J2210" s="14"/>
      <c r="K2210" s="15">
        <v>10</v>
      </c>
      <c r="L2210" s="14"/>
      <c r="M2210" s="14" t="s">
        <v>47</v>
      </c>
      <c r="N2210" s="14"/>
      <c r="O2210" s="5">
        <v>1</v>
      </c>
      <c r="P2210" s="23">
        <f>617*(1-S3/100)</f>
        <v>617</v>
      </c>
      <c r="Q2210" s="18"/>
      <c r="R2210" s="14">
        <f t="shared" si="95"/>
        <v>0</v>
      </c>
      <c r="S2210" s="24">
        <f>0.251*Q2210</f>
        <v>0</v>
      </c>
      <c r="T2210" s="25">
        <f>0.00054*Q2210</f>
        <v>0</v>
      </c>
      <c r="U2210" s="26" t="s">
        <v>62</v>
      </c>
      <c r="V2210" s="27" t="s">
        <v>9665</v>
      </c>
      <c r="W2210" s="27" t="s">
        <v>191</v>
      </c>
      <c r="X2210" s="6" t="s">
        <v>9666</v>
      </c>
      <c r="Y2210" s="6"/>
      <c r="Z2210" s="6" t="s">
        <v>3329</v>
      </c>
      <c r="AA2210" s="6"/>
      <c r="AB2210" s="6"/>
      <c r="AC2210" s="6" t="str">
        <f>HYPERLINK("https://knigipp.ru/api/getInfo/image/d7cc1f41-5b51-11f1-a295-00155d82e908")</f>
        <v>https://knigipp.ru/api/getInfo/image/d7cc1f41-5b51-11f1-a295-00155d82e908</v>
      </c>
      <c r="AD2210" s="33">
        <v>224</v>
      </c>
      <c r="AE2210" s="6" t="s">
        <v>355</v>
      </c>
      <c r="AF2210" s="6" t="s">
        <v>127</v>
      </c>
      <c r="AG2210" s="6"/>
      <c r="AH2210" s="6" t="s">
        <v>56</v>
      </c>
      <c r="AI2210" s="6"/>
      <c r="AJ2210" s="6"/>
      <c r="AK2210" s="6" t="str">
        <f>HYPERLINK("https://knigipp.ru/api/getInfo/item/d7cc1f41-5b51-11f1-a295-00155d82e908")</f>
        <v>https://knigipp.ru/api/getInfo/item/d7cc1f41-5b51-11f1-a295-00155d82e908</v>
      </c>
      <c r="AL2210" s="6" t="s">
        <v>9667</v>
      </c>
    </row>
    <row r="2211" spans="1:38" ht="21" customHeight="1" outlineLevel="4" x14ac:dyDescent="0.2">
      <c r="A2211" s="39">
        <v>1700</v>
      </c>
      <c r="B2211" s="3" t="s">
        <v>9668</v>
      </c>
      <c r="C2211" s="49" t="s">
        <v>9669</v>
      </c>
      <c r="D2211" s="49"/>
      <c r="E2211" s="49"/>
      <c r="F2211" s="49"/>
      <c r="G2211" s="4" t="s">
        <v>9670</v>
      </c>
      <c r="H2211" s="8"/>
      <c r="I2211" s="9" t="s">
        <v>9671</v>
      </c>
      <c r="J2211" s="10"/>
      <c r="K2211" s="11">
        <v>10</v>
      </c>
      <c r="L2211" s="10"/>
      <c r="M2211" s="10" t="s">
        <v>47</v>
      </c>
      <c r="N2211" s="10"/>
      <c r="O2211" s="2">
        <v>1</v>
      </c>
      <c r="P2211" s="17">
        <f>537*(1-S3/100)</f>
        <v>537</v>
      </c>
      <c r="Q2211" s="18"/>
      <c r="R2211" s="10">
        <f t="shared" si="95"/>
        <v>0</v>
      </c>
      <c r="S2211" s="19">
        <f>0.215*Q2211</f>
        <v>0</v>
      </c>
      <c r="T2211" s="20">
        <f>0.00065*Q2211</f>
        <v>0</v>
      </c>
      <c r="U2211" s="21"/>
      <c r="V2211" s="22" t="s">
        <v>9672</v>
      </c>
      <c r="W2211" s="22" t="s">
        <v>49</v>
      </c>
      <c r="X2211" s="3" t="s">
        <v>764</v>
      </c>
      <c r="Y2211" s="3" t="s">
        <v>9673</v>
      </c>
      <c r="Z2211" s="3" t="s">
        <v>384</v>
      </c>
      <c r="AA2211" s="3"/>
      <c r="AB2211" s="3"/>
      <c r="AC2211" s="3" t="str">
        <f>HYPERLINK("https://knigipp.ru/api/getInfo/image/64fa85c0-0e37-11f0-a279-00155d82e908")</f>
        <v>https://knigipp.ru/api/getInfo/image/64fa85c0-0e37-11f0-a279-00155d82e908</v>
      </c>
      <c r="AD2211" s="32">
        <v>192</v>
      </c>
      <c r="AE2211" s="3" t="s">
        <v>355</v>
      </c>
      <c r="AF2211" s="3" t="s">
        <v>127</v>
      </c>
      <c r="AG2211" s="3"/>
      <c r="AH2211" s="3" t="s">
        <v>56</v>
      </c>
      <c r="AI2211" s="3"/>
      <c r="AJ2211" s="3"/>
      <c r="AK2211" s="3" t="str">
        <f>HYPERLINK("https://knigipp.ru/api/getInfo/item/64fa85c0-0e37-11f0-a279-00155d82e908")</f>
        <v>https://knigipp.ru/api/getInfo/item/64fa85c0-0e37-11f0-a279-00155d82e908</v>
      </c>
      <c r="AL2211" s="3" t="s">
        <v>356</v>
      </c>
    </row>
    <row r="2212" spans="1:38" ht="21" customHeight="1" outlineLevel="4" x14ac:dyDescent="0.2">
      <c r="A2212" s="39">
        <v>1701</v>
      </c>
      <c r="B2212" s="3" t="s">
        <v>9674</v>
      </c>
      <c r="C2212" s="49" t="s">
        <v>9675</v>
      </c>
      <c r="D2212" s="49"/>
      <c r="E2212" s="49"/>
      <c r="F2212" s="49"/>
      <c r="G2212" s="4" t="s">
        <v>9676</v>
      </c>
      <c r="H2212" s="8"/>
      <c r="I2212" s="9" t="s">
        <v>9677</v>
      </c>
      <c r="J2212" s="10"/>
      <c r="K2212" s="11">
        <v>10</v>
      </c>
      <c r="L2212" s="10"/>
      <c r="M2212" s="10" t="s">
        <v>78</v>
      </c>
      <c r="N2212" s="10"/>
      <c r="O2212" s="2">
        <v>1</v>
      </c>
      <c r="P2212" s="17">
        <f>667*(1-S3/100)</f>
        <v>667</v>
      </c>
      <c r="Q2212" s="18"/>
      <c r="R2212" s="10">
        <f t="shared" si="95"/>
        <v>0</v>
      </c>
      <c r="S2212" s="19">
        <f>0.278*Q2212</f>
        <v>0</v>
      </c>
      <c r="T2212" s="20">
        <f>0.00086*Q2212</f>
        <v>0</v>
      </c>
      <c r="U2212" s="21"/>
      <c r="V2212" s="22" t="s">
        <v>9678</v>
      </c>
      <c r="W2212" s="22" t="s">
        <v>49</v>
      </c>
      <c r="X2212" s="3" t="s">
        <v>9141</v>
      </c>
      <c r="Y2212" s="3" t="s">
        <v>9679</v>
      </c>
      <c r="Z2212" s="3" t="s">
        <v>384</v>
      </c>
      <c r="AA2212" s="3"/>
      <c r="AB2212" s="3"/>
      <c r="AC2212" s="3" t="str">
        <f>HYPERLINK("https://knigipp.ru/api/getInfo/image/d268dc9e-9784-11ef-a267-00155d82e908")</f>
        <v>https://knigipp.ru/api/getInfo/image/d268dc9e-9784-11ef-a267-00155d82e908</v>
      </c>
      <c r="AD2212" s="32">
        <v>272</v>
      </c>
      <c r="AE2212" s="3" t="s">
        <v>355</v>
      </c>
      <c r="AF2212" s="3" t="s">
        <v>127</v>
      </c>
      <c r="AG2212" s="3"/>
      <c r="AH2212" s="3" t="s">
        <v>56</v>
      </c>
      <c r="AI2212" s="3"/>
      <c r="AJ2212" s="3"/>
      <c r="AK2212" s="3" t="str">
        <f>HYPERLINK("https://knigipp.ru/api/getInfo/item/d268dc9e-9784-11ef-a267-00155d82e908")</f>
        <v>https://knigipp.ru/api/getInfo/item/d268dc9e-9784-11ef-a267-00155d82e908</v>
      </c>
      <c r="AL2212" s="3" t="s">
        <v>9680</v>
      </c>
    </row>
    <row r="2213" spans="1:38" ht="21" customHeight="1" outlineLevel="4" x14ac:dyDescent="0.2">
      <c r="A2213" s="40">
        <v>1702</v>
      </c>
      <c r="B2213" s="6" t="s">
        <v>9681</v>
      </c>
      <c r="C2213" s="54" t="s">
        <v>9682</v>
      </c>
      <c r="D2213" s="54"/>
      <c r="E2213" s="54"/>
      <c r="F2213" s="54"/>
      <c r="G2213" s="7" t="s">
        <v>9683</v>
      </c>
      <c r="H2213" s="12"/>
      <c r="I2213" s="13" t="s">
        <v>9684</v>
      </c>
      <c r="J2213" s="14"/>
      <c r="K2213" s="15">
        <v>10</v>
      </c>
      <c r="L2213" s="14"/>
      <c r="M2213" s="14" t="s">
        <v>47</v>
      </c>
      <c r="N2213" s="14"/>
      <c r="O2213" s="5">
        <v>1</v>
      </c>
      <c r="P2213" s="23">
        <f>787*(1-S3/100)</f>
        <v>787</v>
      </c>
      <c r="Q2213" s="18"/>
      <c r="R2213" s="14">
        <f t="shared" si="95"/>
        <v>0</v>
      </c>
      <c r="S2213" s="36">
        <f>0.33*Q2213</f>
        <v>0</v>
      </c>
      <c r="T2213" s="25">
        <f>0.00076*Q2213</f>
        <v>0</v>
      </c>
      <c r="U2213" s="26" t="s">
        <v>62</v>
      </c>
      <c r="V2213" s="27" t="s">
        <v>9685</v>
      </c>
      <c r="W2213" s="27" t="s">
        <v>191</v>
      </c>
      <c r="X2213" s="6" t="s">
        <v>8791</v>
      </c>
      <c r="Y2213" s="6"/>
      <c r="Z2213" s="6" t="s">
        <v>3329</v>
      </c>
      <c r="AA2213" s="6"/>
      <c r="AB2213" s="6"/>
      <c r="AC2213" s="6" t="str">
        <f>HYPERLINK("https://knigipp.ru/api/getInfo/image/0d563b88-4490-11f1-a294-00155d82e908")</f>
        <v>https://knigipp.ru/api/getInfo/image/0d563b88-4490-11f1-a294-00155d82e908</v>
      </c>
      <c r="AD2213" s="33">
        <v>320</v>
      </c>
      <c r="AE2213" s="6" t="s">
        <v>355</v>
      </c>
      <c r="AF2213" s="6" t="s">
        <v>127</v>
      </c>
      <c r="AG2213" s="6"/>
      <c r="AH2213" s="6" t="s">
        <v>56</v>
      </c>
      <c r="AI2213" s="6"/>
      <c r="AJ2213" s="6"/>
      <c r="AK2213" s="6" t="str">
        <f>HYPERLINK("https://knigipp.ru/api/getInfo/item/0d563b88-4490-11f1-a294-00155d82e908")</f>
        <v>https://knigipp.ru/api/getInfo/item/0d563b88-4490-11f1-a294-00155d82e908</v>
      </c>
      <c r="AL2213" s="6" t="s">
        <v>9686</v>
      </c>
    </row>
    <row r="2214" spans="1:38" ht="21" customHeight="1" outlineLevel="4" x14ac:dyDescent="0.2">
      <c r="A2214" s="39">
        <v>1703</v>
      </c>
      <c r="B2214" s="3" t="s">
        <v>9687</v>
      </c>
      <c r="C2214" s="49" t="s">
        <v>9688</v>
      </c>
      <c r="D2214" s="49"/>
      <c r="E2214" s="49"/>
      <c r="F2214" s="49"/>
      <c r="G2214" s="4" t="s">
        <v>9689</v>
      </c>
      <c r="H2214" s="8"/>
      <c r="I2214" s="9" t="s">
        <v>9690</v>
      </c>
      <c r="J2214" s="10"/>
      <c r="K2214" s="11">
        <v>10</v>
      </c>
      <c r="L2214" s="10"/>
      <c r="M2214" s="10" t="s">
        <v>47</v>
      </c>
      <c r="N2214" s="10"/>
      <c r="O2214" s="2">
        <v>1</v>
      </c>
      <c r="P2214" s="17">
        <f>757*(1-S3/100)</f>
        <v>757</v>
      </c>
      <c r="Q2214" s="18"/>
      <c r="R2214" s="10">
        <f t="shared" si="95"/>
        <v>0</v>
      </c>
      <c r="S2214" s="19">
        <f>0.323*Q2214</f>
        <v>0</v>
      </c>
      <c r="T2214" s="20">
        <f>0.00081*Q2214</f>
        <v>0</v>
      </c>
      <c r="U2214" s="21"/>
      <c r="V2214" s="22" t="s">
        <v>9691</v>
      </c>
      <c r="W2214" s="22" t="s">
        <v>49</v>
      </c>
      <c r="X2214" s="3" t="s">
        <v>9692</v>
      </c>
      <c r="Y2214" s="3" t="s">
        <v>9693</v>
      </c>
      <c r="Z2214" s="3" t="s">
        <v>384</v>
      </c>
      <c r="AA2214" s="3"/>
      <c r="AB2214" s="3"/>
      <c r="AC2214" s="3" t="str">
        <f>HYPERLINK("https://knigipp.ru/api/getInfo/image/1c2dcbed-84cd-11f0-a284-00155d82e908")</f>
        <v>https://knigipp.ru/api/getInfo/image/1c2dcbed-84cd-11f0-a284-00155d82e908</v>
      </c>
      <c r="AD2214" s="32">
        <v>272</v>
      </c>
      <c r="AE2214" s="3" t="s">
        <v>355</v>
      </c>
      <c r="AF2214" s="3" t="s">
        <v>127</v>
      </c>
      <c r="AG2214" s="3"/>
      <c r="AH2214" s="3" t="s">
        <v>56</v>
      </c>
      <c r="AI2214" s="3"/>
      <c r="AJ2214" s="3"/>
      <c r="AK2214" s="3" t="str">
        <f>HYPERLINK("https://knigipp.ru/api/getInfo/item/1c2dcbed-84cd-11f0-a284-00155d82e908")</f>
        <v>https://knigipp.ru/api/getInfo/item/1c2dcbed-84cd-11f0-a284-00155d82e908</v>
      </c>
      <c r="AL2214" s="3" t="s">
        <v>9642</v>
      </c>
    </row>
    <row r="2215" spans="1:38" ht="21" customHeight="1" outlineLevel="4" x14ac:dyDescent="0.2">
      <c r="A2215" s="39">
        <v>1704</v>
      </c>
      <c r="B2215" s="3" t="s">
        <v>9694</v>
      </c>
      <c r="C2215" s="49" t="s">
        <v>9695</v>
      </c>
      <c r="D2215" s="49"/>
      <c r="E2215" s="49"/>
      <c r="F2215" s="49"/>
      <c r="G2215" s="4" t="s">
        <v>9696</v>
      </c>
      <c r="H2215" s="8"/>
      <c r="I2215" s="9" t="s">
        <v>9697</v>
      </c>
      <c r="J2215" s="10"/>
      <c r="K2215" s="11">
        <v>10</v>
      </c>
      <c r="L2215" s="10"/>
      <c r="M2215" s="10" t="s">
        <v>47</v>
      </c>
      <c r="N2215" s="10"/>
      <c r="O2215" s="2">
        <v>1</v>
      </c>
      <c r="P2215" s="17">
        <f>577*(1-S3/100)</f>
        <v>577</v>
      </c>
      <c r="Q2215" s="18"/>
      <c r="R2215" s="10">
        <f t="shared" si="95"/>
        <v>0</v>
      </c>
      <c r="S2215" s="19">
        <f>0.254*Q2215</f>
        <v>0</v>
      </c>
      <c r="T2215" s="20">
        <f>0.00061*Q2215</f>
        <v>0</v>
      </c>
      <c r="U2215" s="21"/>
      <c r="V2215" s="22" t="s">
        <v>9698</v>
      </c>
      <c r="W2215" s="22" t="s">
        <v>49</v>
      </c>
      <c r="X2215" s="3" t="s">
        <v>9141</v>
      </c>
      <c r="Y2215" s="3" t="s">
        <v>9699</v>
      </c>
      <c r="Z2215" s="3" t="s">
        <v>384</v>
      </c>
      <c r="AA2215" s="3"/>
      <c r="AB2215" s="3"/>
      <c r="AC2215" s="3" t="str">
        <f>HYPERLINK("https://knigipp.ru/api/getInfo/image/a9097c62-3555-11ef-a261-00155d82e908")</f>
        <v>https://knigipp.ru/api/getInfo/image/a9097c62-3555-11ef-a261-00155d82e908</v>
      </c>
      <c r="AD2215" s="32">
        <v>224</v>
      </c>
      <c r="AE2215" s="3" t="s">
        <v>355</v>
      </c>
      <c r="AF2215" s="3" t="s">
        <v>127</v>
      </c>
      <c r="AG2215" s="3"/>
      <c r="AH2215" s="3" t="s">
        <v>56</v>
      </c>
      <c r="AI2215" s="3"/>
      <c r="AJ2215" s="3"/>
      <c r="AK2215" s="3" t="str">
        <f>HYPERLINK("https://knigipp.ru/api/getInfo/item/a9097c62-3555-11ef-a261-00155d82e908")</f>
        <v>https://knigipp.ru/api/getInfo/item/a9097c62-3555-11ef-a261-00155d82e908</v>
      </c>
      <c r="AL2215" s="3" t="s">
        <v>9680</v>
      </c>
    </row>
    <row r="2216" spans="1:38" ht="21" customHeight="1" outlineLevel="4" x14ac:dyDescent="0.2">
      <c r="A2216" s="39">
        <v>1705</v>
      </c>
      <c r="B2216" s="3" t="s">
        <v>9700</v>
      </c>
      <c r="C2216" s="49" t="s">
        <v>9701</v>
      </c>
      <c r="D2216" s="49"/>
      <c r="E2216" s="49"/>
      <c r="F2216" s="49"/>
      <c r="G2216" s="4" t="s">
        <v>9702</v>
      </c>
      <c r="H2216" s="8"/>
      <c r="I2216" s="9" t="s">
        <v>9703</v>
      </c>
      <c r="J2216" s="10"/>
      <c r="K2216" s="11">
        <v>10</v>
      </c>
      <c r="L2216" s="10"/>
      <c r="M2216" s="10" t="s">
        <v>78</v>
      </c>
      <c r="N2216" s="10"/>
      <c r="O2216" s="2">
        <v>1</v>
      </c>
      <c r="P2216" s="17">
        <f>697*(1-S3/100)</f>
        <v>697</v>
      </c>
      <c r="Q2216" s="18"/>
      <c r="R2216" s="10">
        <f t="shared" si="95"/>
        <v>0</v>
      </c>
      <c r="S2216" s="19">
        <f>0.315*Q2216</f>
        <v>0</v>
      </c>
      <c r="T2216" s="20">
        <f>0.00066*Q2216</f>
        <v>0</v>
      </c>
      <c r="U2216" s="21"/>
      <c r="V2216" s="22" t="s">
        <v>9704</v>
      </c>
      <c r="W2216" s="22" t="s">
        <v>49</v>
      </c>
      <c r="X2216" s="3" t="s">
        <v>8791</v>
      </c>
      <c r="Y2216" s="3" t="s">
        <v>9705</v>
      </c>
      <c r="Z2216" s="3" t="s">
        <v>384</v>
      </c>
      <c r="AA2216" s="3"/>
      <c r="AB2216" s="3"/>
      <c r="AC2216" s="3" t="str">
        <f>HYPERLINK("https://knigipp.ru/api/getInfo/image/72be1868-3d5a-11f0-a27c-00155d82e908")</f>
        <v>https://knigipp.ru/api/getInfo/image/72be1868-3d5a-11f0-a27c-00155d82e908</v>
      </c>
      <c r="AD2216" s="32">
        <v>304</v>
      </c>
      <c r="AE2216" s="3" t="s">
        <v>355</v>
      </c>
      <c r="AF2216" s="3" t="s">
        <v>127</v>
      </c>
      <c r="AG2216" s="3"/>
      <c r="AH2216" s="3" t="s">
        <v>56</v>
      </c>
      <c r="AI2216" s="3"/>
      <c r="AJ2216" s="3"/>
      <c r="AK2216" s="3" t="str">
        <f>HYPERLINK("https://knigipp.ru/api/getInfo/item/72be1868-3d5a-11f0-a27c-00155d82e908")</f>
        <v>https://knigipp.ru/api/getInfo/item/72be1868-3d5a-11f0-a27c-00155d82e908</v>
      </c>
      <c r="AL2216" s="3" t="s">
        <v>9642</v>
      </c>
    </row>
    <row r="2217" spans="1:38" ht="21" customHeight="1" outlineLevel="4" x14ac:dyDescent="0.2">
      <c r="A2217" s="39">
        <v>1706</v>
      </c>
      <c r="B2217" s="3" t="s">
        <v>9706</v>
      </c>
      <c r="C2217" s="49" t="s">
        <v>9707</v>
      </c>
      <c r="D2217" s="49"/>
      <c r="E2217" s="49"/>
      <c r="F2217" s="49"/>
      <c r="G2217" s="4" t="s">
        <v>9708</v>
      </c>
      <c r="H2217" s="8"/>
      <c r="I2217" s="9" t="s">
        <v>9709</v>
      </c>
      <c r="J2217" s="10"/>
      <c r="K2217" s="11">
        <v>10</v>
      </c>
      <c r="L2217" s="10"/>
      <c r="M2217" s="10" t="s">
        <v>47</v>
      </c>
      <c r="N2217" s="10"/>
      <c r="O2217" s="2">
        <v>1</v>
      </c>
      <c r="P2217" s="17">
        <f>597*(1-S3/100)</f>
        <v>597</v>
      </c>
      <c r="Q2217" s="18"/>
      <c r="R2217" s="10">
        <f t="shared" si="95"/>
        <v>0</v>
      </c>
      <c r="S2217" s="28">
        <f>0.28*Q2217</f>
        <v>0</v>
      </c>
      <c r="T2217" s="20">
        <f>0.00056*Q2217</f>
        <v>0</v>
      </c>
      <c r="U2217" s="21"/>
      <c r="V2217" s="22" t="s">
        <v>9710</v>
      </c>
      <c r="W2217" s="22" t="s">
        <v>49</v>
      </c>
      <c r="X2217" s="3" t="s">
        <v>9141</v>
      </c>
      <c r="Y2217" s="3" t="s">
        <v>9711</v>
      </c>
      <c r="Z2217" s="3" t="s">
        <v>384</v>
      </c>
      <c r="AA2217" s="3"/>
      <c r="AB2217" s="3"/>
      <c r="AC2217" s="3" t="str">
        <f>HYPERLINK("https://knigipp.ru/api/getInfo/image/35e33ad0-3d5a-11f0-a27c-00155d82e908")</f>
        <v>https://knigipp.ru/api/getInfo/image/35e33ad0-3d5a-11f0-a27c-00155d82e908</v>
      </c>
      <c r="AD2217" s="32">
        <v>256</v>
      </c>
      <c r="AE2217" s="3" t="s">
        <v>355</v>
      </c>
      <c r="AF2217" s="3" t="s">
        <v>127</v>
      </c>
      <c r="AG2217" s="3"/>
      <c r="AH2217" s="3" t="s">
        <v>56</v>
      </c>
      <c r="AI2217" s="3"/>
      <c r="AJ2217" s="3"/>
      <c r="AK2217" s="3" t="str">
        <f>HYPERLINK("https://knigipp.ru/api/getInfo/item/35e33ad0-3d5a-11f0-a27c-00155d82e908")</f>
        <v>https://knigipp.ru/api/getInfo/item/35e33ad0-3d5a-11f0-a27c-00155d82e908</v>
      </c>
      <c r="AL2217" s="3" t="s">
        <v>9302</v>
      </c>
    </row>
    <row r="2218" spans="1:38" ht="23.1" customHeight="1" outlineLevel="3" x14ac:dyDescent="0.2">
      <c r="A2218" s="48" t="s">
        <v>9712</v>
      </c>
      <c r="B2218" s="48"/>
      <c r="C2218" s="48"/>
      <c r="D2218" s="48"/>
      <c r="E2218" s="48"/>
      <c r="F2218" s="48"/>
    </row>
    <row r="2219" spans="1:38" ht="21" customHeight="1" outlineLevel="4" x14ac:dyDescent="0.2">
      <c r="A2219" s="39">
        <v>1707</v>
      </c>
      <c r="B2219" s="3" t="s">
        <v>9713</v>
      </c>
      <c r="C2219" s="49" t="s">
        <v>9714</v>
      </c>
      <c r="D2219" s="49"/>
      <c r="E2219" s="49"/>
      <c r="F2219" s="49"/>
      <c r="G2219" s="4" t="s">
        <v>9715</v>
      </c>
      <c r="H2219" s="8"/>
      <c r="I2219" s="9" t="s">
        <v>9716</v>
      </c>
      <c r="J2219" s="10"/>
      <c r="K2219" s="11">
        <v>10</v>
      </c>
      <c r="L2219" s="10"/>
      <c r="M2219" s="10" t="s">
        <v>47</v>
      </c>
      <c r="N2219" s="10"/>
      <c r="O2219" s="2">
        <v>1</v>
      </c>
      <c r="P2219" s="17">
        <f>497*(1-S3/100)</f>
        <v>497</v>
      </c>
      <c r="Q2219" s="18"/>
      <c r="R2219" s="10">
        <f>P2219*Q2219</f>
        <v>0</v>
      </c>
      <c r="S2219" s="19">
        <f>0.266*Q2219</f>
        <v>0</v>
      </c>
      <c r="T2219" s="20">
        <f>0.00066*Q2219</f>
        <v>0</v>
      </c>
      <c r="U2219" s="21"/>
      <c r="V2219" s="22" t="s">
        <v>9717</v>
      </c>
      <c r="W2219" s="22" t="s">
        <v>49</v>
      </c>
      <c r="X2219" s="3" t="s">
        <v>756</v>
      </c>
      <c r="Y2219" s="3" t="s">
        <v>9718</v>
      </c>
      <c r="Z2219" s="3" t="s">
        <v>3329</v>
      </c>
      <c r="AA2219" s="3"/>
      <c r="AB2219" s="3"/>
      <c r="AC2219" s="3" t="str">
        <f>HYPERLINK("https://knigipp.ru/api/getInfo/image/0c792c76-b65c-11f0-a286-00155d82e908")</f>
        <v>https://knigipp.ru/api/getInfo/image/0c792c76-b65c-11f0-a286-00155d82e908</v>
      </c>
      <c r="AD2219" s="32">
        <v>240</v>
      </c>
      <c r="AE2219" s="3" t="s">
        <v>355</v>
      </c>
      <c r="AF2219" s="3" t="s">
        <v>127</v>
      </c>
      <c r="AG2219" s="3"/>
      <c r="AH2219" s="3" t="s">
        <v>56</v>
      </c>
      <c r="AI2219" s="3"/>
      <c r="AJ2219" s="3"/>
      <c r="AK2219" s="3" t="str">
        <f>HYPERLINK("https://knigipp.ru/api/getInfo/item/0c792c76-b65c-11f0-a286-00155d82e908")</f>
        <v>https://knigipp.ru/api/getInfo/item/0c792c76-b65c-11f0-a286-00155d82e908</v>
      </c>
      <c r="AL2219" s="3" t="s">
        <v>9642</v>
      </c>
    </row>
    <row r="2220" spans="1:38" ht="23.1" customHeight="1" outlineLevel="3" x14ac:dyDescent="0.2">
      <c r="A2220" s="48" t="s">
        <v>9719</v>
      </c>
      <c r="B2220" s="48"/>
      <c r="C2220" s="48"/>
      <c r="D2220" s="48"/>
      <c r="E2220" s="48"/>
      <c r="F2220" s="48"/>
    </row>
    <row r="2221" spans="1:38" ht="21" customHeight="1" outlineLevel="4" x14ac:dyDescent="0.2">
      <c r="A2221" s="40">
        <v>1708</v>
      </c>
      <c r="B2221" s="6" t="s">
        <v>9720</v>
      </c>
      <c r="C2221" s="54" t="s">
        <v>9721</v>
      </c>
      <c r="D2221" s="54"/>
      <c r="E2221" s="54"/>
      <c r="F2221" s="54"/>
      <c r="G2221" s="7" t="s">
        <v>9722</v>
      </c>
      <c r="H2221" s="12"/>
      <c r="I2221" s="13" t="s">
        <v>9723</v>
      </c>
      <c r="J2221" s="14"/>
      <c r="K2221" s="15">
        <v>10</v>
      </c>
      <c r="L2221" s="14"/>
      <c r="M2221" s="14" t="s">
        <v>47</v>
      </c>
      <c r="N2221" s="14"/>
      <c r="O2221" s="5">
        <v>1</v>
      </c>
      <c r="P2221" s="23">
        <f>347*(1-S3/100)</f>
        <v>347</v>
      </c>
      <c r="Q2221" s="18"/>
      <c r="R2221" s="14">
        <f>P2221*Q2221</f>
        <v>0</v>
      </c>
      <c r="S2221" s="24">
        <f>0.152*Q2221</f>
        <v>0</v>
      </c>
      <c r="T2221" s="31">
        <f>0.0004*Q2221</f>
        <v>0</v>
      </c>
      <c r="U2221" s="26" t="s">
        <v>62</v>
      </c>
      <c r="V2221" s="27" t="s">
        <v>9724</v>
      </c>
      <c r="W2221" s="27" t="s">
        <v>191</v>
      </c>
      <c r="X2221" s="6" t="s">
        <v>9666</v>
      </c>
      <c r="Y2221" s="6" t="s">
        <v>9725</v>
      </c>
      <c r="Z2221" s="6" t="s">
        <v>3329</v>
      </c>
      <c r="AA2221" s="6"/>
      <c r="AB2221" s="6"/>
      <c r="AC2221" s="6" t="str">
        <f>HYPERLINK("https://knigipp.ru/api/getInfo/image/a3b4f212-13d7-11f1-a28f-00155d82e908")</f>
        <v>https://knigipp.ru/api/getInfo/image/a3b4f212-13d7-11f1-a28f-00155d82e908</v>
      </c>
      <c r="AD2221" s="33">
        <v>176</v>
      </c>
      <c r="AE2221" s="6" t="s">
        <v>355</v>
      </c>
      <c r="AF2221" s="6" t="s">
        <v>55</v>
      </c>
      <c r="AG2221" s="6"/>
      <c r="AH2221" s="6" t="s">
        <v>56</v>
      </c>
      <c r="AI2221" s="6"/>
      <c r="AJ2221" s="6"/>
      <c r="AK2221" s="6" t="str">
        <f>HYPERLINK("https://knigipp.ru/api/getInfo/item/a3b4f212-13d7-11f1-a28f-00155d82e908")</f>
        <v>https://knigipp.ru/api/getInfo/item/a3b4f212-13d7-11f1-a28f-00155d82e908</v>
      </c>
      <c r="AL2221" s="6" t="s">
        <v>9726</v>
      </c>
    </row>
    <row r="2222" spans="1:38" ht="23.1" customHeight="1" outlineLevel="2" x14ac:dyDescent="0.2">
      <c r="A2222" s="47" t="s">
        <v>9727</v>
      </c>
      <c r="B2222" s="47"/>
      <c r="C2222" s="47"/>
      <c r="D2222" s="47"/>
      <c r="E2222" s="47"/>
      <c r="F2222" s="47"/>
    </row>
    <row r="2223" spans="1:38" ht="21" customHeight="1" outlineLevel="3" x14ac:dyDescent="0.2">
      <c r="A2223" s="39">
        <v>1709</v>
      </c>
      <c r="B2223" s="3" t="s">
        <v>9728</v>
      </c>
      <c r="C2223" s="49" t="s">
        <v>9729</v>
      </c>
      <c r="D2223" s="49"/>
      <c r="E2223" s="49"/>
      <c r="F2223" s="49"/>
      <c r="G2223" s="4" t="s">
        <v>9730</v>
      </c>
      <c r="H2223" s="8"/>
      <c r="I2223" s="9" t="s">
        <v>9731</v>
      </c>
      <c r="J2223" s="10"/>
      <c r="K2223" s="11">
        <v>5</v>
      </c>
      <c r="L2223" s="10"/>
      <c r="M2223" s="10" t="s">
        <v>47</v>
      </c>
      <c r="N2223" s="10"/>
      <c r="O2223" s="2">
        <v>2</v>
      </c>
      <c r="P2223" s="17">
        <f>537*(1-S3/100)</f>
        <v>537</v>
      </c>
      <c r="Q2223" s="18"/>
      <c r="R2223" s="10">
        <f t="shared" ref="R2223:R2229" si="96">P2223*Q2223</f>
        <v>0</v>
      </c>
      <c r="S2223" s="19">
        <f>0.348*Q2223</f>
        <v>0</v>
      </c>
      <c r="T2223" s="20">
        <f>0.00096*Q2223</f>
        <v>0</v>
      </c>
      <c r="U2223" s="21"/>
      <c r="V2223" s="22" t="s">
        <v>9732</v>
      </c>
      <c r="W2223" s="22" t="s">
        <v>191</v>
      </c>
      <c r="X2223" s="3" t="s">
        <v>9733</v>
      </c>
      <c r="Y2223" s="3" t="s">
        <v>9734</v>
      </c>
      <c r="Z2223" s="3" t="s">
        <v>757</v>
      </c>
      <c r="AA2223" s="3"/>
      <c r="AB2223" s="3"/>
      <c r="AC2223" s="3" t="str">
        <f>HYPERLINK("https://knigipp.ru/api/getInfo/image/1ba29361-8fd3-11f0-a284-00155d82e908")</f>
        <v>https://knigipp.ru/api/getInfo/image/1ba29361-8fd3-11f0-a284-00155d82e908</v>
      </c>
      <c r="AD2223" s="32">
        <v>448</v>
      </c>
      <c r="AE2223" s="3" t="s">
        <v>9112</v>
      </c>
      <c r="AF2223" s="3" t="s">
        <v>55</v>
      </c>
      <c r="AG2223" s="3"/>
      <c r="AH2223" s="3" t="s">
        <v>56</v>
      </c>
      <c r="AI2223" s="3"/>
      <c r="AJ2223" s="3"/>
      <c r="AK2223" s="3" t="str">
        <f>HYPERLINK("https://knigipp.ru/api/getInfo/item/1ba29361-8fd3-11f0-a284-00155d82e908")</f>
        <v>https://knigipp.ru/api/getInfo/item/1ba29361-8fd3-11f0-a284-00155d82e908</v>
      </c>
      <c r="AL2223" s="3" t="s">
        <v>9735</v>
      </c>
    </row>
    <row r="2224" spans="1:38" ht="21" customHeight="1" outlineLevel="3" x14ac:dyDescent="0.2">
      <c r="A2224" s="39">
        <v>1710</v>
      </c>
      <c r="B2224" s="3" t="s">
        <v>9736</v>
      </c>
      <c r="C2224" s="49" t="s">
        <v>9737</v>
      </c>
      <c r="D2224" s="49"/>
      <c r="E2224" s="49"/>
      <c r="F2224" s="49"/>
      <c r="G2224" s="4" t="s">
        <v>9738</v>
      </c>
      <c r="H2224" s="8"/>
      <c r="I2224" s="9" t="s">
        <v>9739</v>
      </c>
      <c r="J2224" s="10"/>
      <c r="K2224" s="11">
        <v>5</v>
      </c>
      <c r="L2224" s="10"/>
      <c r="M2224" s="10" t="s">
        <v>47</v>
      </c>
      <c r="N2224" s="10"/>
      <c r="O2224" s="2">
        <v>2</v>
      </c>
      <c r="P2224" s="17">
        <f>397*(1-S3/100)</f>
        <v>397</v>
      </c>
      <c r="Q2224" s="18"/>
      <c r="R2224" s="10">
        <f t="shared" si="96"/>
        <v>0</v>
      </c>
      <c r="S2224" s="19">
        <f>0.262*Q2224</f>
        <v>0</v>
      </c>
      <c r="T2224" s="20">
        <f>0.00067*Q2224</f>
        <v>0</v>
      </c>
      <c r="U2224" s="21"/>
      <c r="V2224" s="22" t="s">
        <v>9740</v>
      </c>
      <c r="W2224" s="22" t="s">
        <v>191</v>
      </c>
      <c r="X2224" s="3" t="s">
        <v>9741</v>
      </c>
      <c r="Y2224" s="3" t="s">
        <v>9742</v>
      </c>
      <c r="Z2224" s="3" t="s">
        <v>757</v>
      </c>
      <c r="AA2224" s="3"/>
      <c r="AB2224" s="3"/>
      <c r="AC2224" s="3" t="str">
        <f>HYPERLINK("https://knigipp.ru/api/getInfo/image/0535ad1f-8328-11f0-a284-00155d82e908")</f>
        <v>https://knigipp.ru/api/getInfo/image/0535ad1f-8328-11f0-a284-00155d82e908</v>
      </c>
      <c r="AD2224" s="32">
        <v>320</v>
      </c>
      <c r="AE2224" s="3" t="s">
        <v>9112</v>
      </c>
      <c r="AF2224" s="3" t="s">
        <v>55</v>
      </c>
      <c r="AG2224" s="3"/>
      <c r="AH2224" s="3" t="s">
        <v>56</v>
      </c>
      <c r="AI2224" s="3"/>
      <c r="AJ2224" s="3"/>
      <c r="AK2224" s="3" t="str">
        <f>HYPERLINK("https://knigipp.ru/api/getInfo/item/0535ad1f-8328-11f0-a284-00155d82e908")</f>
        <v>https://knigipp.ru/api/getInfo/item/0535ad1f-8328-11f0-a284-00155d82e908</v>
      </c>
      <c r="AL2224" s="3" t="s">
        <v>9743</v>
      </c>
    </row>
    <row r="2225" spans="1:38" ht="21" customHeight="1" outlineLevel="3" x14ac:dyDescent="0.2">
      <c r="A2225" s="39">
        <v>1711</v>
      </c>
      <c r="B2225" s="3" t="s">
        <v>9744</v>
      </c>
      <c r="C2225" s="49" t="s">
        <v>9745</v>
      </c>
      <c r="D2225" s="49"/>
      <c r="E2225" s="49"/>
      <c r="F2225" s="49"/>
      <c r="G2225" s="4" t="s">
        <v>9746</v>
      </c>
      <c r="H2225" s="8"/>
      <c r="I2225" s="9" t="s">
        <v>9747</v>
      </c>
      <c r="J2225" s="10"/>
      <c r="K2225" s="11">
        <v>5</v>
      </c>
      <c r="L2225" s="10"/>
      <c r="M2225" s="10" t="s">
        <v>47</v>
      </c>
      <c r="N2225" s="10"/>
      <c r="O2225" s="2">
        <v>2</v>
      </c>
      <c r="P2225" s="17">
        <f>537*(1-S3/100)</f>
        <v>537</v>
      </c>
      <c r="Q2225" s="18"/>
      <c r="R2225" s="10">
        <f t="shared" si="96"/>
        <v>0</v>
      </c>
      <c r="S2225" s="19">
        <f>0.336*Q2225</f>
        <v>0</v>
      </c>
      <c r="T2225" s="20">
        <f>0.00094*Q2225</f>
        <v>0</v>
      </c>
      <c r="U2225" s="21"/>
      <c r="V2225" s="22" t="s">
        <v>9748</v>
      </c>
      <c r="W2225" s="22" t="s">
        <v>191</v>
      </c>
      <c r="X2225" s="3" t="s">
        <v>9749</v>
      </c>
      <c r="Y2225" s="3" t="s">
        <v>9750</v>
      </c>
      <c r="Z2225" s="3" t="s">
        <v>757</v>
      </c>
      <c r="AA2225" s="3"/>
      <c r="AB2225" s="3"/>
      <c r="AC2225" s="3" t="str">
        <f>HYPERLINK("https://knigipp.ru/api/getInfo/image/be7238eb-8fd2-11f0-a284-00155d82e908")</f>
        <v>https://knigipp.ru/api/getInfo/image/be7238eb-8fd2-11f0-a284-00155d82e908</v>
      </c>
      <c r="AD2225" s="32">
        <v>432</v>
      </c>
      <c r="AE2225" s="3" t="s">
        <v>9112</v>
      </c>
      <c r="AF2225" s="3" t="s">
        <v>55</v>
      </c>
      <c r="AG2225" s="3"/>
      <c r="AH2225" s="3" t="s">
        <v>56</v>
      </c>
      <c r="AI2225" s="3"/>
      <c r="AJ2225" s="3"/>
      <c r="AK2225" s="3" t="str">
        <f>HYPERLINK("https://knigipp.ru/api/getInfo/item/be7238eb-8fd2-11f0-a284-00155d82e908")</f>
        <v>https://knigipp.ru/api/getInfo/item/be7238eb-8fd2-11f0-a284-00155d82e908</v>
      </c>
      <c r="AL2225" s="3" t="s">
        <v>9735</v>
      </c>
    </row>
    <row r="2226" spans="1:38" ht="21" customHeight="1" outlineLevel="3" x14ac:dyDescent="0.2">
      <c r="A2226" s="39">
        <v>1712</v>
      </c>
      <c r="B2226" s="3" t="s">
        <v>9751</v>
      </c>
      <c r="C2226" s="49" t="s">
        <v>9752</v>
      </c>
      <c r="D2226" s="49"/>
      <c r="E2226" s="49"/>
      <c r="F2226" s="49"/>
      <c r="G2226" s="4" t="s">
        <v>9753</v>
      </c>
      <c r="H2226" s="8"/>
      <c r="I2226" s="9" t="s">
        <v>9754</v>
      </c>
      <c r="J2226" s="10"/>
      <c r="K2226" s="11">
        <v>5</v>
      </c>
      <c r="L2226" s="10"/>
      <c r="M2226" s="10" t="s">
        <v>78</v>
      </c>
      <c r="N2226" s="10"/>
      <c r="O2226" s="2">
        <v>2</v>
      </c>
      <c r="P2226" s="17">
        <f>297*(1-S3/100)</f>
        <v>297</v>
      </c>
      <c r="Q2226" s="18"/>
      <c r="R2226" s="10">
        <f t="shared" si="96"/>
        <v>0</v>
      </c>
      <c r="S2226" s="19">
        <f>0.127*Q2226</f>
        <v>0</v>
      </c>
      <c r="T2226" s="20">
        <f>0.00033*Q2226</f>
        <v>0</v>
      </c>
      <c r="U2226" s="21"/>
      <c r="V2226" s="22" t="s">
        <v>9755</v>
      </c>
      <c r="W2226" s="22" t="s">
        <v>191</v>
      </c>
      <c r="X2226" s="3" t="s">
        <v>9749</v>
      </c>
      <c r="Y2226" s="3"/>
      <c r="Z2226" s="3" t="s">
        <v>757</v>
      </c>
      <c r="AA2226" s="3"/>
      <c r="AB2226" s="3"/>
      <c r="AC2226" s="3" t="str">
        <f>HYPERLINK("https://knigipp.ru/api/getInfo/image/73fd0a17-8fd3-11f0-a284-00155d82e908")</f>
        <v>https://knigipp.ru/api/getInfo/image/73fd0a17-8fd3-11f0-a284-00155d82e908</v>
      </c>
      <c r="AD2226" s="32">
        <v>144</v>
      </c>
      <c r="AE2226" s="3" t="s">
        <v>9112</v>
      </c>
      <c r="AF2226" s="3" t="s">
        <v>55</v>
      </c>
      <c r="AG2226" s="3"/>
      <c r="AH2226" s="3" t="s">
        <v>56</v>
      </c>
      <c r="AI2226" s="3"/>
      <c r="AJ2226" s="3"/>
      <c r="AK2226" s="3" t="str">
        <f>HYPERLINK("https://knigipp.ru/api/getInfo/item/73fd0a17-8fd3-11f0-a284-00155d82e908")</f>
        <v>https://knigipp.ru/api/getInfo/item/73fd0a17-8fd3-11f0-a284-00155d82e908</v>
      </c>
      <c r="AL2226" s="3" t="s">
        <v>9756</v>
      </c>
    </row>
    <row r="2227" spans="1:38" ht="21" customHeight="1" outlineLevel="3" x14ac:dyDescent="0.2">
      <c r="A2227" s="39">
        <v>1713</v>
      </c>
      <c r="B2227" s="3" t="s">
        <v>9757</v>
      </c>
      <c r="C2227" s="49" t="s">
        <v>9758</v>
      </c>
      <c r="D2227" s="49"/>
      <c r="E2227" s="49"/>
      <c r="F2227" s="49"/>
      <c r="G2227" s="4" t="s">
        <v>9759</v>
      </c>
      <c r="H2227" s="8"/>
      <c r="I2227" s="9" t="s">
        <v>9760</v>
      </c>
      <c r="J2227" s="10"/>
      <c r="K2227" s="11">
        <v>5</v>
      </c>
      <c r="L2227" s="10"/>
      <c r="M2227" s="10" t="s">
        <v>78</v>
      </c>
      <c r="N2227" s="10"/>
      <c r="O2227" s="2">
        <v>2</v>
      </c>
      <c r="P2227" s="17">
        <f>397*(1-S3/100)</f>
        <v>397</v>
      </c>
      <c r="Q2227" s="18"/>
      <c r="R2227" s="10">
        <f t="shared" si="96"/>
        <v>0</v>
      </c>
      <c r="S2227" s="19">
        <f>0.325*Q2227</f>
        <v>0</v>
      </c>
      <c r="T2227" s="20">
        <f>0.00122*Q2227</f>
        <v>0</v>
      </c>
      <c r="U2227" s="21"/>
      <c r="V2227" s="22" t="s">
        <v>9761</v>
      </c>
      <c r="W2227" s="22" t="s">
        <v>191</v>
      </c>
      <c r="X2227" s="3" t="s">
        <v>9438</v>
      </c>
      <c r="Y2227" s="3" t="s">
        <v>9762</v>
      </c>
      <c r="Z2227" s="3" t="s">
        <v>757</v>
      </c>
      <c r="AA2227" s="3"/>
      <c r="AB2227" s="3"/>
      <c r="AC2227" s="3" t="str">
        <f>HYPERLINK("https://knigipp.ru/api/getInfo/image/462ee23a-8328-11f0-a284-00155d82e908")</f>
        <v>https://knigipp.ru/api/getInfo/image/462ee23a-8328-11f0-a284-00155d82e908</v>
      </c>
      <c r="AD2227" s="32">
        <v>272</v>
      </c>
      <c r="AE2227" s="3" t="s">
        <v>9112</v>
      </c>
      <c r="AF2227" s="3" t="s">
        <v>55</v>
      </c>
      <c r="AG2227" s="3"/>
      <c r="AH2227" s="3" t="s">
        <v>56</v>
      </c>
      <c r="AI2227" s="3"/>
      <c r="AJ2227" s="3"/>
      <c r="AK2227" s="3" t="str">
        <f>HYPERLINK("https://knigipp.ru/api/getInfo/item/462ee23a-8328-11f0-a284-00155d82e908")</f>
        <v>https://knigipp.ru/api/getInfo/item/462ee23a-8328-11f0-a284-00155d82e908</v>
      </c>
      <c r="AL2227" s="3" t="s">
        <v>9763</v>
      </c>
    </row>
    <row r="2228" spans="1:38" ht="21" customHeight="1" outlineLevel="3" x14ac:dyDescent="0.2">
      <c r="A2228" s="39">
        <v>1714</v>
      </c>
      <c r="B2228" s="3" t="s">
        <v>9764</v>
      </c>
      <c r="C2228" s="49" t="s">
        <v>9765</v>
      </c>
      <c r="D2228" s="49"/>
      <c r="E2228" s="49"/>
      <c r="F2228" s="49"/>
      <c r="G2228" s="4" t="s">
        <v>9766</v>
      </c>
      <c r="H2228" s="8"/>
      <c r="I2228" s="9" t="s">
        <v>9767</v>
      </c>
      <c r="J2228" s="10"/>
      <c r="K2228" s="11">
        <v>10</v>
      </c>
      <c r="L2228" s="10"/>
      <c r="M2228" s="10" t="s">
        <v>47</v>
      </c>
      <c r="N2228" s="10"/>
      <c r="O2228" s="2">
        <v>2</v>
      </c>
      <c r="P2228" s="17">
        <f>397*(1-S3/100)</f>
        <v>397</v>
      </c>
      <c r="Q2228" s="18"/>
      <c r="R2228" s="10">
        <f t="shared" si="96"/>
        <v>0</v>
      </c>
      <c r="S2228" s="19">
        <f>0.208*Q2228</f>
        <v>0</v>
      </c>
      <c r="T2228" s="20">
        <f>0.00056*Q2228</f>
        <v>0</v>
      </c>
      <c r="U2228" s="21"/>
      <c r="V2228" s="22" t="s">
        <v>9768</v>
      </c>
      <c r="W2228" s="22" t="s">
        <v>191</v>
      </c>
      <c r="X2228" s="3" t="s">
        <v>9769</v>
      </c>
      <c r="Y2228" s="3" t="s">
        <v>9770</v>
      </c>
      <c r="Z2228" s="3" t="s">
        <v>757</v>
      </c>
      <c r="AA2228" s="3"/>
      <c r="AB2228" s="3"/>
      <c r="AC2228" s="3" t="str">
        <f>HYPERLINK("https://knigipp.ru/api/getInfo/image/47825656-8fd3-11f0-a284-00155d82e908")</f>
        <v>https://knigipp.ru/api/getInfo/image/47825656-8fd3-11f0-a284-00155d82e908</v>
      </c>
      <c r="AD2228" s="32">
        <v>256</v>
      </c>
      <c r="AE2228" s="3" t="s">
        <v>9112</v>
      </c>
      <c r="AF2228" s="3" t="s">
        <v>55</v>
      </c>
      <c r="AG2228" s="3"/>
      <c r="AH2228" s="3" t="s">
        <v>56</v>
      </c>
      <c r="AI2228" s="3"/>
      <c r="AJ2228" s="3"/>
      <c r="AK2228" s="3" t="str">
        <f>HYPERLINK("https://knigipp.ru/api/getInfo/item/47825656-8fd3-11f0-a284-00155d82e908")</f>
        <v>https://knigipp.ru/api/getInfo/item/47825656-8fd3-11f0-a284-00155d82e908</v>
      </c>
      <c r="AL2228" s="3" t="s">
        <v>9771</v>
      </c>
    </row>
    <row r="2229" spans="1:38" ht="21" customHeight="1" outlineLevel="3" x14ac:dyDescent="0.2">
      <c r="A2229" s="39">
        <v>1715</v>
      </c>
      <c r="B2229" s="3" t="s">
        <v>9772</v>
      </c>
      <c r="C2229" s="49" t="s">
        <v>9773</v>
      </c>
      <c r="D2229" s="49"/>
      <c r="E2229" s="49"/>
      <c r="F2229" s="49"/>
      <c r="G2229" s="4" t="s">
        <v>9774</v>
      </c>
      <c r="H2229" s="8"/>
      <c r="I2229" s="9" t="s">
        <v>9775</v>
      </c>
      <c r="J2229" s="10"/>
      <c r="K2229" s="11">
        <v>5</v>
      </c>
      <c r="L2229" s="10"/>
      <c r="M2229" s="10" t="s">
        <v>47</v>
      </c>
      <c r="N2229" s="10"/>
      <c r="O2229" s="2">
        <v>2</v>
      </c>
      <c r="P2229" s="17">
        <f>537*(1-S3/100)</f>
        <v>537</v>
      </c>
      <c r="Q2229" s="18"/>
      <c r="R2229" s="10">
        <f t="shared" si="96"/>
        <v>0</v>
      </c>
      <c r="S2229" s="19">
        <f>0.342*Q2229</f>
        <v>0</v>
      </c>
      <c r="T2229" s="20">
        <f>0.00094*Q2229</f>
        <v>0</v>
      </c>
      <c r="U2229" s="21"/>
      <c r="V2229" s="22" t="s">
        <v>9776</v>
      </c>
      <c r="W2229" s="22" t="s">
        <v>191</v>
      </c>
      <c r="X2229" s="3" t="s">
        <v>9777</v>
      </c>
      <c r="Y2229" s="3" t="s">
        <v>9778</v>
      </c>
      <c r="Z2229" s="3" t="s">
        <v>757</v>
      </c>
      <c r="AA2229" s="3"/>
      <c r="AB2229" s="3"/>
      <c r="AC2229" s="3" t="str">
        <f>HYPERLINK("https://knigipp.ru/api/getInfo/image/739224c5-8328-11f0-a284-00155d82e908")</f>
        <v>https://knigipp.ru/api/getInfo/image/739224c5-8328-11f0-a284-00155d82e908</v>
      </c>
      <c r="AD2229" s="32">
        <v>416</v>
      </c>
      <c r="AE2229" s="3" t="s">
        <v>9112</v>
      </c>
      <c r="AF2229" s="3" t="s">
        <v>55</v>
      </c>
      <c r="AG2229" s="3"/>
      <c r="AH2229" s="3" t="s">
        <v>56</v>
      </c>
      <c r="AI2229" s="3"/>
      <c r="AJ2229" s="3"/>
      <c r="AK2229" s="3" t="str">
        <f>HYPERLINK("https://knigipp.ru/api/getInfo/item/739224c5-8328-11f0-a284-00155d82e908")</f>
        <v>https://knigipp.ru/api/getInfo/item/739224c5-8328-11f0-a284-00155d82e908</v>
      </c>
      <c r="AL2229" s="3" t="s">
        <v>9779</v>
      </c>
    </row>
    <row r="2230" spans="1:38" ht="23.1" customHeight="1" outlineLevel="2" x14ac:dyDescent="0.2">
      <c r="A2230" s="47" t="s">
        <v>9780</v>
      </c>
      <c r="B2230" s="47"/>
      <c r="C2230" s="47"/>
      <c r="D2230" s="47"/>
      <c r="E2230" s="47"/>
      <c r="F2230" s="47"/>
    </row>
    <row r="2231" spans="1:38" ht="21" customHeight="1" outlineLevel="3" x14ac:dyDescent="0.2">
      <c r="A2231" s="39">
        <v>1716</v>
      </c>
      <c r="B2231" s="3" t="s">
        <v>9781</v>
      </c>
      <c r="C2231" s="49" t="s">
        <v>9782</v>
      </c>
      <c r="D2231" s="49"/>
      <c r="E2231" s="49"/>
      <c r="F2231" s="49"/>
      <c r="G2231" s="4" t="s">
        <v>9783</v>
      </c>
      <c r="H2231" s="8"/>
      <c r="I2231" s="9" t="s">
        <v>9784</v>
      </c>
      <c r="J2231" s="10"/>
      <c r="K2231" s="11">
        <v>20</v>
      </c>
      <c r="L2231" s="10"/>
      <c r="M2231" s="10" t="s">
        <v>47</v>
      </c>
      <c r="N2231" s="10"/>
      <c r="O2231" s="2">
        <v>2</v>
      </c>
      <c r="P2231" s="17">
        <f>447*(1-S3/100)</f>
        <v>447</v>
      </c>
      <c r="Q2231" s="18"/>
      <c r="R2231" s="10">
        <f>P2231*Q2231</f>
        <v>0</v>
      </c>
      <c r="S2231" s="28">
        <f>0.21*Q2231</f>
        <v>0</v>
      </c>
      <c r="T2231" s="20">
        <f>0.00041*Q2231</f>
        <v>0</v>
      </c>
      <c r="U2231" s="21"/>
      <c r="V2231" s="22" t="s">
        <v>9785</v>
      </c>
      <c r="W2231" s="22" t="s">
        <v>49</v>
      </c>
      <c r="X2231" s="3" t="s">
        <v>9786</v>
      </c>
      <c r="Y2231" s="3" t="s">
        <v>9787</v>
      </c>
      <c r="Z2231" s="3" t="s">
        <v>52</v>
      </c>
      <c r="AA2231" s="3"/>
      <c r="AB2231" s="3"/>
      <c r="AC2231" s="3" t="str">
        <f>HYPERLINK("https://knigipp.ru/api/getInfo/image/35c7d7dc-f5c9-11ef-a274-00155d82e908")</f>
        <v>https://knigipp.ru/api/getInfo/image/35c7d7dc-f5c9-11ef-a274-00155d82e908</v>
      </c>
      <c r="AD2231" s="32">
        <v>96</v>
      </c>
      <c r="AE2231" s="3" t="s">
        <v>355</v>
      </c>
      <c r="AF2231" s="3" t="s">
        <v>127</v>
      </c>
      <c r="AG2231" s="3"/>
      <c r="AH2231" s="3" t="s">
        <v>56</v>
      </c>
      <c r="AI2231" s="3"/>
      <c r="AJ2231" s="3"/>
      <c r="AK2231" s="3" t="str">
        <f>HYPERLINK("https://knigipp.ru/api/getInfo/item/35c7d7dc-f5c9-11ef-a274-00155d82e908")</f>
        <v>https://knigipp.ru/api/getInfo/item/35c7d7dc-f5c9-11ef-a274-00155d82e908</v>
      </c>
      <c r="AL2231" s="3" t="s">
        <v>9788</v>
      </c>
    </row>
    <row r="2232" spans="1:38" ht="21" customHeight="1" outlineLevel="3" x14ac:dyDescent="0.2">
      <c r="A2232" s="39">
        <v>1717</v>
      </c>
      <c r="B2232" s="3" t="s">
        <v>9789</v>
      </c>
      <c r="C2232" s="49" t="s">
        <v>9790</v>
      </c>
      <c r="D2232" s="49"/>
      <c r="E2232" s="49"/>
      <c r="F2232" s="49"/>
      <c r="G2232" s="4" t="s">
        <v>9791</v>
      </c>
      <c r="H2232" s="8"/>
      <c r="I2232" s="9" t="s">
        <v>9792</v>
      </c>
      <c r="J2232" s="10"/>
      <c r="K2232" s="11">
        <v>20</v>
      </c>
      <c r="L2232" s="10"/>
      <c r="M2232" s="10" t="s">
        <v>47</v>
      </c>
      <c r="N2232" s="10"/>
      <c r="O2232" s="2">
        <v>2</v>
      </c>
      <c r="P2232" s="17">
        <f>497*(1-S3/100)</f>
        <v>497</v>
      </c>
      <c r="Q2232" s="18"/>
      <c r="R2232" s="10">
        <f>P2232*Q2232</f>
        <v>0</v>
      </c>
      <c r="S2232" s="19">
        <f>0.299*Q2232</f>
        <v>0</v>
      </c>
      <c r="T2232" s="20">
        <f>0.00034*Q2232</f>
        <v>0</v>
      </c>
      <c r="U2232" s="21"/>
      <c r="V2232" s="22" t="s">
        <v>9793</v>
      </c>
      <c r="W2232" s="22" t="s">
        <v>49</v>
      </c>
      <c r="X2232" s="3" t="s">
        <v>9794</v>
      </c>
      <c r="Y2232" s="3" t="s">
        <v>9795</v>
      </c>
      <c r="Z2232" s="3" t="s">
        <v>3329</v>
      </c>
      <c r="AA2232" s="3"/>
      <c r="AB2232" s="3"/>
      <c r="AC2232" s="3" t="str">
        <f>HYPERLINK("https://knigipp.ru/api/getInfo/image/88c3cbf0-3d5a-11f0-a27c-00155d82e908")</f>
        <v>https://knigipp.ru/api/getInfo/image/88c3cbf0-3d5a-11f0-a27c-00155d82e908</v>
      </c>
      <c r="AD2232" s="32">
        <v>160</v>
      </c>
      <c r="AE2232" s="3" t="s">
        <v>355</v>
      </c>
      <c r="AF2232" s="3" t="s">
        <v>127</v>
      </c>
      <c r="AG2232" s="3"/>
      <c r="AH2232" s="3" t="s">
        <v>56</v>
      </c>
      <c r="AI2232" s="3"/>
      <c r="AJ2232" s="3"/>
      <c r="AK2232" s="3" t="str">
        <f>HYPERLINK("https://knigipp.ru/api/getInfo/item/88c3cbf0-3d5a-11f0-a27c-00155d82e908")</f>
        <v>https://knigipp.ru/api/getInfo/item/88c3cbf0-3d5a-11f0-a27c-00155d82e908</v>
      </c>
      <c r="AL2232" s="3" t="s">
        <v>2848</v>
      </c>
    </row>
    <row r="2233" spans="1:38" ht="21" customHeight="1" outlineLevel="3" x14ac:dyDescent="0.2">
      <c r="A2233" s="39">
        <v>1718</v>
      </c>
      <c r="B2233" s="3" t="s">
        <v>9796</v>
      </c>
      <c r="C2233" s="49" t="s">
        <v>9797</v>
      </c>
      <c r="D2233" s="49"/>
      <c r="E2233" s="49"/>
      <c r="F2233" s="49"/>
      <c r="G2233" s="4" t="s">
        <v>9798</v>
      </c>
      <c r="H2233" s="8"/>
      <c r="I2233" s="9" t="s">
        <v>9799</v>
      </c>
      <c r="J2233" s="10"/>
      <c r="K2233" s="11">
        <v>20</v>
      </c>
      <c r="L2233" s="10"/>
      <c r="M2233" s="10" t="s">
        <v>47</v>
      </c>
      <c r="N2233" s="10"/>
      <c r="O2233" s="2">
        <v>2</v>
      </c>
      <c r="P2233" s="17">
        <f>477*(1-S3/100)</f>
        <v>477</v>
      </c>
      <c r="Q2233" s="18"/>
      <c r="R2233" s="10">
        <f>P2233*Q2233</f>
        <v>0</v>
      </c>
      <c r="S2233" s="28">
        <f>0.27*Q2233</f>
        <v>0</v>
      </c>
      <c r="T2233" s="20">
        <f>0.00031*Q2233</f>
        <v>0</v>
      </c>
      <c r="U2233" s="21"/>
      <c r="V2233" s="22" t="s">
        <v>9800</v>
      </c>
      <c r="W2233" s="22" t="s">
        <v>49</v>
      </c>
      <c r="X2233" s="3" t="s">
        <v>9801</v>
      </c>
      <c r="Y2233" s="3" t="s">
        <v>9802</v>
      </c>
      <c r="Z2233" s="3" t="s">
        <v>3329</v>
      </c>
      <c r="AA2233" s="3"/>
      <c r="AB2233" s="3"/>
      <c r="AC2233" s="3" t="str">
        <f>HYPERLINK("https://knigipp.ru/api/getInfo/image/5999b1c2-0e39-11f0-a279-00155d82e908")</f>
        <v>https://knigipp.ru/api/getInfo/image/5999b1c2-0e39-11f0-a279-00155d82e908</v>
      </c>
      <c r="AD2233" s="32">
        <v>128</v>
      </c>
      <c r="AE2233" s="3" t="s">
        <v>355</v>
      </c>
      <c r="AF2233" s="3" t="s">
        <v>127</v>
      </c>
      <c r="AG2233" s="3"/>
      <c r="AH2233" s="3" t="s">
        <v>56</v>
      </c>
      <c r="AI2233" s="3"/>
      <c r="AJ2233" s="3"/>
      <c r="AK2233" s="3" t="str">
        <f>HYPERLINK("https://knigipp.ru/api/getInfo/item/5999b1c2-0e39-11f0-a279-00155d82e908")</f>
        <v>https://knigipp.ru/api/getInfo/item/5999b1c2-0e39-11f0-a279-00155d82e908</v>
      </c>
      <c r="AL2233" s="3" t="s">
        <v>2576</v>
      </c>
    </row>
    <row r="2234" spans="1:38" ht="21" customHeight="1" outlineLevel="3" x14ac:dyDescent="0.2">
      <c r="A2234" s="39">
        <v>1719</v>
      </c>
      <c r="B2234" s="3" t="s">
        <v>9803</v>
      </c>
      <c r="C2234" s="49" t="s">
        <v>9804</v>
      </c>
      <c r="D2234" s="49"/>
      <c r="E2234" s="49"/>
      <c r="F2234" s="49"/>
      <c r="G2234" s="4" t="s">
        <v>9805</v>
      </c>
      <c r="H2234" s="8"/>
      <c r="I2234" s="9" t="s">
        <v>9806</v>
      </c>
      <c r="J2234" s="10"/>
      <c r="K2234" s="11">
        <v>20</v>
      </c>
      <c r="L2234" s="10"/>
      <c r="M2234" s="10" t="s">
        <v>47</v>
      </c>
      <c r="N2234" s="10"/>
      <c r="O2234" s="2">
        <v>2</v>
      </c>
      <c r="P2234" s="17">
        <f>477*(1-S3/100)</f>
        <v>477</v>
      </c>
      <c r="Q2234" s="18"/>
      <c r="R2234" s="10">
        <f>P2234*Q2234</f>
        <v>0</v>
      </c>
      <c r="S2234" s="19">
        <f>0.269*Q2234</f>
        <v>0</v>
      </c>
      <c r="T2234" s="30">
        <f>0.0005*Q2234</f>
        <v>0</v>
      </c>
      <c r="U2234" s="21"/>
      <c r="V2234" s="22" t="s">
        <v>9807</v>
      </c>
      <c r="W2234" s="22" t="s">
        <v>49</v>
      </c>
      <c r="X2234" s="3" t="s">
        <v>9808</v>
      </c>
      <c r="Y2234" s="3" t="s">
        <v>9809</v>
      </c>
      <c r="Z2234" s="3" t="s">
        <v>3329</v>
      </c>
      <c r="AA2234" s="3"/>
      <c r="AB2234" s="3"/>
      <c r="AC2234" s="3" t="str">
        <f>HYPERLINK("https://knigipp.ru/api/getInfo/image/8d07966f-0e39-11f0-a279-00155d82e908")</f>
        <v>https://knigipp.ru/api/getInfo/image/8d07966f-0e39-11f0-a279-00155d82e908</v>
      </c>
      <c r="AD2234" s="32">
        <v>144</v>
      </c>
      <c r="AE2234" s="3" t="s">
        <v>355</v>
      </c>
      <c r="AF2234" s="3" t="s">
        <v>127</v>
      </c>
      <c r="AG2234" s="3"/>
      <c r="AH2234" s="3" t="s">
        <v>56</v>
      </c>
      <c r="AI2234" s="3"/>
      <c r="AJ2234" s="3"/>
      <c r="AK2234" s="3" t="str">
        <f>HYPERLINK("https://knigipp.ru/api/getInfo/item/8d07966f-0e39-11f0-a279-00155d82e908")</f>
        <v>https://knigipp.ru/api/getInfo/item/8d07966f-0e39-11f0-a279-00155d82e908</v>
      </c>
      <c r="AL2234" s="3" t="s">
        <v>2576</v>
      </c>
    </row>
    <row r="2235" spans="1:38" ht="21" customHeight="1" outlineLevel="3" x14ac:dyDescent="0.2">
      <c r="A2235" s="39">
        <v>1720</v>
      </c>
      <c r="B2235" s="3" t="s">
        <v>9810</v>
      </c>
      <c r="C2235" s="49" t="s">
        <v>9811</v>
      </c>
      <c r="D2235" s="49"/>
      <c r="E2235" s="49"/>
      <c r="F2235" s="49"/>
      <c r="G2235" s="4" t="s">
        <v>9812</v>
      </c>
      <c r="H2235" s="8"/>
      <c r="I2235" s="9" t="s">
        <v>9813</v>
      </c>
      <c r="J2235" s="10"/>
      <c r="K2235" s="11">
        <v>20</v>
      </c>
      <c r="L2235" s="10"/>
      <c r="M2235" s="10" t="s">
        <v>47</v>
      </c>
      <c r="N2235" s="10"/>
      <c r="O2235" s="2">
        <v>2</v>
      </c>
      <c r="P2235" s="17">
        <f>477*(1-S3/100)</f>
        <v>477</v>
      </c>
      <c r="Q2235" s="18"/>
      <c r="R2235" s="10">
        <f>P2235*Q2235</f>
        <v>0</v>
      </c>
      <c r="S2235" s="19">
        <f>0.253*Q2235</f>
        <v>0</v>
      </c>
      <c r="T2235" s="20">
        <f>0.00044*Q2235</f>
        <v>0</v>
      </c>
      <c r="U2235" s="21"/>
      <c r="V2235" s="22" t="s">
        <v>9814</v>
      </c>
      <c r="W2235" s="22" t="s">
        <v>49</v>
      </c>
      <c r="X2235" s="3" t="s">
        <v>9815</v>
      </c>
      <c r="Y2235" s="3" t="s">
        <v>9816</v>
      </c>
      <c r="Z2235" s="3" t="s">
        <v>52</v>
      </c>
      <c r="AA2235" s="3"/>
      <c r="AB2235" s="3"/>
      <c r="AC2235" s="3" t="str">
        <f>HYPERLINK("https://knigipp.ru/api/getInfo/image/11b32fd0-ae4d-11ef-a267-00155d82e908")</f>
        <v>https://knigipp.ru/api/getInfo/image/11b32fd0-ae4d-11ef-a267-00155d82e908</v>
      </c>
      <c r="AD2235" s="32">
        <v>128</v>
      </c>
      <c r="AE2235" s="3" t="s">
        <v>355</v>
      </c>
      <c r="AF2235" s="3" t="s">
        <v>127</v>
      </c>
      <c r="AG2235" s="3"/>
      <c r="AH2235" s="3" t="s">
        <v>56</v>
      </c>
      <c r="AI2235" s="3"/>
      <c r="AJ2235" s="3"/>
      <c r="AK2235" s="3" t="str">
        <f>HYPERLINK("https://knigipp.ru/api/getInfo/item/11b32fd0-ae4d-11ef-a267-00155d82e908")</f>
        <v>https://knigipp.ru/api/getInfo/item/11b32fd0-ae4d-11ef-a267-00155d82e908</v>
      </c>
      <c r="AL2235" s="3" t="s">
        <v>9817</v>
      </c>
    </row>
    <row r="2236" spans="1:38" ht="23.1" customHeight="1" outlineLevel="2" x14ac:dyDescent="0.2">
      <c r="A2236" s="47" t="s">
        <v>9818</v>
      </c>
      <c r="B2236" s="47"/>
      <c r="C2236" s="47"/>
      <c r="D2236" s="47"/>
      <c r="E2236" s="47"/>
      <c r="F2236" s="47"/>
    </row>
    <row r="2237" spans="1:38" ht="21" customHeight="1" outlineLevel="3" x14ac:dyDescent="0.2">
      <c r="A2237" s="40">
        <v>1721</v>
      </c>
      <c r="B2237" s="6" t="s">
        <v>9819</v>
      </c>
      <c r="C2237" s="54" t="s">
        <v>9820</v>
      </c>
      <c r="D2237" s="54"/>
      <c r="E2237" s="54"/>
      <c r="F2237" s="54"/>
      <c r="G2237" s="7" t="s">
        <v>9821</v>
      </c>
      <c r="H2237" s="12"/>
      <c r="I2237" s="13" t="s">
        <v>9822</v>
      </c>
      <c r="J2237" s="14"/>
      <c r="K2237" s="15">
        <v>20</v>
      </c>
      <c r="L2237" s="14"/>
      <c r="M2237" s="14" t="s">
        <v>47</v>
      </c>
      <c r="N2237" s="14"/>
      <c r="O2237" s="5">
        <v>3</v>
      </c>
      <c r="P2237" s="23">
        <f>249*(1-S3/100)</f>
        <v>249</v>
      </c>
      <c r="Q2237" s="18"/>
      <c r="R2237" s="14">
        <f t="shared" ref="R2237:R2248" si="97">P2237*Q2237</f>
        <v>0</v>
      </c>
      <c r="S2237" s="24">
        <f>0.149*Q2237</f>
        <v>0</v>
      </c>
      <c r="T2237" s="25">
        <f>0.00021*Q2237</f>
        <v>0</v>
      </c>
      <c r="U2237" s="26" t="s">
        <v>62</v>
      </c>
      <c r="V2237" s="27" t="s">
        <v>9823</v>
      </c>
      <c r="W2237" s="27" t="s">
        <v>49</v>
      </c>
      <c r="X2237" s="6" t="s">
        <v>337</v>
      </c>
      <c r="Y2237" s="6" t="s">
        <v>9824</v>
      </c>
      <c r="Z2237" s="6" t="s">
        <v>52</v>
      </c>
      <c r="AA2237" s="6"/>
      <c r="AB2237" s="6"/>
      <c r="AC2237" s="6" t="str">
        <f>HYPERLINK("https://knigipp.ru/api/getInfo/image/07a1998c-4795-11f1-a294-00155d82e908")</f>
        <v>https://knigipp.ru/api/getInfo/image/07a1998c-4795-11f1-a294-00155d82e908</v>
      </c>
      <c r="AD2237" s="33">
        <v>24</v>
      </c>
      <c r="AE2237" s="6" t="s">
        <v>54</v>
      </c>
      <c r="AF2237" s="6" t="s">
        <v>127</v>
      </c>
      <c r="AG2237" s="6"/>
      <c r="AH2237" s="6" t="s">
        <v>56</v>
      </c>
      <c r="AI2237" s="6"/>
      <c r="AJ2237" s="6"/>
      <c r="AK2237" s="6" t="str">
        <f>HYPERLINK("https://knigipp.ru/api/getInfo/item/07a1998c-4795-11f1-a294-00155d82e908")</f>
        <v>https://knigipp.ru/api/getInfo/item/07a1998c-4795-11f1-a294-00155d82e908</v>
      </c>
      <c r="AL2237" s="6" t="s">
        <v>9825</v>
      </c>
    </row>
    <row r="2238" spans="1:38" ht="21" customHeight="1" outlineLevel="3" x14ac:dyDescent="0.2">
      <c r="A2238" s="40">
        <v>1722</v>
      </c>
      <c r="B2238" s="6" t="s">
        <v>9826</v>
      </c>
      <c r="C2238" s="54" t="s">
        <v>9827</v>
      </c>
      <c r="D2238" s="54"/>
      <c r="E2238" s="54"/>
      <c r="F2238" s="54"/>
      <c r="G2238" s="7" t="s">
        <v>9828</v>
      </c>
      <c r="H2238" s="12"/>
      <c r="I2238" s="13"/>
      <c r="J2238" s="14"/>
      <c r="K2238" s="15">
        <v>20</v>
      </c>
      <c r="L2238" s="14"/>
      <c r="M2238" s="14" t="s">
        <v>47</v>
      </c>
      <c r="N2238" s="14"/>
      <c r="O2238" s="5">
        <v>3</v>
      </c>
      <c r="P2238" s="23">
        <f>249*(1-S3/100)</f>
        <v>249</v>
      </c>
      <c r="Q2238" s="18"/>
      <c r="R2238" s="14">
        <f t="shared" si="97"/>
        <v>0</v>
      </c>
      <c r="S2238" s="24">
        <f>0.513*Q2238</f>
        <v>0</v>
      </c>
      <c r="T2238" s="25">
        <f>0.00098*Q2238</f>
        <v>0</v>
      </c>
      <c r="U2238" s="26" t="s">
        <v>62</v>
      </c>
      <c r="V2238" s="27" t="s">
        <v>9829</v>
      </c>
      <c r="W2238" s="27" t="s">
        <v>49</v>
      </c>
      <c r="X2238" s="6"/>
      <c r="Y2238" s="6" t="s">
        <v>9830</v>
      </c>
      <c r="Z2238" s="6" t="s">
        <v>52</v>
      </c>
      <c r="AA2238" s="6"/>
      <c r="AB2238" s="6"/>
      <c r="AC2238" s="6" t="str">
        <f>HYPERLINK("https://knigipp.ru/api/getInfo/image/95bb2b24-68c1-11f1-a29a-00155d82e908")</f>
        <v>https://knigipp.ru/api/getInfo/image/95bb2b24-68c1-11f1-a29a-00155d82e908</v>
      </c>
      <c r="AD2238" s="33">
        <v>24</v>
      </c>
      <c r="AE2238" s="6" t="s">
        <v>54</v>
      </c>
      <c r="AF2238" s="6" t="s">
        <v>127</v>
      </c>
      <c r="AG2238" s="6"/>
      <c r="AH2238" s="6" t="s">
        <v>56</v>
      </c>
      <c r="AI2238" s="6"/>
      <c r="AJ2238" s="6"/>
      <c r="AK2238" s="6" t="str">
        <f>HYPERLINK("https://knigipp.ru/api/getInfo/item/95bb2b24-68c1-11f1-a29a-00155d82e908")</f>
        <v>https://knigipp.ru/api/getInfo/item/95bb2b24-68c1-11f1-a29a-00155d82e908</v>
      </c>
      <c r="AL2238" s="6" t="s">
        <v>9831</v>
      </c>
    </row>
    <row r="2239" spans="1:38" ht="21" customHeight="1" outlineLevel="3" x14ac:dyDescent="0.2">
      <c r="A2239" s="40">
        <v>1723</v>
      </c>
      <c r="B2239" s="6" t="s">
        <v>9832</v>
      </c>
      <c r="C2239" s="54" t="s">
        <v>9833</v>
      </c>
      <c r="D2239" s="54"/>
      <c r="E2239" s="54"/>
      <c r="F2239" s="54"/>
      <c r="G2239" s="7" t="s">
        <v>9834</v>
      </c>
      <c r="H2239" s="12"/>
      <c r="I2239" s="13" t="s">
        <v>9835</v>
      </c>
      <c r="J2239" s="14"/>
      <c r="K2239" s="15">
        <v>20</v>
      </c>
      <c r="L2239" s="14"/>
      <c r="M2239" s="14" t="s">
        <v>47</v>
      </c>
      <c r="N2239" s="14"/>
      <c r="O2239" s="5">
        <v>3</v>
      </c>
      <c r="P2239" s="23">
        <f>249*(1-S3/100)</f>
        <v>249</v>
      </c>
      <c r="Q2239" s="18"/>
      <c r="R2239" s="14">
        <f t="shared" si="97"/>
        <v>0</v>
      </c>
      <c r="S2239" s="24">
        <f>0.144*Q2239</f>
        <v>0</v>
      </c>
      <c r="T2239" s="25">
        <f>0.00021*Q2239</f>
        <v>0</v>
      </c>
      <c r="U2239" s="26" t="s">
        <v>62</v>
      </c>
      <c r="V2239" s="27" t="s">
        <v>9836</v>
      </c>
      <c r="W2239" s="27" t="s">
        <v>49</v>
      </c>
      <c r="X2239" s="6" t="s">
        <v>8573</v>
      </c>
      <c r="Y2239" s="6" t="s">
        <v>9837</v>
      </c>
      <c r="Z2239" s="6" t="s">
        <v>52</v>
      </c>
      <c r="AA2239" s="6"/>
      <c r="AB2239" s="6"/>
      <c r="AC2239" s="6" t="str">
        <f>HYPERLINK("https://knigipp.ru/api/getInfo/image/534f80d0-4794-11f1-a294-00155d82e908")</f>
        <v>https://knigipp.ru/api/getInfo/image/534f80d0-4794-11f1-a294-00155d82e908</v>
      </c>
      <c r="AD2239" s="33">
        <v>24</v>
      </c>
      <c r="AE2239" s="6" t="s">
        <v>54</v>
      </c>
      <c r="AF2239" s="6" t="s">
        <v>127</v>
      </c>
      <c r="AG2239" s="6"/>
      <c r="AH2239" s="6" t="s">
        <v>56</v>
      </c>
      <c r="AI2239" s="6"/>
      <c r="AJ2239" s="6"/>
      <c r="AK2239" s="6" t="str">
        <f>HYPERLINK("https://knigipp.ru/api/getInfo/item/534f80d0-4794-11f1-a294-00155d82e908")</f>
        <v>https://knigipp.ru/api/getInfo/item/534f80d0-4794-11f1-a294-00155d82e908</v>
      </c>
      <c r="AL2239" s="6" t="s">
        <v>9825</v>
      </c>
    </row>
    <row r="2240" spans="1:38" ht="21" customHeight="1" outlineLevel="3" x14ac:dyDescent="0.2">
      <c r="A2240" s="39">
        <v>1724</v>
      </c>
      <c r="B2240" s="3" t="s">
        <v>9838</v>
      </c>
      <c r="C2240" s="49" t="s">
        <v>9839</v>
      </c>
      <c r="D2240" s="49"/>
      <c r="E2240" s="49"/>
      <c r="F2240" s="49"/>
      <c r="G2240" s="4" t="s">
        <v>9840</v>
      </c>
      <c r="H2240" s="8"/>
      <c r="I2240" s="9" t="s">
        <v>9841</v>
      </c>
      <c r="J2240" s="10"/>
      <c r="K2240" s="11">
        <v>20</v>
      </c>
      <c r="L2240" s="10"/>
      <c r="M2240" s="10" t="s">
        <v>47</v>
      </c>
      <c r="N2240" s="10"/>
      <c r="O2240" s="2">
        <v>3</v>
      </c>
      <c r="P2240" s="17">
        <f>249*(1-S3/100)</f>
        <v>249</v>
      </c>
      <c r="Q2240" s="18"/>
      <c r="R2240" s="10">
        <f t="shared" si="97"/>
        <v>0</v>
      </c>
      <c r="S2240" s="19">
        <f>0.146*Q2240</f>
        <v>0</v>
      </c>
      <c r="T2240" s="20">
        <f>0.00014*Q2240</f>
        <v>0</v>
      </c>
      <c r="U2240" s="21"/>
      <c r="V2240" s="22" t="s">
        <v>9842</v>
      </c>
      <c r="W2240" s="22" t="s">
        <v>49</v>
      </c>
      <c r="X2240" s="3" t="s">
        <v>982</v>
      </c>
      <c r="Y2240" s="3" t="s">
        <v>9843</v>
      </c>
      <c r="Z2240" s="3" t="s">
        <v>52</v>
      </c>
      <c r="AA2240" s="3"/>
      <c r="AB2240" s="3"/>
      <c r="AC2240" s="3" t="str">
        <f>HYPERLINK("https://knigipp.ru/api/getInfo/image/44d008d3-9ea3-11f0-a285-00155d82e908")</f>
        <v>https://knigipp.ru/api/getInfo/image/44d008d3-9ea3-11f0-a285-00155d82e908</v>
      </c>
      <c r="AD2240" s="32">
        <v>24</v>
      </c>
      <c r="AE2240" s="3" t="s">
        <v>54</v>
      </c>
      <c r="AF2240" s="3" t="s">
        <v>127</v>
      </c>
      <c r="AG2240" s="3"/>
      <c r="AH2240" s="3" t="s">
        <v>56</v>
      </c>
      <c r="AI2240" s="3"/>
      <c r="AJ2240" s="3"/>
      <c r="AK2240" s="3" t="str">
        <f>HYPERLINK("https://knigipp.ru/api/getInfo/item/44d008d3-9ea3-11f0-a285-00155d82e908")</f>
        <v>https://knigipp.ru/api/getInfo/item/44d008d3-9ea3-11f0-a285-00155d82e908</v>
      </c>
      <c r="AL2240" s="3" t="s">
        <v>9825</v>
      </c>
    </row>
    <row r="2241" spans="1:38" ht="21" customHeight="1" outlineLevel="3" x14ac:dyDescent="0.2">
      <c r="A2241" s="39">
        <v>1725</v>
      </c>
      <c r="B2241" s="3" t="s">
        <v>9844</v>
      </c>
      <c r="C2241" s="49" t="s">
        <v>9845</v>
      </c>
      <c r="D2241" s="49"/>
      <c r="E2241" s="49"/>
      <c r="F2241" s="49"/>
      <c r="G2241" s="4" t="s">
        <v>9846</v>
      </c>
      <c r="H2241" s="8"/>
      <c r="I2241" s="9" t="s">
        <v>9847</v>
      </c>
      <c r="J2241" s="10"/>
      <c r="K2241" s="11">
        <v>20</v>
      </c>
      <c r="L2241" s="10"/>
      <c r="M2241" s="10" t="s">
        <v>304</v>
      </c>
      <c r="N2241" s="10"/>
      <c r="O2241" s="2">
        <v>3</v>
      </c>
      <c r="P2241" s="17">
        <f>249*(1-S3/100)</f>
        <v>249</v>
      </c>
      <c r="Q2241" s="18"/>
      <c r="R2241" s="10">
        <f t="shared" si="97"/>
        <v>0</v>
      </c>
      <c r="S2241" s="19">
        <f>0.141*Q2241</f>
        <v>0</v>
      </c>
      <c r="T2241" s="20">
        <f>0.00027*Q2241</f>
        <v>0</v>
      </c>
      <c r="U2241" s="21"/>
      <c r="V2241" s="22" t="s">
        <v>9848</v>
      </c>
      <c r="W2241" s="22" t="s">
        <v>49</v>
      </c>
      <c r="X2241" s="3" t="s">
        <v>1198</v>
      </c>
      <c r="Y2241" s="3" t="s">
        <v>9849</v>
      </c>
      <c r="Z2241" s="3" t="s">
        <v>52</v>
      </c>
      <c r="AA2241" s="3"/>
      <c r="AB2241" s="3"/>
      <c r="AC2241" s="3" t="str">
        <f>HYPERLINK("https://knigipp.ru/api/getInfo/image/1e5310ea-9ea3-11f0-a285-00155d82e908")</f>
        <v>https://knigipp.ru/api/getInfo/image/1e5310ea-9ea3-11f0-a285-00155d82e908</v>
      </c>
      <c r="AD2241" s="32">
        <v>24</v>
      </c>
      <c r="AE2241" s="3" t="s">
        <v>54</v>
      </c>
      <c r="AF2241" s="3" t="s">
        <v>127</v>
      </c>
      <c r="AG2241" s="3"/>
      <c r="AH2241" s="3" t="s">
        <v>56</v>
      </c>
      <c r="AI2241" s="3"/>
      <c r="AJ2241" s="3"/>
      <c r="AK2241" s="3" t="str">
        <f>HYPERLINK("https://knigipp.ru/api/getInfo/item/1e5310ea-9ea3-11f0-a285-00155d82e908")</f>
        <v>https://knigipp.ru/api/getInfo/item/1e5310ea-9ea3-11f0-a285-00155d82e908</v>
      </c>
      <c r="AL2241" s="3" t="s">
        <v>9825</v>
      </c>
    </row>
    <row r="2242" spans="1:38" ht="21" customHeight="1" outlineLevel="3" x14ac:dyDescent="0.2">
      <c r="A2242" s="40">
        <v>1726</v>
      </c>
      <c r="B2242" s="6" t="s">
        <v>9850</v>
      </c>
      <c r="C2242" s="54" t="s">
        <v>9851</v>
      </c>
      <c r="D2242" s="54"/>
      <c r="E2242" s="54"/>
      <c r="F2242" s="54"/>
      <c r="G2242" s="7" t="s">
        <v>9852</v>
      </c>
      <c r="H2242" s="12"/>
      <c r="I2242" s="13"/>
      <c r="J2242" s="14"/>
      <c r="K2242" s="15">
        <v>20</v>
      </c>
      <c r="L2242" s="14"/>
      <c r="M2242" s="14" t="s">
        <v>47</v>
      </c>
      <c r="N2242" s="14"/>
      <c r="O2242" s="5">
        <v>3</v>
      </c>
      <c r="P2242" s="23">
        <f>249*(1-S3/100)</f>
        <v>249</v>
      </c>
      <c r="Q2242" s="18"/>
      <c r="R2242" s="14">
        <f t="shared" si="97"/>
        <v>0</v>
      </c>
      <c r="S2242" s="24">
        <f>0.146*Q2242</f>
        <v>0</v>
      </c>
      <c r="T2242" s="25">
        <f>0.00017*Q2242</f>
        <v>0</v>
      </c>
      <c r="U2242" s="26" t="s">
        <v>62</v>
      </c>
      <c r="V2242" s="27" t="s">
        <v>9853</v>
      </c>
      <c r="W2242" s="27" t="s">
        <v>49</v>
      </c>
      <c r="X2242" s="6" t="s">
        <v>207</v>
      </c>
      <c r="Y2242" s="6" t="s">
        <v>9854</v>
      </c>
      <c r="Z2242" s="6" t="s">
        <v>52</v>
      </c>
      <c r="AA2242" s="6"/>
      <c r="AB2242" s="6"/>
      <c r="AC2242" s="6" t="str">
        <f>HYPERLINK("https://knigipp.ru/api/getInfo/image/99e84d6f-748c-11f1-a29a-00155d82e908")</f>
        <v>https://knigipp.ru/api/getInfo/image/99e84d6f-748c-11f1-a29a-00155d82e908</v>
      </c>
      <c r="AD2242" s="33">
        <v>24</v>
      </c>
      <c r="AE2242" s="6" t="s">
        <v>54</v>
      </c>
      <c r="AF2242" s="6" t="s">
        <v>127</v>
      </c>
      <c r="AG2242" s="6"/>
      <c r="AH2242" s="6" t="s">
        <v>56</v>
      </c>
      <c r="AI2242" s="6"/>
      <c r="AJ2242" s="6"/>
      <c r="AK2242" s="6" t="str">
        <f>HYPERLINK("https://knigipp.ru/api/getInfo/item/99e84d6f-748c-11f1-a29a-00155d82e908")</f>
        <v>https://knigipp.ru/api/getInfo/item/99e84d6f-748c-11f1-a29a-00155d82e908</v>
      </c>
      <c r="AL2242" s="6" t="s">
        <v>9831</v>
      </c>
    </row>
    <row r="2243" spans="1:38" ht="21" customHeight="1" outlineLevel="3" x14ac:dyDescent="0.2">
      <c r="A2243" s="39">
        <v>1727</v>
      </c>
      <c r="B2243" s="3" t="s">
        <v>9855</v>
      </c>
      <c r="C2243" s="49" t="s">
        <v>9856</v>
      </c>
      <c r="D2243" s="49"/>
      <c r="E2243" s="49"/>
      <c r="F2243" s="49"/>
      <c r="G2243" s="4" t="s">
        <v>9857</v>
      </c>
      <c r="H2243" s="8"/>
      <c r="I2243" s="9" t="s">
        <v>9858</v>
      </c>
      <c r="J2243" s="10"/>
      <c r="K2243" s="11">
        <v>20</v>
      </c>
      <c r="L2243" s="10"/>
      <c r="M2243" s="10" t="s">
        <v>78</v>
      </c>
      <c r="N2243" s="10"/>
      <c r="O2243" s="2">
        <v>3</v>
      </c>
      <c r="P2243" s="17">
        <f>249*(1-S3/100)</f>
        <v>249</v>
      </c>
      <c r="Q2243" s="18"/>
      <c r="R2243" s="10">
        <f t="shared" si="97"/>
        <v>0</v>
      </c>
      <c r="S2243" s="19">
        <f>0.141*Q2243</f>
        <v>0</v>
      </c>
      <c r="T2243" s="20">
        <f>0.00027*Q2243</f>
        <v>0</v>
      </c>
      <c r="U2243" s="21"/>
      <c r="V2243" s="22" t="s">
        <v>9859</v>
      </c>
      <c r="W2243" s="22" t="s">
        <v>49</v>
      </c>
      <c r="X2243" s="3" t="s">
        <v>1337</v>
      </c>
      <c r="Y2243" s="3" t="s">
        <v>9860</v>
      </c>
      <c r="Z2243" s="3" t="s">
        <v>52</v>
      </c>
      <c r="AA2243" s="3"/>
      <c r="AB2243" s="3"/>
      <c r="AC2243" s="3" t="str">
        <f>HYPERLINK("https://knigipp.ru/api/getInfo/image/e3ae927b-9e09-11f0-a285-00155d82e908")</f>
        <v>https://knigipp.ru/api/getInfo/image/e3ae927b-9e09-11f0-a285-00155d82e908</v>
      </c>
      <c r="AD2243" s="32">
        <v>24</v>
      </c>
      <c r="AE2243" s="3" t="s">
        <v>54</v>
      </c>
      <c r="AF2243" s="3" t="s">
        <v>127</v>
      </c>
      <c r="AG2243" s="3"/>
      <c r="AH2243" s="3" t="s">
        <v>56</v>
      </c>
      <c r="AI2243" s="3"/>
      <c r="AJ2243" s="3"/>
      <c r="AK2243" s="3" t="str">
        <f>HYPERLINK("https://knigipp.ru/api/getInfo/item/e3ae927b-9e09-11f0-a285-00155d82e908")</f>
        <v>https://knigipp.ru/api/getInfo/item/e3ae927b-9e09-11f0-a285-00155d82e908</v>
      </c>
      <c r="AL2243" s="3" t="s">
        <v>9825</v>
      </c>
    </row>
    <row r="2244" spans="1:38" ht="21" customHeight="1" outlineLevel="3" x14ac:dyDescent="0.2">
      <c r="A2244" s="40">
        <v>1728</v>
      </c>
      <c r="B2244" s="6" t="s">
        <v>9861</v>
      </c>
      <c r="C2244" s="54" t="s">
        <v>9862</v>
      </c>
      <c r="D2244" s="54"/>
      <c r="E2244" s="54"/>
      <c r="F2244" s="54"/>
      <c r="G2244" s="7" t="s">
        <v>9863</v>
      </c>
      <c r="H2244" s="12"/>
      <c r="I2244" s="13" t="s">
        <v>9864</v>
      </c>
      <c r="J2244" s="14"/>
      <c r="K2244" s="15">
        <v>20</v>
      </c>
      <c r="L2244" s="14"/>
      <c r="M2244" s="14" t="s">
        <v>47</v>
      </c>
      <c r="N2244" s="14"/>
      <c r="O2244" s="5">
        <v>3</v>
      </c>
      <c r="P2244" s="23">
        <f>249*(1-S3/100)</f>
        <v>249</v>
      </c>
      <c r="Q2244" s="18"/>
      <c r="R2244" s="14">
        <f t="shared" si="97"/>
        <v>0</v>
      </c>
      <c r="S2244" s="24">
        <f>0.148*Q2244</f>
        <v>0</v>
      </c>
      <c r="T2244" s="25">
        <f>0.00014*Q2244</f>
        <v>0</v>
      </c>
      <c r="U2244" s="26" t="s">
        <v>62</v>
      </c>
      <c r="V2244" s="27" t="s">
        <v>9865</v>
      </c>
      <c r="W2244" s="27" t="s">
        <v>49</v>
      </c>
      <c r="X2244" s="6" t="s">
        <v>982</v>
      </c>
      <c r="Y2244" s="6" t="s">
        <v>9866</v>
      </c>
      <c r="Z2244" s="6" t="s">
        <v>52</v>
      </c>
      <c r="AA2244" s="6"/>
      <c r="AB2244" s="6"/>
      <c r="AC2244" s="6" t="str">
        <f>HYPERLINK("https://knigipp.ru/api/getInfo/image/a1dbe8b5-5b55-11f1-a295-00155d82e908")</f>
        <v>https://knigipp.ru/api/getInfo/image/a1dbe8b5-5b55-11f1-a295-00155d82e908</v>
      </c>
      <c r="AD2244" s="33">
        <v>24</v>
      </c>
      <c r="AE2244" s="6" t="s">
        <v>54</v>
      </c>
      <c r="AF2244" s="6" t="s">
        <v>127</v>
      </c>
      <c r="AG2244" s="6"/>
      <c r="AH2244" s="6" t="s">
        <v>56</v>
      </c>
      <c r="AI2244" s="6"/>
      <c r="AJ2244" s="6"/>
      <c r="AK2244" s="6" t="str">
        <f>HYPERLINK("https://knigipp.ru/api/getInfo/item/a1dbe8b5-5b55-11f1-a295-00155d82e908")</f>
        <v>https://knigipp.ru/api/getInfo/item/a1dbe8b5-5b55-11f1-a295-00155d82e908</v>
      </c>
      <c r="AL2244" s="6" t="s">
        <v>9831</v>
      </c>
    </row>
    <row r="2245" spans="1:38" ht="21" customHeight="1" outlineLevel="3" x14ac:dyDescent="0.2">
      <c r="A2245" s="40">
        <v>1729</v>
      </c>
      <c r="B2245" s="6" t="s">
        <v>9867</v>
      </c>
      <c r="C2245" s="54" t="s">
        <v>9868</v>
      </c>
      <c r="D2245" s="54"/>
      <c r="E2245" s="54"/>
      <c r="F2245" s="54"/>
      <c r="G2245" s="7" t="s">
        <v>9869</v>
      </c>
      <c r="H2245" s="12"/>
      <c r="I2245" s="13"/>
      <c r="J2245" s="14"/>
      <c r="K2245" s="15">
        <v>20</v>
      </c>
      <c r="L2245" s="14"/>
      <c r="M2245" s="14" t="s">
        <v>47</v>
      </c>
      <c r="N2245" s="14"/>
      <c r="O2245" s="5">
        <v>3</v>
      </c>
      <c r="P2245" s="23">
        <f>249*(1-S3/100)</f>
        <v>249</v>
      </c>
      <c r="Q2245" s="18"/>
      <c r="R2245" s="14">
        <f t="shared" si="97"/>
        <v>0</v>
      </c>
      <c r="S2245" s="24">
        <f>0.145*Q2245</f>
        <v>0</v>
      </c>
      <c r="T2245" s="31">
        <f>0.0002*Q2245</f>
        <v>0</v>
      </c>
      <c r="U2245" s="26" t="s">
        <v>62</v>
      </c>
      <c r="V2245" s="27" t="s">
        <v>9870</v>
      </c>
      <c r="W2245" s="27" t="s">
        <v>49</v>
      </c>
      <c r="X2245" s="6" t="s">
        <v>207</v>
      </c>
      <c r="Y2245" s="6" t="s">
        <v>9871</v>
      </c>
      <c r="Z2245" s="6" t="s">
        <v>52</v>
      </c>
      <c r="AA2245" s="6"/>
      <c r="AB2245" s="6"/>
      <c r="AC2245" s="6" t="str">
        <f>HYPERLINK("https://knigipp.ru/api/getInfo/image/60b70095-748c-11f1-a29a-00155d82e908")</f>
        <v>https://knigipp.ru/api/getInfo/image/60b70095-748c-11f1-a29a-00155d82e908</v>
      </c>
      <c r="AD2245" s="33">
        <v>24</v>
      </c>
      <c r="AE2245" s="6" t="s">
        <v>54</v>
      </c>
      <c r="AF2245" s="6" t="s">
        <v>127</v>
      </c>
      <c r="AG2245" s="6"/>
      <c r="AH2245" s="6" t="s">
        <v>56</v>
      </c>
      <c r="AI2245" s="6"/>
      <c r="AJ2245" s="6"/>
      <c r="AK2245" s="6" t="str">
        <f>HYPERLINK("https://knigipp.ru/api/getInfo/item/60b70095-748c-11f1-a29a-00155d82e908")</f>
        <v>https://knigipp.ru/api/getInfo/item/60b70095-748c-11f1-a29a-00155d82e908</v>
      </c>
      <c r="AL2245" s="6" t="s">
        <v>9831</v>
      </c>
    </row>
    <row r="2246" spans="1:38" ht="21" customHeight="1" outlineLevel="3" x14ac:dyDescent="0.2">
      <c r="A2246" s="39">
        <v>1730</v>
      </c>
      <c r="B2246" s="3" t="s">
        <v>9872</v>
      </c>
      <c r="C2246" s="49" t="s">
        <v>9873</v>
      </c>
      <c r="D2246" s="49"/>
      <c r="E2246" s="49"/>
      <c r="F2246" s="49"/>
      <c r="G2246" s="4" t="s">
        <v>9874</v>
      </c>
      <c r="H2246" s="8"/>
      <c r="I2246" s="9" t="s">
        <v>9875</v>
      </c>
      <c r="J2246" s="10"/>
      <c r="K2246" s="11">
        <v>20</v>
      </c>
      <c r="L2246" s="10"/>
      <c r="M2246" s="10" t="s">
        <v>47</v>
      </c>
      <c r="N2246" s="10"/>
      <c r="O2246" s="2">
        <v>3</v>
      </c>
      <c r="P2246" s="17">
        <f>249*(1-S3/100)</f>
        <v>249</v>
      </c>
      <c r="Q2246" s="18"/>
      <c r="R2246" s="10">
        <f t="shared" si="97"/>
        <v>0</v>
      </c>
      <c r="S2246" s="19">
        <f>0.142*Q2246</f>
        <v>0</v>
      </c>
      <c r="T2246" s="20">
        <f>0.00021*Q2246</f>
        <v>0</v>
      </c>
      <c r="U2246" s="21"/>
      <c r="V2246" s="22" t="s">
        <v>9876</v>
      </c>
      <c r="W2246" s="22" t="s">
        <v>49</v>
      </c>
      <c r="X2246" s="3" t="s">
        <v>982</v>
      </c>
      <c r="Y2246" s="3" t="s">
        <v>9877</v>
      </c>
      <c r="Z2246" s="3" t="s">
        <v>52</v>
      </c>
      <c r="AA2246" s="3"/>
      <c r="AB2246" s="3"/>
      <c r="AC2246" s="3" t="str">
        <f>HYPERLINK("https://knigipp.ru/api/getInfo/image/0be39175-9ea2-11f0-a285-00155d82e908")</f>
        <v>https://knigipp.ru/api/getInfo/image/0be39175-9ea2-11f0-a285-00155d82e908</v>
      </c>
      <c r="AD2246" s="32">
        <v>24</v>
      </c>
      <c r="AE2246" s="3" t="s">
        <v>54</v>
      </c>
      <c r="AF2246" s="3" t="s">
        <v>127</v>
      </c>
      <c r="AG2246" s="3"/>
      <c r="AH2246" s="3" t="s">
        <v>56</v>
      </c>
      <c r="AI2246" s="3"/>
      <c r="AJ2246" s="3"/>
      <c r="AK2246" s="3" t="str">
        <f>HYPERLINK("https://knigipp.ru/api/getInfo/item/0be39175-9ea2-11f0-a285-00155d82e908")</f>
        <v>https://knigipp.ru/api/getInfo/item/0be39175-9ea2-11f0-a285-00155d82e908</v>
      </c>
      <c r="AL2246" s="3" t="s">
        <v>9825</v>
      </c>
    </row>
    <row r="2247" spans="1:38" ht="21" customHeight="1" outlineLevel="3" x14ac:dyDescent="0.2">
      <c r="A2247" s="39">
        <v>1731</v>
      </c>
      <c r="B2247" s="3" t="s">
        <v>9878</v>
      </c>
      <c r="C2247" s="49" t="s">
        <v>9879</v>
      </c>
      <c r="D2247" s="49"/>
      <c r="E2247" s="49"/>
      <c r="F2247" s="49"/>
      <c r="G2247" s="4" t="s">
        <v>9880</v>
      </c>
      <c r="H2247" s="8"/>
      <c r="I2247" s="9" t="s">
        <v>9881</v>
      </c>
      <c r="J2247" s="10"/>
      <c r="K2247" s="11">
        <v>20</v>
      </c>
      <c r="L2247" s="10"/>
      <c r="M2247" s="10" t="s">
        <v>47</v>
      </c>
      <c r="N2247" s="10"/>
      <c r="O2247" s="2">
        <v>3</v>
      </c>
      <c r="P2247" s="17">
        <f>249*(1-S3/100)</f>
        <v>249</v>
      </c>
      <c r="Q2247" s="18"/>
      <c r="R2247" s="10">
        <f t="shared" si="97"/>
        <v>0</v>
      </c>
      <c r="S2247" s="19">
        <f>0.147*Q2247</f>
        <v>0</v>
      </c>
      <c r="T2247" s="20">
        <f>0.00014*Q2247</f>
        <v>0</v>
      </c>
      <c r="U2247" s="21"/>
      <c r="V2247" s="22" t="s">
        <v>9882</v>
      </c>
      <c r="W2247" s="22" t="s">
        <v>49</v>
      </c>
      <c r="X2247" s="3" t="s">
        <v>982</v>
      </c>
      <c r="Y2247" s="3" t="s">
        <v>9883</v>
      </c>
      <c r="Z2247" s="3" t="s">
        <v>52</v>
      </c>
      <c r="AA2247" s="3"/>
      <c r="AB2247" s="3"/>
      <c r="AC2247" s="3" t="str">
        <f>HYPERLINK("https://knigipp.ru/api/getInfo/image/4c53620d-9ea2-11f0-a285-00155d82e908")</f>
        <v>https://knigipp.ru/api/getInfo/image/4c53620d-9ea2-11f0-a285-00155d82e908</v>
      </c>
      <c r="AD2247" s="32">
        <v>24</v>
      </c>
      <c r="AE2247" s="3" t="s">
        <v>54</v>
      </c>
      <c r="AF2247" s="3" t="s">
        <v>127</v>
      </c>
      <c r="AG2247" s="3"/>
      <c r="AH2247" s="3" t="s">
        <v>56</v>
      </c>
      <c r="AI2247" s="3"/>
      <c r="AJ2247" s="3"/>
      <c r="AK2247" s="3" t="str">
        <f>HYPERLINK("https://knigipp.ru/api/getInfo/item/4c53620d-9ea2-11f0-a285-00155d82e908")</f>
        <v>https://knigipp.ru/api/getInfo/item/4c53620d-9ea2-11f0-a285-00155d82e908</v>
      </c>
      <c r="AL2247" s="3" t="s">
        <v>9825</v>
      </c>
    </row>
    <row r="2248" spans="1:38" ht="21" customHeight="1" outlineLevel="3" x14ac:dyDescent="0.2">
      <c r="A2248" s="39">
        <v>1732</v>
      </c>
      <c r="B2248" s="3" t="s">
        <v>9884</v>
      </c>
      <c r="C2248" s="49" t="s">
        <v>9885</v>
      </c>
      <c r="D2248" s="49"/>
      <c r="E2248" s="49"/>
      <c r="F2248" s="49"/>
      <c r="G2248" s="4" t="s">
        <v>9886</v>
      </c>
      <c r="H2248" s="8"/>
      <c r="I2248" s="9" t="s">
        <v>9887</v>
      </c>
      <c r="J2248" s="10"/>
      <c r="K2248" s="11">
        <v>20</v>
      </c>
      <c r="L2248" s="10"/>
      <c r="M2248" s="10" t="s">
        <v>47</v>
      </c>
      <c r="N2248" s="10"/>
      <c r="O2248" s="2">
        <v>3</v>
      </c>
      <c r="P2248" s="17">
        <f>249*(1-S3/100)</f>
        <v>249</v>
      </c>
      <c r="Q2248" s="18"/>
      <c r="R2248" s="10">
        <f t="shared" si="97"/>
        <v>0</v>
      </c>
      <c r="S2248" s="19">
        <f>0.146*Q2248</f>
        <v>0</v>
      </c>
      <c r="T2248" s="20">
        <f>0.00014*Q2248</f>
        <v>0</v>
      </c>
      <c r="U2248" s="21"/>
      <c r="V2248" s="22" t="s">
        <v>9888</v>
      </c>
      <c r="W2248" s="22" t="s">
        <v>49</v>
      </c>
      <c r="X2248" s="3" t="s">
        <v>982</v>
      </c>
      <c r="Y2248" s="3" t="s">
        <v>9889</v>
      </c>
      <c r="Z2248" s="3" t="s">
        <v>52</v>
      </c>
      <c r="AA2248" s="3"/>
      <c r="AB2248" s="3"/>
      <c r="AC2248" s="3" t="str">
        <f>HYPERLINK("https://knigipp.ru/api/getInfo/image/a78f41a7-9ea2-11f0-a285-00155d82e908")</f>
        <v>https://knigipp.ru/api/getInfo/image/a78f41a7-9ea2-11f0-a285-00155d82e908</v>
      </c>
      <c r="AD2248" s="32">
        <v>24</v>
      </c>
      <c r="AE2248" s="3" t="s">
        <v>54</v>
      </c>
      <c r="AF2248" s="3" t="s">
        <v>127</v>
      </c>
      <c r="AG2248" s="3"/>
      <c r="AH2248" s="3" t="s">
        <v>56</v>
      </c>
      <c r="AI2248" s="3"/>
      <c r="AJ2248" s="3"/>
      <c r="AK2248" s="3" t="str">
        <f>HYPERLINK("https://knigipp.ru/api/getInfo/item/a78f41a7-9ea2-11f0-a285-00155d82e908")</f>
        <v>https://knigipp.ru/api/getInfo/item/a78f41a7-9ea2-11f0-a285-00155d82e908</v>
      </c>
      <c r="AL2248" s="3" t="s">
        <v>9825</v>
      </c>
    </row>
    <row r="2249" spans="1:38" ht="23.1" customHeight="1" outlineLevel="2" x14ac:dyDescent="0.2">
      <c r="A2249" s="47" t="s">
        <v>9890</v>
      </c>
      <c r="B2249" s="47"/>
      <c r="C2249" s="47"/>
      <c r="D2249" s="47"/>
      <c r="E2249" s="47"/>
      <c r="F2249" s="47"/>
    </row>
    <row r="2250" spans="1:38" ht="21" customHeight="1" outlineLevel="3" x14ac:dyDescent="0.2">
      <c r="A2250" s="39">
        <v>1733</v>
      </c>
      <c r="B2250" s="3" t="s">
        <v>9891</v>
      </c>
      <c r="C2250" s="49" t="s">
        <v>9892</v>
      </c>
      <c r="D2250" s="49"/>
      <c r="E2250" s="49"/>
      <c r="F2250" s="49"/>
      <c r="G2250" s="4" t="s">
        <v>9893</v>
      </c>
      <c r="H2250" s="8"/>
      <c r="I2250" s="9"/>
      <c r="J2250" s="10"/>
      <c r="K2250" s="11">
        <v>20</v>
      </c>
      <c r="L2250" s="10"/>
      <c r="M2250" s="10" t="s">
        <v>78</v>
      </c>
      <c r="N2250" s="10"/>
      <c r="O2250" s="2">
        <v>5</v>
      </c>
      <c r="P2250" s="17">
        <f>149*(1-S3/100)</f>
        <v>149</v>
      </c>
      <c r="Q2250" s="18"/>
      <c r="R2250" s="10">
        <f>P2250*Q2250</f>
        <v>0</v>
      </c>
      <c r="S2250" s="19">
        <f>0.228*Q2250</f>
        <v>0</v>
      </c>
      <c r="T2250" s="20">
        <f>0.00043*Q2250</f>
        <v>0</v>
      </c>
      <c r="U2250" s="21"/>
      <c r="V2250" s="22" t="s">
        <v>9894</v>
      </c>
      <c r="W2250" s="22" t="s">
        <v>49</v>
      </c>
      <c r="X2250" s="3" t="s">
        <v>9895</v>
      </c>
      <c r="Y2250" s="3"/>
      <c r="Z2250" s="3" t="s">
        <v>52</v>
      </c>
      <c r="AA2250" s="3"/>
      <c r="AB2250" s="3"/>
      <c r="AC2250" s="3" t="str">
        <f>HYPERLINK("https://knigipp.ru/api/getInfo/image/93a6839e-c7a0-11eb-a207-ac1f6b442185")</f>
        <v>https://knigipp.ru/api/getInfo/image/93a6839e-c7a0-11eb-a207-ac1f6b442185</v>
      </c>
      <c r="AD2250" s="32">
        <v>64</v>
      </c>
      <c r="AE2250" s="3"/>
      <c r="AF2250" s="3" t="s">
        <v>127</v>
      </c>
      <c r="AG2250" s="3"/>
      <c r="AH2250" s="3" t="s">
        <v>56</v>
      </c>
      <c r="AI2250" s="3"/>
      <c r="AJ2250" s="3"/>
      <c r="AK2250" s="3" t="str">
        <f>HYPERLINK("https://knigipp.ru/api/getInfo/item/93a6839e-c7a0-11eb-a207-ac1f6b442185")</f>
        <v>https://knigipp.ru/api/getInfo/item/93a6839e-c7a0-11eb-a207-ac1f6b442185</v>
      </c>
      <c r="AL2250" s="3" t="s">
        <v>9896</v>
      </c>
    </row>
    <row r="2251" spans="1:38" ht="21" customHeight="1" outlineLevel="3" x14ac:dyDescent="0.2">
      <c r="A2251" s="39">
        <v>1734</v>
      </c>
      <c r="B2251" s="3" t="s">
        <v>9897</v>
      </c>
      <c r="C2251" s="49" t="s">
        <v>9898</v>
      </c>
      <c r="D2251" s="49"/>
      <c r="E2251" s="49"/>
      <c r="F2251" s="49"/>
      <c r="G2251" s="4" t="s">
        <v>9899</v>
      </c>
      <c r="H2251" s="8"/>
      <c r="I2251" s="9"/>
      <c r="J2251" s="10"/>
      <c r="K2251" s="11">
        <v>20</v>
      </c>
      <c r="L2251" s="10"/>
      <c r="M2251" s="10" t="s">
        <v>78</v>
      </c>
      <c r="N2251" s="10"/>
      <c r="O2251" s="2">
        <v>5</v>
      </c>
      <c r="P2251" s="17">
        <f>149*(1-S3/100)</f>
        <v>149</v>
      </c>
      <c r="Q2251" s="18"/>
      <c r="R2251" s="10">
        <f>P2251*Q2251</f>
        <v>0</v>
      </c>
      <c r="S2251" s="19">
        <f>0.178*Q2251</f>
        <v>0</v>
      </c>
      <c r="T2251" s="20">
        <f>0.00042*Q2251</f>
        <v>0</v>
      </c>
      <c r="U2251" s="21"/>
      <c r="V2251" s="22" t="s">
        <v>9900</v>
      </c>
      <c r="W2251" s="22" t="s">
        <v>49</v>
      </c>
      <c r="X2251" s="3"/>
      <c r="Y2251" s="3"/>
      <c r="Z2251" s="3" t="s">
        <v>52</v>
      </c>
      <c r="AA2251" s="3"/>
      <c r="AB2251" s="3"/>
      <c r="AC2251" s="3" t="str">
        <f>HYPERLINK("https://knigipp.ru/api/getInfo/image/707d5d71-c7a0-11eb-a207-ac1f6b442185")</f>
        <v>https://knigipp.ru/api/getInfo/image/707d5d71-c7a0-11eb-a207-ac1f6b442185</v>
      </c>
      <c r="AD2251" s="32">
        <v>64</v>
      </c>
      <c r="AE2251" s="3"/>
      <c r="AF2251" s="3" t="s">
        <v>127</v>
      </c>
      <c r="AG2251" s="3"/>
      <c r="AH2251" s="3" t="s">
        <v>56</v>
      </c>
      <c r="AI2251" s="3"/>
      <c r="AJ2251" s="3"/>
      <c r="AK2251" s="3" t="str">
        <f>HYPERLINK("https://knigipp.ru/api/getInfo/item/707d5d71-c7a0-11eb-a207-ac1f6b442185")</f>
        <v>https://knigipp.ru/api/getInfo/item/707d5d71-c7a0-11eb-a207-ac1f6b442185</v>
      </c>
      <c r="AL2251" s="3" t="s">
        <v>9896</v>
      </c>
    </row>
    <row r="2252" spans="1:38" ht="21" customHeight="1" outlineLevel="3" x14ac:dyDescent="0.2">
      <c r="A2252" s="39">
        <v>1735</v>
      </c>
      <c r="B2252" s="3" t="s">
        <v>9901</v>
      </c>
      <c r="C2252" s="49" t="s">
        <v>9902</v>
      </c>
      <c r="D2252" s="49"/>
      <c r="E2252" s="49"/>
      <c r="F2252" s="49"/>
      <c r="G2252" s="4" t="s">
        <v>9903</v>
      </c>
      <c r="H2252" s="8"/>
      <c r="I2252" s="9"/>
      <c r="J2252" s="10"/>
      <c r="K2252" s="11">
        <v>20</v>
      </c>
      <c r="L2252" s="10"/>
      <c r="M2252" s="10" t="s">
        <v>47</v>
      </c>
      <c r="N2252" s="10"/>
      <c r="O2252" s="2">
        <v>5</v>
      </c>
      <c r="P2252" s="17">
        <f>149*(1-S3/100)</f>
        <v>149</v>
      </c>
      <c r="Q2252" s="18"/>
      <c r="R2252" s="10">
        <f>P2252*Q2252</f>
        <v>0</v>
      </c>
      <c r="S2252" s="19">
        <f>0.178*Q2252</f>
        <v>0</v>
      </c>
      <c r="T2252" s="20">
        <f>0.00042*Q2252</f>
        <v>0</v>
      </c>
      <c r="U2252" s="21"/>
      <c r="V2252" s="22" t="s">
        <v>9904</v>
      </c>
      <c r="W2252" s="22" t="s">
        <v>49</v>
      </c>
      <c r="X2252" s="3" t="s">
        <v>117</v>
      </c>
      <c r="Y2252" s="3"/>
      <c r="Z2252" s="3" t="s">
        <v>52</v>
      </c>
      <c r="AA2252" s="3"/>
      <c r="AB2252" s="3"/>
      <c r="AC2252" s="3" t="str">
        <f>HYPERLINK("https://knigipp.ru/api/getInfo/image/ee198c8b-c79f-11eb-a207-ac1f6b442185")</f>
        <v>https://knigipp.ru/api/getInfo/image/ee198c8b-c79f-11eb-a207-ac1f6b442185</v>
      </c>
      <c r="AD2252" s="32">
        <v>64</v>
      </c>
      <c r="AE2252" s="3"/>
      <c r="AF2252" s="3" t="s">
        <v>127</v>
      </c>
      <c r="AG2252" s="3"/>
      <c r="AH2252" s="3" t="s">
        <v>56</v>
      </c>
      <c r="AI2252" s="3"/>
      <c r="AJ2252" s="3"/>
      <c r="AK2252" s="3" t="str">
        <f>HYPERLINK("https://knigipp.ru/api/getInfo/item/ee198c8b-c79f-11eb-a207-ac1f6b442185")</f>
        <v>https://knigipp.ru/api/getInfo/item/ee198c8b-c79f-11eb-a207-ac1f6b442185</v>
      </c>
      <c r="AL2252" s="3" t="s">
        <v>9896</v>
      </c>
    </row>
    <row r="2253" spans="1:38" ht="23.1" customHeight="1" outlineLevel="2" x14ac:dyDescent="0.2">
      <c r="A2253" s="47" t="s">
        <v>9905</v>
      </c>
      <c r="B2253" s="47"/>
      <c r="C2253" s="47"/>
      <c r="D2253" s="47"/>
      <c r="E2253" s="47"/>
      <c r="F2253" s="47"/>
    </row>
    <row r="2254" spans="1:38" ht="21" customHeight="1" outlineLevel="3" x14ac:dyDescent="0.2">
      <c r="A2254" s="40">
        <v>1736</v>
      </c>
      <c r="B2254" s="6" t="s">
        <v>9906</v>
      </c>
      <c r="C2254" s="54" t="s">
        <v>9907</v>
      </c>
      <c r="D2254" s="54"/>
      <c r="E2254" s="54"/>
      <c r="F2254" s="54"/>
      <c r="G2254" s="7" t="s">
        <v>9908</v>
      </c>
      <c r="H2254" s="12"/>
      <c r="I2254" s="13" t="s">
        <v>9909</v>
      </c>
      <c r="J2254" s="14"/>
      <c r="K2254" s="15">
        <v>10</v>
      </c>
      <c r="L2254" s="14"/>
      <c r="M2254" s="14" t="s">
        <v>47</v>
      </c>
      <c r="N2254" s="14"/>
      <c r="O2254" s="5">
        <v>1</v>
      </c>
      <c r="P2254" s="23">
        <f>477*(1-S3/100)</f>
        <v>477</v>
      </c>
      <c r="Q2254" s="18"/>
      <c r="R2254" s="14">
        <f>P2254*Q2254</f>
        <v>0</v>
      </c>
      <c r="S2254" s="36">
        <f>0.55*Q2254</f>
        <v>0</v>
      </c>
      <c r="T2254" s="25">
        <f>0.00098*Q2254</f>
        <v>0</v>
      </c>
      <c r="U2254" s="26" t="s">
        <v>62</v>
      </c>
      <c r="V2254" s="27" t="s">
        <v>9910</v>
      </c>
      <c r="W2254" s="27" t="s">
        <v>49</v>
      </c>
      <c r="X2254" s="6" t="s">
        <v>9134</v>
      </c>
      <c r="Y2254" s="6" t="s">
        <v>9911</v>
      </c>
      <c r="Z2254" s="6" t="s">
        <v>52</v>
      </c>
      <c r="AA2254" s="6"/>
      <c r="AB2254" s="6"/>
      <c r="AC2254" s="6" t="str">
        <f>HYPERLINK("https://knigipp.ru/api/getInfo/image/204b1b20-2cfd-11f1-a292-00155d82e908")</f>
        <v>https://knigipp.ru/api/getInfo/image/204b1b20-2cfd-11f1-a292-00155d82e908</v>
      </c>
      <c r="AD2254" s="33">
        <v>144</v>
      </c>
      <c r="AE2254" s="6" t="s">
        <v>9912</v>
      </c>
      <c r="AF2254" s="6" t="s">
        <v>127</v>
      </c>
      <c r="AG2254" s="6"/>
      <c r="AH2254" s="6" t="s">
        <v>56</v>
      </c>
      <c r="AI2254" s="6"/>
      <c r="AJ2254" s="6"/>
      <c r="AK2254" s="6" t="str">
        <f>HYPERLINK("https://knigipp.ru/api/getInfo/item/204b1b20-2cfd-11f1-a292-00155d82e908")</f>
        <v>https://knigipp.ru/api/getInfo/item/204b1b20-2cfd-11f1-a292-00155d82e908</v>
      </c>
      <c r="AL2254" s="6" t="s">
        <v>9913</v>
      </c>
    </row>
    <row r="2255" spans="1:38" ht="21" customHeight="1" outlineLevel="3" x14ac:dyDescent="0.2">
      <c r="A2255" s="40">
        <v>1737</v>
      </c>
      <c r="B2255" s="6" t="s">
        <v>9914</v>
      </c>
      <c r="C2255" s="54" t="s">
        <v>9915</v>
      </c>
      <c r="D2255" s="54"/>
      <c r="E2255" s="54"/>
      <c r="F2255" s="54"/>
      <c r="G2255" s="7" t="s">
        <v>9916</v>
      </c>
      <c r="H2255" s="12"/>
      <c r="I2255" s="13" t="s">
        <v>9917</v>
      </c>
      <c r="J2255" s="14"/>
      <c r="K2255" s="15">
        <v>10</v>
      </c>
      <c r="L2255" s="14"/>
      <c r="M2255" s="14" t="s">
        <v>47</v>
      </c>
      <c r="N2255" s="14"/>
      <c r="O2255" s="5">
        <v>1</v>
      </c>
      <c r="P2255" s="23">
        <f>477*(1-S3/100)</f>
        <v>477</v>
      </c>
      <c r="Q2255" s="18"/>
      <c r="R2255" s="14">
        <f>P2255*Q2255</f>
        <v>0</v>
      </c>
      <c r="S2255" s="24">
        <f>0.224*Q2255</f>
        <v>0</v>
      </c>
      <c r="T2255" s="25">
        <f>0.00031*Q2255</f>
        <v>0</v>
      </c>
      <c r="U2255" s="26" t="s">
        <v>62</v>
      </c>
      <c r="V2255" s="27" t="s">
        <v>9918</v>
      </c>
      <c r="W2255" s="27" t="s">
        <v>49</v>
      </c>
      <c r="X2255" s="6" t="s">
        <v>9919</v>
      </c>
      <c r="Y2255" s="6"/>
      <c r="Z2255" s="6" t="s">
        <v>52</v>
      </c>
      <c r="AA2255" s="6"/>
      <c r="AB2255" s="6"/>
      <c r="AC2255" s="6" t="str">
        <f>HYPERLINK("https://knigipp.ru/api/getInfo/image/3e627fd9-4493-11f1-a294-00155d82e908")</f>
        <v>https://knigipp.ru/api/getInfo/image/3e627fd9-4493-11f1-a294-00155d82e908</v>
      </c>
      <c r="AD2255" s="33">
        <v>128</v>
      </c>
      <c r="AE2255" s="6" t="s">
        <v>9920</v>
      </c>
      <c r="AF2255" s="6" t="s">
        <v>127</v>
      </c>
      <c r="AG2255" s="6"/>
      <c r="AH2255" s="6" t="s">
        <v>56</v>
      </c>
      <c r="AI2255" s="6"/>
      <c r="AJ2255" s="6"/>
      <c r="AK2255" s="6" t="str">
        <f>HYPERLINK("https://knigipp.ru/api/getInfo/item/3e627fd9-4493-11f1-a294-00155d82e908")</f>
        <v>https://knigipp.ru/api/getInfo/item/3e627fd9-4493-11f1-a294-00155d82e908</v>
      </c>
      <c r="AL2255" s="6" t="s">
        <v>3795</v>
      </c>
    </row>
    <row r="2256" spans="1:38" ht="21" customHeight="1" outlineLevel="3" x14ac:dyDescent="0.2">
      <c r="A2256" s="40">
        <v>1738</v>
      </c>
      <c r="B2256" s="6" t="s">
        <v>9921</v>
      </c>
      <c r="C2256" s="54" t="s">
        <v>9922</v>
      </c>
      <c r="D2256" s="54"/>
      <c r="E2256" s="54"/>
      <c r="F2256" s="54"/>
      <c r="G2256" s="7" t="s">
        <v>9923</v>
      </c>
      <c r="H2256" s="12"/>
      <c r="I2256" s="13" t="s">
        <v>9924</v>
      </c>
      <c r="J2256" s="14"/>
      <c r="K2256" s="15">
        <v>10</v>
      </c>
      <c r="L2256" s="14"/>
      <c r="M2256" s="14" t="s">
        <v>47</v>
      </c>
      <c r="N2256" s="14"/>
      <c r="O2256" s="5">
        <v>1</v>
      </c>
      <c r="P2256" s="23">
        <f>477*(1-S3/100)</f>
        <v>477</v>
      </c>
      <c r="Q2256" s="18"/>
      <c r="R2256" s="14">
        <f>P2256*Q2256</f>
        <v>0</v>
      </c>
      <c r="S2256" s="24">
        <f>0.239*Q2256</f>
        <v>0</v>
      </c>
      <c r="T2256" s="25">
        <f>0.00036*Q2256</f>
        <v>0</v>
      </c>
      <c r="U2256" s="26" t="s">
        <v>62</v>
      </c>
      <c r="V2256" s="27" t="s">
        <v>9925</v>
      </c>
      <c r="W2256" s="27" t="s">
        <v>49</v>
      </c>
      <c r="X2256" s="6" t="s">
        <v>8979</v>
      </c>
      <c r="Y2256" s="6" t="s">
        <v>9926</v>
      </c>
      <c r="Z2256" s="6" t="s">
        <v>52</v>
      </c>
      <c r="AA2256" s="6"/>
      <c r="AB2256" s="6"/>
      <c r="AC2256" s="6" t="str">
        <f>HYPERLINK("https://knigipp.ru/api/getInfo/image/09c49086-4493-11f1-a294-00155d82e908")</f>
        <v>https://knigipp.ru/api/getInfo/image/09c49086-4493-11f1-a294-00155d82e908</v>
      </c>
      <c r="AD2256" s="33">
        <v>144</v>
      </c>
      <c r="AE2256" s="6" t="s">
        <v>9920</v>
      </c>
      <c r="AF2256" s="6" t="s">
        <v>127</v>
      </c>
      <c r="AG2256" s="6"/>
      <c r="AH2256" s="6" t="s">
        <v>56</v>
      </c>
      <c r="AI2256" s="6"/>
      <c r="AJ2256" s="6"/>
      <c r="AK2256" s="6" t="str">
        <f>HYPERLINK("https://knigipp.ru/api/getInfo/item/09c49086-4493-11f1-a294-00155d82e908")</f>
        <v>https://knigipp.ru/api/getInfo/item/09c49086-4493-11f1-a294-00155d82e908</v>
      </c>
      <c r="AL2256" s="6" t="s">
        <v>9927</v>
      </c>
    </row>
    <row r="2257" spans="1:38" ht="23.1" customHeight="1" outlineLevel="2" x14ac:dyDescent="0.2">
      <c r="A2257" s="47" t="s">
        <v>9928</v>
      </c>
      <c r="B2257" s="47"/>
      <c r="C2257" s="47"/>
      <c r="D2257" s="47"/>
      <c r="E2257" s="47"/>
      <c r="F2257" s="47"/>
    </row>
    <row r="2258" spans="1:38" ht="21" customHeight="1" outlineLevel="3" x14ac:dyDescent="0.2">
      <c r="A2258" s="39">
        <v>1739</v>
      </c>
      <c r="B2258" s="3" t="s">
        <v>9929</v>
      </c>
      <c r="C2258" s="49" t="s">
        <v>9930</v>
      </c>
      <c r="D2258" s="49"/>
      <c r="E2258" s="49"/>
      <c r="F2258" s="49"/>
      <c r="G2258" s="4" t="s">
        <v>9931</v>
      </c>
      <c r="H2258" s="8"/>
      <c r="I2258" s="9" t="s">
        <v>9932</v>
      </c>
      <c r="J2258" s="10"/>
      <c r="K2258" s="11">
        <v>20</v>
      </c>
      <c r="L2258" s="10"/>
      <c r="M2258" s="10" t="s">
        <v>47</v>
      </c>
      <c r="N2258" s="10"/>
      <c r="O2258" s="2">
        <v>3</v>
      </c>
      <c r="P2258" s="17">
        <f>199*(1-S3/100)</f>
        <v>199</v>
      </c>
      <c r="Q2258" s="18"/>
      <c r="R2258" s="10">
        <f t="shared" ref="R2258:R2267" si="98">P2258*Q2258</f>
        <v>0</v>
      </c>
      <c r="S2258" s="19">
        <f>0.173*Q2258</f>
        <v>0</v>
      </c>
      <c r="T2258" s="20">
        <f>0.00062*Q2258</f>
        <v>0</v>
      </c>
      <c r="U2258" s="21"/>
      <c r="V2258" s="22" t="s">
        <v>9933</v>
      </c>
      <c r="W2258" s="22" t="s">
        <v>49</v>
      </c>
      <c r="X2258" s="3" t="s">
        <v>9181</v>
      </c>
      <c r="Y2258" s="3" t="s">
        <v>9934</v>
      </c>
      <c r="Z2258" s="3" t="s">
        <v>3329</v>
      </c>
      <c r="AA2258" s="3"/>
      <c r="AB2258" s="3"/>
      <c r="AC2258" s="3" t="str">
        <f>HYPERLINK("https://knigipp.ru/api/getInfo/image/b07d3fd3-4d5a-11ee-a244-00155d82e902")</f>
        <v>https://knigipp.ru/api/getInfo/image/b07d3fd3-4d5a-11ee-a244-00155d82e902</v>
      </c>
      <c r="AD2258" s="32">
        <v>144</v>
      </c>
      <c r="AE2258" s="3" t="s">
        <v>54</v>
      </c>
      <c r="AF2258" s="3" t="s">
        <v>55</v>
      </c>
      <c r="AG2258" s="3"/>
      <c r="AH2258" s="3" t="s">
        <v>56</v>
      </c>
      <c r="AI2258" s="3"/>
      <c r="AJ2258" s="3"/>
      <c r="AK2258" s="3" t="str">
        <f>HYPERLINK("https://knigipp.ru/api/getInfo/item/b07d3fd3-4d5a-11ee-a244-00155d82e902")</f>
        <v>https://knigipp.ru/api/getInfo/item/b07d3fd3-4d5a-11ee-a244-00155d82e902</v>
      </c>
      <c r="AL2258" s="3" t="s">
        <v>57</v>
      </c>
    </row>
    <row r="2259" spans="1:38" ht="21" customHeight="1" outlineLevel="3" x14ac:dyDescent="0.2">
      <c r="A2259" s="39">
        <v>1740</v>
      </c>
      <c r="B2259" s="3" t="s">
        <v>9935</v>
      </c>
      <c r="C2259" s="49" t="s">
        <v>9936</v>
      </c>
      <c r="D2259" s="49"/>
      <c r="E2259" s="49"/>
      <c r="F2259" s="49"/>
      <c r="G2259" s="4" t="s">
        <v>9937</v>
      </c>
      <c r="H2259" s="8"/>
      <c r="I2259" s="9" t="s">
        <v>9340</v>
      </c>
      <c r="J2259" s="10"/>
      <c r="K2259" s="11">
        <v>20</v>
      </c>
      <c r="L2259" s="10"/>
      <c r="M2259" s="10" t="s">
        <v>47</v>
      </c>
      <c r="N2259" s="10"/>
      <c r="O2259" s="2">
        <v>3</v>
      </c>
      <c r="P2259" s="17">
        <f>189*(1-S3/100)</f>
        <v>189</v>
      </c>
      <c r="Q2259" s="18"/>
      <c r="R2259" s="10">
        <f t="shared" si="98"/>
        <v>0</v>
      </c>
      <c r="S2259" s="19">
        <f>0.164*Q2259</f>
        <v>0</v>
      </c>
      <c r="T2259" s="20">
        <f>0.00057*Q2259</f>
        <v>0</v>
      </c>
      <c r="U2259" s="21"/>
      <c r="V2259" s="22" t="s">
        <v>9938</v>
      </c>
      <c r="W2259" s="22" t="s">
        <v>49</v>
      </c>
      <c r="X2259" s="3" t="s">
        <v>9342</v>
      </c>
      <c r="Y2259" s="3" t="s">
        <v>9939</v>
      </c>
      <c r="Z2259" s="3" t="s">
        <v>3329</v>
      </c>
      <c r="AA2259" s="3" t="s">
        <v>9940</v>
      </c>
      <c r="AB2259" s="3"/>
      <c r="AC2259" s="3" t="str">
        <f>HYPERLINK("https://knigipp.ru/api/getInfo/image/f2ebf1b2-4d5a-11ee-a244-00155d82e902")</f>
        <v>https://knigipp.ru/api/getInfo/image/f2ebf1b2-4d5a-11ee-a244-00155d82e902</v>
      </c>
      <c r="AD2259" s="32">
        <v>128</v>
      </c>
      <c r="AE2259" s="3" t="s">
        <v>54</v>
      </c>
      <c r="AF2259" s="3" t="s">
        <v>55</v>
      </c>
      <c r="AG2259" s="3"/>
      <c r="AH2259" s="3" t="s">
        <v>56</v>
      </c>
      <c r="AI2259" s="3"/>
      <c r="AJ2259" s="3"/>
      <c r="AK2259" s="3" t="str">
        <f>HYPERLINK("https://knigipp.ru/api/getInfo/item/f2ebf1b2-4d5a-11ee-a244-00155d82e902")</f>
        <v>https://knigipp.ru/api/getInfo/item/f2ebf1b2-4d5a-11ee-a244-00155d82e902</v>
      </c>
      <c r="AL2259" s="3" t="s">
        <v>57</v>
      </c>
    </row>
    <row r="2260" spans="1:38" ht="21" customHeight="1" outlineLevel="3" x14ac:dyDescent="0.2">
      <c r="A2260" s="39">
        <v>1741</v>
      </c>
      <c r="B2260" s="3" t="s">
        <v>9941</v>
      </c>
      <c r="C2260" s="49" t="s">
        <v>9942</v>
      </c>
      <c r="D2260" s="49"/>
      <c r="E2260" s="49"/>
      <c r="F2260" s="49"/>
      <c r="G2260" s="4" t="s">
        <v>9943</v>
      </c>
      <c r="H2260" s="8"/>
      <c r="I2260" s="9" t="s">
        <v>9944</v>
      </c>
      <c r="J2260" s="10"/>
      <c r="K2260" s="11">
        <v>20</v>
      </c>
      <c r="L2260" s="10"/>
      <c r="M2260" s="10" t="s">
        <v>47</v>
      </c>
      <c r="N2260" s="10"/>
      <c r="O2260" s="2">
        <v>3</v>
      </c>
      <c r="P2260" s="17">
        <f>189*(1-S3/100)</f>
        <v>189</v>
      </c>
      <c r="Q2260" s="18"/>
      <c r="R2260" s="10">
        <f t="shared" si="98"/>
        <v>0</v>
      </c>
      <c r="S2260" s="19">
        <f>0.197*Q2260</f>
        <v>0</v>
      </c>
      <c r="T2260" s="20">
        <f>0.00048*Q2260</f>
        <v>0</v>
      </c>
      <c r="U2260" s="21"/>
      <c r="V2260" s="22" t="s">
        <v>9945</v>
      </c>
      <c r="W2260" s="22" t="s">
        <v>49</v>
      </c>
      <c r="X2260" s="3" t="s">
        <v>9946</v>
      </c>
      <c r="Y2260" s="3" t="s">
        <v>9947</v>
      </c>
      <c r="Z2260" s="3" t="s">
        <v>384</v>
      </c>
      <c r="AA2260" s="3" t="s">
        <v>9940</v>
      </c>
      <c r="AB2260" s="3"/>
      <c r="AC2260" s="3" t="str">
        <f>HYPERLINK("https://knigipp.ru/api/getInfo/image/624f5a1f-4d59-11ee-a244-00155d82e902")</f>
        <v>https://knigipp.ru/api/getInfo/image/624f5a1f-4d59-11ee-a244-00155d82e902</v>
      </c>
      <c r="AD2260" s="32">
        <v>128</v>
      </c>
      <c r="AE2260" s="3" t="s">
        <v>54</v>
      </c>
      <c r="AF2260" s="3" t="s">
        <v>55</v>
      </c>
      <c r="AG2260" s="3"/>
      <c r="AH2260" s="3" t="s">
        <v>56</v>
      </c>
      <c r="AI2260" s="3"/>
      <c r="AJ2260" s="3"/>
      <c r="AK2260" s="3" t="str">
        <f>HYPERLINK("https://knigipp.ru/api/getInfo/item/624f5a1f-4d59-11ee-a244-00155d82e902")</f>
        <v>https://knigipp.ru/api/getInfo/item/624f5a1f-4d59-11ee-a244-00155d82e902</v>
      </c>
      <c r="AL2260" s="3" t="s">
        <v>57</v>
      </c>
    </row>
    <row r="2261" spans="1:38" ht="21" customHeight="1" outlineLevel="3" x14ac:dyDescent="0.2">
      <c r="A2261" s="39">
        <v>1742</v>
      </c>
      <c r="B2261" s="3" t="s">
        <v>9948</v>
      </c>
      <c r="C2261" s="49" t="s">
        <v>9949</v>
      </c>
      <c r="D2261" s="49"/>
      <c r="E2261" s="49"/>
      <c r="F2261" s="49"/>
      <c r="G2261" s="4" t="s">
        <v>9950</v>
      </c>
      <c r="H2261" s="8"/>
      <c r="I2261" s="9" t="s">
        <v>8831</v>
      </c>
      <c r="J2261" s="10"/>
      <c r="K2261" s="11">
        <v>20</v>
      </c>
      <c r="L2261" s="10"/>
      <c r="M2261" s="10" t="s">
        <v>47</v>
      </c>
      <c r="N2261" s="10"/>
      <c r="O2261" s="2">
        <v>4</v>
      </c>
      <c r="P2261" s="17">
        <f>159*(1-S3/100)</f>
        <v>159</v>
      </c>
      <c r="Q2261" s="18"/>
      <c r="R2261" s="10">
        <f t="shared" si="98"/>
        <v>0</v>
      </c>
      <c r="S2261" s="19">
        <f>0.128*Q2261</f>
        <v>0</v>
      </c>
      <c r="T2261" s="20">
        <f>0.00033*Q2261</f>
        <v>0</v>
      </c>
      <c r="U2261" s="21"/>
      <c r="V2261" s="22" t="s">
        <v>9951</v>
      </c>
      <c r="W2261" s="22" t="s">
        <v>49</v>
      </c>
      <c r="X2261" s="3" t="s">
        <v>8825</v>
      </c>
      <c r="Y2261" s="3" t="s">
        <v>9952</v>
      </c>
      <c r="Z2261" s="3" t="s">
        <v>384</v>
      </c>
      <c r="AA2261" s="3"/>
      <c r="AB2261" s="3"/>
      <c r="AC2261" s="3" t="str">
        <f>HYPERLINK("https://knigipp.ru/api/getInfo/image/a1b35744-c0fb-11ee-a25a-00155d82e908")</f>
        <v>https://knigipp.ru/api/getInfo/image/a1b35744-c0fb-11ee-a25a-00155d82e908</v>
      </c>
      <c r="AD2261" s="32">
        <v>80</v>
      </c>
      <c r="AE2261" s="3" t="s">
        <v>54</v>
      </c>
      <c r="AF2261" s="3" t="s">
        <v>55</v>
      </c>
      <c r="AG2261" s="3"/>
      <c r="AH2261" s="3" t="s">
        <v>56</v>
      </c>
      <c r="AI2261" s="3"/>
      <c r="AJ2261" s="3"/>
      <c r="AK2261" s="3" t="str">
        <f>HYPERLINK("https://knigipp.ru/api/getInfo/item/a1b35744-c0fb-11ee-a25a-00155d82e908")</f>
        <v>https://knigipp.ru/api/getInfo/item/a1b35744-c0fb-11ee-a25a-00155d82e908</v>
      </c>
      <c r="AL2261" s="3" t="s">
        <v>57</v>
      </c>
    </row>
    <row r="2262" spans="1:38" ht="21" customHeight="1" outlineLevel="3" x14ac:dyDescent="0.2">
      <c r="A2262" s="39">
        <v>1743</v>
      </c>
      <c r="B2262" s="3" t="s">
        <v>9953</v>
      </c>
      <c r="C2262" s="49" t="s">
        <v>9954</v>
      </c>
      <c r="D2262" s="49"/>
      <c r="E2262" s="49"/>
      <c r="F2262" s="49"/>
      <c r="G2262" s="4" t="s">
        <v>9955</v>
      </c>
      <c r="H2262" s="8"/>
      <c r="I2262" s="9" t="s">
        <v>8935</v>
      </c>
      <c r="J2262" s="10"/>
      <c r="K2262" s="11">
        <v>20</v>
      </c>
      <c r="L2262" s="10"/>
      <c r="M2262" s="10" t="s">
        <v>47</v>
      </c>
      <c r="N2262" s="10"/>
      <c r="O2262" s="2">
        <v>4</v>
      </c>
      <c r="P2262" s="17">
        <f>159*(1-S3/100)</f>
        <v>159</v>
      </c>
      <c r="Q2262" s="18"/>
      <c r="R2262" s="10">
        <f t="shared" si="98"/>
        <v>0</v>
      </c>
      <c r="S2262" s="19">
        <f>0.043*Q2262</f>
        <v>0</v>
      </c>
      <c r="T2262" s="20">
        <f>0.00009*Q2262</f>
        <v>0</v>
      </c>
      <c r="U2262" s="21"/>
      <c r="V2262" s="22" t="s">
        <v>9956</v>
      </c>
      <c r="W2262" s="22" t="s">
        <v>49</v>
      </c>
      <c r="X2262" s="3" t="s">
        <v>50</v>
      </c>
      <c r="Y2262" s="3" t="s">
        <v>9957</v>
      </c>
      <c r="Z2262" s="3" t="s">
        <v>384</v>
      </c>
      <c r="AA2262" s="3"/>
      <c r="AB2262" s="3"/>
      <c r="AC2262" s="3" t="str">
        <f>HYPERLINK("https://knigipp.ru/api/getInfo/image/75a87437-c0fb-11ee-a25a-00155d82e908")</f>
        <v>https://knigipp.ru/api/getInfo/image/75a87437-c0fb-11ee-a25a-00155d82e908</v>
      </c>
      <c r="AD2262" s="32">
        <v>80</v>
      </c>
      <c r="AE2262" s="3" t="s">
        <v>54</v>
      </c>
      <c r="AF2262" s="3" t="s">
        <v>55</v>
      </c>
      <c r="AG2262" s="3"/>
      <c r="AH2262" s="3" t="s">
        <v>56</v>
      </c>
      <c r="AI2262" s="3"/>
      <c r="AJ2262" s="3"/>
      <c r="AK2262" s="3" t="str">
        <f>HYPERLINK("https://knigipp.ru/api/getInfo/item/75a87437-c0fb-11ee-a25a-00155d82e908")</f>
        <v>https://knigipp.ru/api/getInfo/item/75a87437-c0fb-11ee-a25a-00155d82e908</v>
      </c>
      <c r="AL2262" s="3" t="s">
        <v>57</v>
      </c>
    </row>
    <row r="2263" spans="1:38" ht="21" customHeight="1" outlineLevel="3" x14ac:dyDescent="0.2">
      <c r="A2263" s="39">
        <v>1744</v>
      </c>
      <c r="B2263" s="3" t="s">
        <v>9958</v>
      </c>
      <c r="C2263" s="49" t="s">
        <v>9959</v>
      </c>
      <c r="D2263" s="49"/>
      <c r="E2263" s="49"/>
      <c r="F2263" s="49"/>
      <c r="G2263" s="4" t="s">
        <v>9960</v>
      </c>
      <c r="H2263" s="8"/>
      <c r="I2263" s="9" t="s">
        <v>8815</v>
      </c>
      <c r="J2263" s="10"/>
      <c r="K2263" s="11">
        <v>20</v>
      </c>
      <c r="L2263" s="10"/>
      <c r="M2263" s="10" t="s">
        <v>47</v>
      </c>
      <c r="N2263" s="10"/>
      <c r="O2263" s="2">
        <v>3</v>
      </c>
      <c r="P2263" s="17">
        <f>199*(1-S3/100)</f>
        <v>199</v>
      </c>
      <c r="Q2263" s="18"/>
      <c r="R2263" s="10">
        <f t="shared" si="98"/>
        <v>0</v>
      </c>
      <c r="S2263" s="19">
        <f>0.216*Q2263</f>
        <v>0</v>
      </c>
      <c r="T2263" s="20">
        <f>0.00056*Q2263</f>
        <v>0</v>
      </c>
      <c r="U2263" s="21"/>
      <c r="V2263" s="22" t="s">
        <v>9961</v>
      </c>
      <c r="W2263" s="22" t="s">
        <v>49</v>
      </c>
      <c r="X2263" s="3" t="s">
        <v>8817</v>
      </c>
      <c r="Y2263" s="3" t="s">
        <v>9962</v>
      </c>
      <c r="Z2263" s="3" t="s">
        <v>384</v>
      </c>
      <c r="AA2263" s="3" t="s">
        <v>9940</v>
      </c>
      <c r="AB2263" s="3"/>
      <c r="AC2263" s="3" t="str">
        <f>HYPERLINK("https://knigipp.ru/api/getInfo/image/829caca1-4d5a-11ee-a244-00155d82e902")</f>
        <v>https://knigipp.ru/api/getInfo/image/829caca1-4d5a-11ee-a244-00155d82e902</v>
      </c>
      <c r="AD2263" s="32">
        <v>144</v>
      </c>
      <c r="AE2263" s="3" t="s">
        <v>54</v>
      </c>
      <c r="AF2263" s="3" t="s">
        <v>55</v>
      </c>
      <c r="AG2263" s="3"/>
      <c r="AH2263" s="3" t="s">
        <v>56</v>
      </c>
      <c r="AI2263" s="3"/>
      <c r="AJ2263" s="3"/>
      <c r="AK2263" s="3" t="str">
        <f>HYPERLINK("https://knigipp.ru/api/getInfo/item/829caca1-4d5a-11ee-a244-00155d82e902")</f>
        <v>https://knigipp.ru/api/getInfo/item/829caca1-4d5a-11ee-a244-00155d82e902</v>
      </c>
      <c r="AL2263" s="3" t="s">
        <v>57</v>
      </c>
    </row>
    <row r="2264" spans="1:38" ht="21" customHeight="1" outlineLevel="3" x14ac:dyDescent="0.2">
      <c r="A2264" s="39">
        <v>1745</v>
      </c>
      <c r="B2264" s="3" t="s">
        <v>9963</v>
      </c>
      <c r="C2264" s="49" t="s">
        <v>9964</v>
      </c>
      <c r="D2264" s="49"/>
      <c r="E2264" s="49"/>
      <c r="F2264" s="49"/>
      <c r="G2264" s="4" t="s">
        <v>9965</v>
      </c>
      <c r="H2264" s="8"/>
      <c r="I2264" s="9" t="s">
        <v>9966</v>
      </c>
      <c r="J2264" s="10"/>
      <c r="K2264" s="11">
        <v>20</v>
      </c>
      <c r="L2264" s="10"/>
      <c r="M2264" s="10" t="s">
        <v>47</v>
      </c>
      <c r="N2264" s="10"/>
      <c r="O2264" s="2">
        <v>4</v>
      </c>
      <c r="P2264" s="17">
        <f>159*(1-S3/100)</f>
        <v>159</v>
      </c>
      <c r="Q2264" s="18"/>
      <c r="R2264" s="10">
        <f t="shared" si="98"/>
        <v>0</v>
      </c>
      <c r="S2264" s="28">
        <f>0.22*Q2264</f>
        <v>0</v>
      </c>
      <c r="T2264" s="30">
        <f>0.0002*Q2264</f>
        <v>0</v>
      </c>
      <c r="U2264" s="21"/>
      <c r="V2264" s="22" t="s">
        <v>9967</v>
      </c>
      <c r="W2264" s="22" t="s">
        <v>49</v>
      </c>
      <c r="X2264" s="3" t="s">
        <v>8697</v>
      </c>
      <c r="Y2264" s="3" t="s">
        <v>9968</v>
      </c>
      <c r="Z2264" s="3" t="s">
        <v>52</v>
      </c>
      <c r="AA2264" s="3"/>
      <c r="AB2264" s="3"/>
      <c r="AC2264" s="3" t="str">
        <f>HYPERLINK("https://knigipp.ru/api/getInfo/image/ba87a6c2-3550-11ef-a261-00155d82e908")</f>
        <v>https://knigipp.ru/api/getInfo/image/ba87a6c2-3550-11ef-a261-00155d82e908</v>
      </c>
      <c r="AD2264" s="32">
        <v>80</v>
      </c>
      <c r="AE2264" s="3" t="s">
        <v>54</v>
      </c>
      <c r="AF2264" s="3" t="s">
        <v>55</v>
      </c>
      <c r="AG2264" s="3"/>
      <c r="AH2264" s="3" t="s">
        <v>56</v>
      </c>
      <c r="AI2264" s="3"/>
      <c r="AJ2264" s="3"/>
      <c r="AK2264" s="3" t="str">
        <f>HYPERLINK("https://knigipp.ru/api/getInfo/item/ba87a6c2-3550-11ef-a261-00155d82e908")</f>
        <v>https://knigipp.ru/api/getInfo/item/ba87a6c2-3550-11ef-a261-00155d82e908</v>
      </c>
      <c r="AL2264" s="3" t="s">
        <v>57</v>
      </c>
    </row>
    <row r="2265" spans="1:38" ht="21" customHeight="1" outlineLevel="3" x14ac:dyDescent="0.2">
      <c r="A2265" s="39">
        <v>1746</v>
      </c>
      <c r="B2265" s="3" t="s">
        <v>9969</v>
      </c>
      <c r="C2265" s="49" t="s">
        <v>9970</v>
      </c>
      <c r="D2265" s="49"/>
      <c r="E2265" s="49"/>
      <c r="F2265" s="49"/>
      <c r="G2265" s="4" t="s">
        <v>9971</v>
      </c>
      <c r="H2265" s="8"/>
      <c r="I2265" s="9" t="s">
        <v>9972</v>
      </c>
      <c r="J2265" s="10"/>
      <c r="K2265" s="11">
        <v>20</v>
      </c>
      <c r="L2265" s="10"/>
      <c r="M2265" s="10" t="s">
        <v>47</v>
      </c>
      <c r="N2265" s="10"/>
      <c r="O2265" s="2">
        <v>4</v>
      </c>
      <c r="P2265" s="17">
        <f>159*(1-S3/100)</f>
        <v>159</v>
      </c>
      <c r="Q2265" s="18"/>
      <c r="R2265" s="10">
        <f t="shared" si="98"/>
        <v>0</v>
      </c>
      <c r="S2265" s="19">
        <f>0.222*Q2265</f>
        <v>0</v>
      </c>
      <c r="T2265" s="20">
        <f>0.00052*Q2265</f>
        <v>0</v>
      </c>
      <c r="U2265" s="21"/>
      <c r="V2265" s="22" t="s">
        <v>9973</v>
      </c>
      <c r="W2265" s="22" t="s">
        <v>49</v>
      </c>
      <c r="X2265" s="3" t="s">
        <v>9202</v>
      </c>
      <c r="Y2265" s="3" t="s">
        <v>9974</v>
      </c>
      <c r="Z2265" s="3" t="s">
        <v>384</v>
      </c>
      <c r="AA2265" s="3"/>
      <c r="AB2265" s="3"/>
      <c r="AC2265" s="3" t="str">
        <f>HYPERLINK("https://knigipp.ru/api/getInfo/image/4ce13c06-c0fa-11ee-a25a-00155d82e908")</f>
        <v>https://knigipp.ru/api/getInfo/image/4ce13c06-c0fa-11ee-a25a-00155d82e908</v>
      </c>
      <c r="AD2265" s="32">
        <v>96</v>
      </c>
      <c r="AE2265" s="3" t="s">
        <v>54</v>
      </c>
      <c r="AF2265" s="3" t="s">
        <v>55</v>
      </c>
      <c r="AG2265" s="3"/>
      <c r="AH2265" s="3" t="s">
        <v>56</v>
      </c>
      <c r="AI2265" s="3"/>
      <c r="AJ2265" s="3"/>
      <c r="AK2265" s="3" t="str">
        <f>HYPERLINK("https://knigipp.ru/api/getInfo/item/4ce13c06-c0fa-11ee-a25a-00155d82e908")</f>
        <v>https://knigipp.ru/api/getInfo/item/4ce13c06-c0fa-11ee-a25a-00155d82e908</v>
      </c>
      <c r="AL2265" s="3" t="s">
        <v>57</v>
      </c>
    </row>
    <row r="2266" spans="1:38" ht="21" customHeight="1" outlineLevel="3" x14ac:dyDescent="0.2">
      <c r="A2266" s="39">
        <v>1747</v>
      </c>
      <c r="B2266" s="3" t="s">
        <v>9975</v>
      </c>
      <c r="C2266" s="49" t="s">
        <v>9976</v>
      </c>
      <c r="D2266" s="49"/>
      <c r="E2266" s="49"/>
      <c r="F2266" s="49"/>
      <c r="G2266" s="4" t="s">
        <v>9977</v>
      </c>
      <c r="H2266" s="8"/>
      <c r="I2266" s="9" t="s">
        <v>9978</v>
      </c>
      <c r="J2266" s="10"/>
      <c r="K2266" s="11">
        <v>20</v>
      </c>
      <c r="L2266" s="10"/>
      <c r="M2266" s="10" t="s">
        <v>47</v>
      </c>
      <c r="N2266" s="10"/>
      <c r="O2266" s="2">
        <v>4</v>
      </c>
      <c r="P2266" s="17">
        <f>159*(1-S3/100)</f>
        <v>159</v>
      </c>
      <c r="Q2266" s="18"/>
      <c r="R2266" s="10">
        <f t="shared" si="98"/>
        <v>0</v>
      </c>
      <c r="S2266" s="19">
        <f>0.124*Q2266</f>
        <v>0</v>
      </c>
      <c r="T2266" s="20">
        <f>0.00029*Q2266</f>
        <v>0</v>
      </c>
      <c r="U2266" s="21"/>
      <c r="V2266" s="22" t="s">
        <v>9979</v>
      </c>
      <c r="W2266" s="22" t="s">
        <v>49</v>
      </c>
      <c r="X2266" s="3" t="s">
        <v>50</v>
      </c>
      <c r="Y2266" s="3" t="s">
        <v>9980</v>
      </c>
      <c r="Z2266" s="3" t="s">
        <v>384</v>
      </c>
      <c r="AA2266" s="3" t="s">
        <v>9940</v>
      </c>
      <c r="AB2266" s="3"/>
      <c r="AC2266" s="3" t="str">
        <f>HYPERLINK("https://knigipp.ru/api/getInfo/image/908a85ed-4d59-11ee-a244-00155d82e902")</f>
        <v>https://knigipp.ru/api/getInfo/image/908a85ed-4d59-11ee-a244-00155d82e902</v>
      </c>
      <c r="AD2266" s="32">
        <v>96</v>
      </c>
      <c r="AE2266" s="3" t="s">
        <v>54</v>
      </c>
      <c r="AF2266" s="3" t="s">
        <v>55</v>
      </c>
      <c r="AG2266" s="3"/>
      <c r="AH2266" s="3" t="s">
        <v>56</v>
      </c>
      <c r="AI2266" s="3"/>
      <c r="AJ2266" s="3"/>
      <c r="AK2266" s="3" t="str">
        <f>HYPERLINK("https://knigipp.ru/api/getInfo/item/908a85ed-4d59-11ee-a244-00155d82e902")</f>
        <v>https://knigipp.ru/api/getInfo/item/908a85ed-4d59-11ee-a244-00155d82e902</v>
      </c>
      <c r="AL2266" s="3" t="s">
        <v>57</v>
      </c>
    </row>
    <row r="2267" spans="1:38" ht="21" customHeight="1" outlineLevel="3" x14ac:dyDescent="0.2">
      <c r="A2267" s="39">
        <v>1748</v>
      </c>
      <c r="B2267" s="3" t="s">
        <v>9981</v>
      </c>
      <c r="C2267" s="49" t="s">
        <v>9982</v>
      </c>
      <c r="D2267" s="49"/>
      <c r="E2267" s="49"/>
      <c r="F2267" s="49"/>
      <c r="G2267" s="4" t="s">
        <v>9983</v>
      </c>
      <c r="H2267" s="8"/>
      <c r="I2267" s="9" t="s">
        <v>9984</v>
      </c>
      <c r="J2267" s="10"/>
      <c r="K2267" s="11">
        <v>20</v>
      </c>
      <c r="L2267" s="10"/>
      <c r="M2267" s="10" t="s">
        <v>47</v>
      </c>
      <c r="N2267" s="10"/>
      <c r="O2267" s="2">
        <v>4</v>
      </c>
      <c r="P2267" s="17">
        <f>159*(1-S3/100)</f>
        <v>159</v>
      </c>
      <c r="Q2267" s="18"/>
      <c r="R2267" s="10">
        <f t="shared" si="98"/>
        <v>0</v>
      </c>
      <c r="S2267" s="19">
        <f>0.103*Q2267</f>
        <v>0</v>
      </c>
      <c r="T2267" s="20">
        <f>0.00045*Q2267</f>
        <v>0</v>
      </c>
      <c r="U2267" s="21"/>
      <c r="V2267" s="22" t="s">
        <v>9985</v>
      </c>
      <c r="W2267" s="22" t="s">
        <v>49</v>
      </c>
      <c r="X2267" s="3" t="s">
        <v>8825</v>
      </c>
      <c r="Y2267" s="3" t="s">
        <v>9986</v>
      </c>
      <c r="Z2267" s="3"/>
      <c r="AA2267" s="3"/>
      <c r="AB2267" s="3"/>
      <c r="AC2267" s="3" t="str">
        <f>HYPERLINK("https://knigipp.ru/api/getInfo/image/f7ea056f-3550-11ef-a261-00155d82e908")</f>
        <v>https://knigipp.ru/api/getInfo/image/f7ea056f-3550-11ef-a261-00155d82e908</v>
      </c>
      <c r="AD2267" s="32">
        <v>80</v>
      </c>
      <c r="AE2267" s="3" t="s">
        <v>54</v>
      </c>
      <c r="AF2267" s="3" t="s">
        <v>55</v>
      </c>
      <c r="AG2267" s="3"/>
      <c r="AH2267" s="3" t="s">
        <v>56</v>
      </c>
      <c r="AI2267" s="3"/>
      <c r="AJ2267" s="3"/>
      <c r="AK2267" s="3" t="str">
        <f>HYPERLINK("https://knigipp.ru/api/getInfo/item/f7ea056f-3550-11ef-a261-00155d82e908")</f>
        <v>https://knigipp.ru/api/getInfo/item/f7ea056f-3550-11ef-a261-00155d82e908</v>
      </c>
      <c r="AL2267" s="3" t="s">
        <v>57</v>
      </c>
    </row>
    <row r="2268" spans="1:38" ht="23.1" customHeight="1" outlineLevel="2" x14ac:dyDescent="0.2">
      <c r="A2268" s="47" t="s">
        <v>9987</v>
      </c>
      <c r="B2268" s="47"/>
      <c r="C2268" s="47"/>
      <c r="D2268" s="47"/>
      <c r="E2268" s="47"/>
      <c r="F2268" s="47"/>
    </row>
    <row r="2269" spans="1:38" ht="23.1" customHeight="1" outlineLevel="3" x14ac:dyDescent="0.2">
      <c r="A2269" s="48" t="s">
        <v>9988</v>
      </c>
      <c r="B2269" s="48"/>
      <c r="C2269" s="48"/>
      <c r="D2269" s="48"/>
      <c r="E2269" s="48"/>
      <c r="F2269" s="48"/>
    </row>
    <row r="2270" spans="1:38" ht="21" customHeight="1" outlineLevel="4" x14ac:dyDescent="0.2">
      <c r="A2270" s="39">
        <v>1749</v>
      </c>
      <c r="B2270" s="3" t="s">
        <v>9989</v>
      </c>
      <c r="C2270" s="49" t="s">
        <v>9990</v>
      </c>
      <c r="D2270" s="49"/>
      <c r="E2270" s="49"/>
      <c r="F2270" s="49"/>
      <c r="G2270" s="4" t="s">
        <v>9991</v>
      </c>
      <c r="H2270" s="8"/>
      <c r="I2270" s="9" t="s">
        <v>9992</v>
      </c>
      <c r="J2270" s="10"/>
      <c r="K2270" s="11">
        <v>40</v>
      </c>
      <c r="L2270" s="10"/>
      <c r="M2270" s="10" t="s">
        <v>47</v>
      </c>
      <c r="N2270" s="10"/>
      <c r="O2270" s="2">
        <v>3</v>
      </c>
      <c r="P2270" s="17">
        <f>199*(1-S3/100)</f>
        <v>199</v>
      </c>
      <c r="Q2270" s="18"/>
      <c r="R2270" s="10">
        <f>P2270*Q2270</f>
        <v>0</v>
      </c>
      <c r="S2270" s="19">
        <f>0.154*Q2270</f>
        <v>0</v>
      </c>
      <c r="T2270" s="20">
        <f>0.00015*Q2270</f>
        <v>0</v>
      </c>
      <c r="U2270" s="21"/>
      <c r="V2270" s="22" t="s">
        <v>9993</v>
      </c>
      <c r="W2270" s="22" t="s">
        <v>49</v>
      </c>
      <c r="X2270" s="3" t="s">
        <v>9994</v>
      </c>
      <c r="Y2270" s="3" t="s">
        <v>9995</v>
      </c>
      <c r="Z2270" s="3" t="s">
        <v>52</v>
      </c>
      <c r="AA2270" s="3"/>
      <c r="AB2270" s="3"/>
      <c r="AC2270" s="3" t="str">
        <f>HYPERLINK("https://knigipp.ru/api/getInfo/image/31448d94-0e32-11f0-a279-00155d82e908")</f>
        <v>https://knigipp.ru/api/getInfo/image/31448d94-0e32-11f0-a279-00155d82e908</v>
      </c>
      <c r="AD2270" s="32">
        <v>32</v>
      </c>
      <c r="AE2270" s="3" t="s">
        <v>54</v>
      </c>
      <c r="AF2270" s="3" t="s">
        <v>127</v>
      </c>
      <c r="AG2270" s="3"/>
      <c r="AH2270" s="3" t="s">
        <v>56</v>
      </c>
      <c r="AI2270" s="3"/>
      <c r="AJ2270" s="3"/>
      <c r="AK2270" s="3" t="str">
        <f>HYPERLINK("https://knigipp.ru/api/getInfo/item/31448d94-0e32-11f0-a279-00155d82e908")</f>
        <v>https://knigipp.ru/api/getInfo/item/31448d94-0e32-11f0-a279-00155d82e908</v>
      </c>
      <c r="AL2270" s="3" t="s">
        <v>9499</v>
      </c>
    </row>
    <row r="2271" spans="1:38" ht="21" customHeight="1" outlineLevel="4" x14ac:dyDescent="0.2">
      <c r="A2271" s="39">
        <v>1750</v>
      </c>
      <c r="B2271" s="3" t="s">
        <v>9996</v>
      </c>
      <c r="C2271" s="49" t="s">
        <v>9997</v>
      </c>
      <c r="D2271" s="49"/>
      <c r="E2271" s="49"/>
      <c r="F2271" s="49"/>
      <c r="G2271" s="4" t="s">
        <v>9998</v>
      </c>
      <c r="H2271" s="8"/>
      <c r="I2271" s="9" t="s">
        <v>9992</v>
      </c>
      <c r="J2271" s="10"/>
      <c r="K2271" s="11">
        <v>40</v>
      </c>
      <c r="L2271" s="10"/>
      <c r="M2271" s="10" t="s">
        <v>47</v>
      </c>
      <c r="N2271" s="10"/>
      <c r="O2271" s="2">
        <v>3</v>
      </c>
      <c r="P2271" s="17">
        <f>199*(1-S3/100)</f>
        <v>199</v>
      </c>
      <c r="Q2271" s="18"/>
      <c r="R2271" s="10">
        <f>P2271*Q2271</f>
        <v>0</v>
      </c>
      <c r="S2271" s="19">
        <f>0.157*Q2271</f>
        <v>0</v>
      </c>
      <c r="T2271" s="20">
        <f>0.00015*Q2271</f>
        <v>0</v>
      </c>
      <c r="U2271" s="21"/>
      <c r="V2271" s="22" t="s">
        <v>9999</v>
      </c>
      <c r="W2271" s="22" t="s">
        <v>49</v>
      </c>
      <c r="X2271" s="3" t="s">
        <v>10000</v>
      </c>
      <c r="Y2271" s="3" t="s">
        <v>10001</v>
      </c>
      <c r="Z2271" s="3" t="s">
        <v>52</v>
      </c>
      <c r="AA2271" s="3"/>
      <c r="AB2271" s="3"/>
      <c r="AC2271" s="3" t="str">
        <f>HYPERLINK("https://knigipp.ru/api/getInfo/image/5a6dbb3c-0e32-11f0-a279-00155d82e908")</f>
        <v>https://knigipp.ru/api/getInfo/image/5a6dbb3c-0e32-11f0-a279-00155d82e908</v>
      </c>
      <c r="AD2271" s="32">
        <v>32</v>
      </c>
      <c r="AE2271" s="3" t="s">
        <v>54</v>
      </c>
      <c r="AF2271" s="3" t="s">
        <v>127</v>
      </c>
      <c r="AG2271" s="3"/>
      <c r="AH2271" s="3" t="s">
        <v>56</v>
      </c>
      <c r="AI2271" s="3"/>
      <c r="AJ2271" s="3"/>
      <c r="AK2271" s="3" t="str">
        <f>HYPERLINK("https://knigipp.ru/api/getInfo/item/5a6dbb3c-0e32-11f0-a279-00155d82e908")</f>
        <v>https://knigipp.ru/api/getInfo/item/5a6dbb3c-0e32-11f0-a279-00155d82e908</v>
      </c>
      <c r="AL2271" s="3" t="s">
        <v>9499</v>
      </c>
    </row>
    <row r="2272" spans="1:38" ht="21" customHeight="1" outlineLevel="4" x14ac:dyDescent="0.2">
      <c r="A2272" s="39">
        <v>1751</v>
      </c>
      <c r="B2272" s="3" t="s">
        <v>10002</v>
      </c>
      <c r="C2272" s="49" t="s">
        <v>10003</v>
      </c>
      <c r="D2272" s="49"/>
      <c r="E2272" s="49"/>
      <c r="F2272" s="49"/>
      <c r="G2272" s="4" t="s">
        <v>10004</v>
      </c>
      <c r="H2272" s="8"/>
      <c r="I2272" s="9" t="s">
        <v>9992</v>
      </c>
      <c r="J2272" s="10"/>
      <c r="K2272" s="11">
        <v>40</v>
      </c>
      <c r="L2272" s="10"/>
      <c r="M2272" s="10" t="s">
        <v>47</v>
      </c>
      <c r="N2272" s="10"/>
      <c r="O2272" s="2">
        <v>3</v>
      </c>
      <c r="P2272" s="17">
        <f>199*(1-S3/100)</f>
        <v>199</v>
      </c>
      <c r="Q2272" s="18"/>
      <c r="R2272" s="10">
        <f>P2272*Q2272</f>
        <v>0</v>
      </c>
      <c r="S2272" s="19">
        <f>0.143*Q2272</f>
        <v>0</v>
      </c>
      <c r="T2272" s="20">
        <f>0.00015*Q2272</f>
        <v>0</v>
      </c>
      <c r="U2272" s="21"/>
      <c r="V2272" s="22" t="s">
        <v>10005</v>
      </c>
      <c r="W2272" s="22" t="s">
        <v>49</v>
      </c>
      <c r="X2272" s="3" t="s">
        <v>10006</v>
      </c>
      <c r="Y2272" s="3" t="s">
        <v>10007</v>
      </c>
      <c r="Z2272" s="3" t="s">
        <v>52</v>
      </c>
      <c r="AA2272" s="3"/>
      <c r="AB2272" s="3"/>
      <c r="AC2272" s="3" t="str">
        <f>HYPERLINK("https://knigipp.ru/api/getInfo/image/95ae3bbd-0e32-11f0-a279-00155d82e908")</f>
        <v>https://knigipp.ru/api/getInfo/image/95ae3bbd-0e32-11f0-a279-00155d82e908</v>
      </c>
      <c r="AD2272" s="32">
        <v>32</v>
      </c>
      <c r="AE2272" s="3" t="s">
        <v>54</v>
      </c>
      <c r="AF2272" s="3" t="s">
        <v>127</v>
      </c>
      <c r="AG2272" s="3"/>
      <c r="AH2272" s="3" t="s">
        <v>56</v>
      </c>
      <c r="AI2272" s="3"/>
      <c r="AJ2272" s="3"/>
      <c r="AK2272" s="3" t="str">
        <f>HYPERLINK("https://knigipp.ru/api/getInfo/item/95ae3bbd-0e32-11f0-a279-00155d82e908")</f>
        <v>https://knigipp.ru/api/getInfo/item/95ae3bbd-0e32-11f0-a279-00155d82e908</v>
      </c>
      <c r="AL2272" s="3" t="s">
        <v>9499</v>
      </c>
    </row>
    <row r="2273" spans="1:38" ht="21" customHeight="1" outlineLevel="4" x14ac:dyDescent="0.2">
      <c r="A2273" s="39">
        <v>1752</v>
      </c>
      <c r="B2273" s="3" t="s">
        <v>10008</v>
      </c>
      <c r="C2273" s="49" t="s">
        <v>10009</v>
      </c>
      <c r="D2273" s="49"/>
      <c r="E2273" s="49"/>
      <c r="F2273" s="49"/>
      <c r="G2273" s="4" t="s">
        <v>10010</v>
      </c>
      <c r="H2273" s="8"/>
      <c r="I2273" s="9" t="s">
        <v>9992</v>
      </c>
      <c r="J2273" s="10"/>
      <c r="K2273" s="11">
        <v>40</v>
      </c>
      <c r="L2273" s="10"/>
      <c r="M2273" s="10" t="s">
        <v>47</v>
      </c>
      <c r="N2273" s="10"/>
      <c r="O2273" s="2">
        <v>3</v>
      </c>
      <c r="P2273" s="17">
        <f>199*(1-S3/100)</f>
        <v>199</v>
      </c>
      <c r="Q2273" s="18"/>
      <c r="R2273" s="10">
        <f>P2273*Q2273</f>
        <v>0</v>
      </c>
      <c r="S2273" s="19">
        <f>0.145*Q2273</f>
        <v>0</v>
      </c>
      <c r="T2273" s="20">
        <f>0.00036*Q2273</f>
        <v>0</v>
      </c>
      <c r="U2273" s="21"/>
      <c r="V2273" s="22" t="s">
        <v>10011</v>
      </c>
      <c r="W2273" s="22" t="s">
        <v>49</v>
      </c>
      <c r="X2273" s="3" t="s">
        <v>10012</v>
      </c>
      <c r="Y2273" s="3" t="s">
        <v>10013</v>
      </c>
      <c r="Z2273" s="3" t="s">
        <v>52</v>
      </c>
      <c r="AA2273" s="3"/>
      <c r="AB2273" s="3"/>
      <c r="AC2273" s="3" t="str">
        <f>HYPERLINK("https://knigipp.ru/api/getInfo/image/b740b441-0e32-11f0-a279-00155d82e908")</f>
        <v>https://knigipp.ru/api/getInfo/image/b740b441-0e32-11f0-a279-00155d82e908</v>
      </c>
      <c r="AD2273" s="32">
        <v>32</v>
      </c>
      <c r="AE2273" s="3" t="s">
        <v>54</v>
      </c>
      <c r="AF2273" s="3" t="s">
        <v>127</v>
      </c>
      <c r="AG2273" s="3"/>
      <c r="AH2273" s="3" t="s">
        <v>56</v>
      </c>
      <c r="AI2273" s="3"/>
      <c r="AJ2273" s="3"/>
      <c r="AK2273" s="3" t="str">
        <f>HYPERLINK("https://knigipp.ru/api/getInfo/item/b740b441-0e32-11f0-a279-00155d82e908")</f>
        <v>https://knigipp.ru/api/getInfo/item/b740b441-0e32-11f0-a279-00155d82e908</v>
      </c>
      <c r="AL2273" s="3" t="s">
        <v>9499</v>
      </c>
    </row>
    <row r="2274" spans="1:38" ht="23.1" customHeight="1" outlineLevel="3" x14ac:dyDescent="0.2">
      <c r="A2274" s="48" t="s">
        <v>10014</v>
      </c>
      <c r="B2274" s="48"/>
      <c r="C2274" s="48"/>
      <c r="D2274" s="48"/>
      <c r="E2274" s="48"/>
      <c r="F2274" s="48"/>
    </row>
    <row r="2275" spans="1:38" ht="21" customHeight="1" outlineLevel="4" x14ac:dyDescent="0.2">
      <c r="A2275" s="39">
        <v>1753</v>
      </c>
      <c r="B2275" s="3" t="s">
        <v>10015</v>
      </c>
      <c r="C2275" s="49" t="s">
        <v>10016</v>
      </c>
      <c r="D2275" s="49"/>
      <c r="E2275" s="49"/>
      <c r="F2275" s="49"/>
      <c r="G2275" s="4" t="s">
        <v>10017</v>
      </c>
      <c r="H2275" s="8"/>
      <c r="I2275" s="9" t="s">
        <v>10018</v>
      </c>
      <c r="J2275" s="10"/>
      <c r="K2275" s="11">
        <v>40</v>
      </c>
      <c r="L2275" s="10"/>
      <c r="M2275" s="10" t="s">
        <v>78</v>
      </c>
      <c r="N2275" s="10"/>
      <c r="O2275" s="2">
        <v>3</v>
      </c>
      <c r="P2275" s="17">
        <f>199*(1-S3/100)</f>
        <v>199</v>
      </c>
      <c r="Q2275" s="18"/>
      <c r="R2275" s="10">
        <f>P2275*Q2275</f>
        <v>0</v>
      </c>
      <c r="S2275" s="19">
        <f>0.161*Q2275</f>
        <v>0</v>
      </c>
      <c r="T2275" s="20">
        <f>0.00037*Q2275</f>
        <v>0</v>
      </c>
      <c r="U2275" s="21"/>
      <c r="V2275" s="22" t="s">
        <v>10019</v>
      </c>
      <c r="W2275" s="22" t="s">
        <v>49</v>
      </c>
      <c r="X2275" s="3"/>
      <c r="Y2275" s="3"/>
      <c r="Z2275" s="3" t="s">
        <v>52</v>
      </c>
      <c r="AA2275" s="3" t="s">
        <v>10020</v>
      </c>
      <c r="AB2275" s="3"/>
      <c r="AC2275" s="3" t="str">
        <f>HYPERLINK("https://knigipp.ru/api/getInfo/image/dfbdcb78-0365-11e4-98b8-5cf3fc4a2490")</f>
        <v>https://knigipp.ru/api/getInfo/image/dfbdcb78-0365-11e4-98b8-5cf3fc4a2490</v>
      </c>
      <c r="AD2275" s="32">
        <v>32</v>
      </c>
      <c r="AE2275" s="3"/>
      <c r="AF2275" s="3" t="s">
        <v>127</v>
      </c>
      <c r="AG2275" s="3"/>
      <c r="AH2275" s="3" t="s">
        <v>56</v>
      </c>
      <c r="AI2275" s="3"/>
      <c r="AJ2275" s="3" t="s">
        <v>10021</v>
      </c>
      <c r="AK2275" s="3" t="str">
        <f>HYPERLINK("https://knigipp.ru/api/getInfo/item/dfbdcb78-0365-11e4-98b8-5cf3fc4a2490")</f>
        <v>https://knigipp.ru/api/getInfo/item/dfbdcb78-0365-11e4-98b8-5cf3fc4a2490</v>
      </c>
      <c r="AL2275" s="3" t="s">
        <v>10022</v>
      </c>
    </row>
    <row r="2276" spans="1:38" ht="21" customHeight="1" outlineLevel="4" x14ac:dyDescent="0.2">
      <c r="A2276" s="39">
        <v>1754</v>
      </c>
      <c r="B2276" s="3" t="s">
        <v>10023</v>
      </c>
      <c r="C2276" s="49" t="s">
        <v>10024</v>
      </c>
      <c r="D2276" s="49"/>
      <c r="E2276" s="49"/>
      <c r="F2276" s="49"/>
      <c r="G2276" s="4" t="s">
        <v>10025</v>
      </c>
      <c r="H2276" s="8"/>
      <c r="I2276" s="9" t="s">
        <v>10026</v>
      </c>
      <c r="J2276" s="10"/>
      <c r="K2276" s="11">
        <v>40</v>
      </c>
      <c r="L2276" s="10"/>
      <c r="M2276" s="10" t="s">
        <v>78</v>
      </c>
      <c r="N2276" s="10"/>
      <c r="O2276" s="2">
        <v>3</v>
      </c>
      <c r="P2276" s="17">
        <f>199*(1-S3/100)</f>
        <v>199</v>
      </c>
      <c r="Q2276" s="18"/>
      <c r="R2276" s="10">
        <f>P2276*Q2276</f>
        <v>0</v>
      </c>
      <c r="S2276" s="19">
        <f>0.156*Q2276</f>
        <v>0</v>
      </c>
      <c r="T2276" s="20">
        <f>0.00021*Q2276</f>
        <v>0</v>
      </c>
      <c r="U2276" s="21"/>
      <c r="V2276" s="22" t="s">
        <v>10027</v>
      </c>
      <c r="W2276" s="22" t="s">
        <v>49</v>
      </c>
      <c r="X2276" s="3"/>
      <c r="Y2276" s="3" t="s">
        <v>10028</v>
      </c>
      <c r="Z2276" s="3" t="s">
        <v>52</v>
      </c>
      <c r="AA2276" s="3" t="s">
        <v>10029</v>
      </c>
      <c r="AB2276" s="3"/>
      <c r="AC2276" s="3" t="str">
        <f>HYPERLINK("https://knigipp.ru/api/getInfo/image/4e60ac12-0364-11e4-98b8-5cf3fc4a2490")</f>
        <v>https://knigipp.ru/api/getInfo/image/4e60ac12-0364-11e4-98b8-5cf3fc4a2490</v>
      </c>
      <c r="AD2276" s="32">
        <v>32</v>
      </c>
      <c r="AE2276" s="3"/>
      <c r="AF2276" s="3" t="s">
        <v>127</v>
      </c>
      <c r="AG2276" s="3"/>
      <c r="AH2276" s="3" t="s">
        <v>56</v>
      </c>
      <c r="AI2276" s="3"/>
      <c r="AJ2276" s="3" t="s">
        <v>10021</v>
      </c>
      <c r="AK2276" s="3" t="str">
        <f>HYPERLINK("https://knigipp.ru/api/getInfo/item/4e60ac12-0364-11e4-98b8-5cf3fc4a2490")</f>
        <v>https://knigipp.ru/api/getInfo/item/4e60ac12-0364-11e4-98b8-5cf3fc4a2490</v>
      </c>
      <c r="AL2276" s="3" t="s">
        <v>10022</v>
      </c>
    </row>
    <row r="2277" spans="1:38" ht="21" customHeight="1" outlineLevel="4" x14ac:dyDescent="0.2">
      <c r="A2277" s="39">
        <v>1755</v>
      </c>
      <c r="B2277" s="3" t="s">
        <v>10030</v>
      </c>
      <c r="C2277" s="49" t="s">
        <v>10031</v>
      </c>
      <c r="D2277" s="49"/>
      <c r="E2277" s="49"/>
      <c r="F2277" s="49"/>
      <c r="G2277" s="4" t="s">
        <v>10032</v>
      </c>
      <c r="H2277" s="8"/>
      <c r="I2277" s="9" t="s">
        <v>10033</v>
      </c>
      <c r="J2277" s="10"/>
      <c r="K2277" s="11">
        <v>40</v>
      </c>
      <c r="L2277" s="10"/>
      <c r="M2277" s="10" t="s">
        <v>78</v>
      </c>
      <c r="N2277" s="10"/>
      <c r="O2277" s="2">
        <v>3</v>
      </c>
      <c r="P2277" s="17">
        <f>199*(1-S3/100)</f>
        <v>199</v>
      </c>
      <c r="Q2277" s="18"/>
      <c r="R2277" s="10">
        <f>P2277*Q2277</f>
        <v>0</v>
      </c>
      <c r="S2277" s="19">
        <f>0.151*Q2277</f>
        <v>0</v>
      </c>
      <c r="T2277" s="20">
        <f>0.00038*Q2277</f>
        <v>0</v>
      </c>
      <c r="U2277" s="21"/>
      <c r="V2277" s="22" t="s">
        <v>10034</v>
      </c>
      <c r="W2277" s="22" t="s">
        <v>49</v>
      </c>
      <c r="X2277" s="3"/>
      <c r="Y2277" s="3" t="s">
        <v>10035</v>
      </c>
      <c r="Z2277" s="3" t="s">
        <v>52</v>
      </c>
      <c r="AA2277" s="3" t="s">
        <v>10036</v>
      </c>
      <c r="AB2277" s="3"/>
      <c r="AC2277" s="3" t="str">
        <f>HYPERLINK("https://knigipp.ru/api/getInfo/image/120f3b68-0367-11e4-98b8-5cf3fc4a2490")</f>
        <v>https://knigipp.ru/api/getInfo/image/120f3b68-0367-11e4-98b8-5cf3fc4a2490</v>
      </c>
      <c r="AD2277" s="32">
        <v>32</v>
      </c>
      <c r="AE2277" s="3"/>
      <c r="AF2277" s="3" t="s">
        <v>127</v>
      </c>
      <c r="AG2277" s="3"/>
      <c r="AH2277" s="3" t="s">
        <v>56</v>
      </c>
      <c r="AI2277" s="3"/>
      <c r="AJ2277" s="3" t="s">
        <v>10021</v>
      </c>
      <c r="AK2277" s="3" t="str">
        <f>HYPERLINK("https://knigipp.ru/api/getInfo/item/120f3b68-0367-11e4-98b8-5cf3fc4a2490")</f>
        <v>https://knigipp.ru/api/getInfo/item/120f3b68-0367-11e4-98b8-5cf3fc4a2490</v>
      </c>
      <c r="AL2277" s="3" t="s">
        <v>10022</v>
      </c>
    </row>
    <row r="2278" spans="1:38" ht="21" customHeight="1" outlineLevel="4" x14ac:dyDescent="0.2">
      <c r="A2278" s="39">
        <v>1756</v>
      </c>
      <c r="B2278" s="3" t="s">
        <v>10037</v>
      </c>
      <c r="C2278" s="49" t="s">
        <v>10038</v>
      </c>
      <c r="D2278" s="49"/>
      <c r="E2278" s="49"/>
      <c r="F2278" s="49"/>
      <c r="G2278" s="4" t="s">
        <v>10039</v>
      </c>
      <c r="H2278" s="8"/>
      <c r="I2278" s="9" t="s">
        <v>10040</v>
      </c>
      <c r="J2278" s="10"/>
      <c r="K2278" s="11">
        <v>40</v>
      </c>
      <c r="L2278" s="10"/>
      <c r="M2278" s="10" t="s">
        <v>78</v>
      </c>
      <c r="N2278" s="10"/>
      <c r="O2278" s="2">
        <v>3</v>
      </c>
      <c r="P2278" s="17">
        <f>199*(1-S3/100)</f>
        <v>199</v>
      </c>
      <c r="Q2278" s="18"/>
      <c r="R2278" s="10">
        <f>P2278*Q2278</f>
        <v>0</v>
      </c>
      <c r="S2278" s="19">
        <f>0.151*Q2278</f>
        <v>0</v>
      </c>
      <c r="T2278" s="20">
        <f>0.00051*Q2278</f>
        <v>0</v>
      </c>
      <c r="U2278" s="21"/>
      <c r="V2278" s="22" t="s">
        <v>10041</v>
      </c>
      <c r="W2278" s="22" t="s">
        <v>49</v>
      </c>
      <c r="X2278" s="3" t="s">
        <v>10042</v>
      </c>
      <c r="Y2278" s="3" t="s">
        <v>10043</v>
      </c>
      <c r="Z2278" s="3" t="s">
        <v>52</v>
      </c>
      <c r="AA2278" s="3" t="s">
        <v>3262</v>
      </c>
      <c r="AB2278" s="3"/>
      <c r="AC2278" s="3" t="str">
        <f>HYPERLINK("https://knigipp.ru/api/getInfo/image/91e1906f-0367-11e4-98b8-5cf3fc4a2490")</f>
        <v>https://knigipp.ru/api/getInfo/image/91e1906f-0367-11e4-98b8-5cf3fc4a2490</v>
      </c>
      <c r="AD2278" s="32">
        <v>32</v>
      </c>
      <c r="AE2278" s="3"/>
      <c r="AF2278" s="3" t="s">
        <v>127</v>
      </c>
      <c r="AG2278" s="3"/>
      <c r="AH2278" s="3" t="s">
        <v>56</v>
      </c>
      <c r="AI2278" s="3"/>
      <c r="AJ2278" s="3" t="s">
        <v>10021</v>
      </c>
      <c r="AK2278" s="3" t="str">
        <f>HYPERLINK("https://knigipp.ru/api/getInfo/item/91e1906f-0367-11e4-98b8-5cf3fc4a2490")</f>
        <v>https://knigipp.ru/api/getInfo/item/91e1906f-0367-11e4-98b8-5cf3fc4a2490</v>
      </c>
      <c r="AL2278" s="3" t="s">
        <v>10022</v>
      </c>
    </row>
    <row r="2279" spans="1:38" ht="23.1" customHeight="1" outlineLevel="3" x14ac:dyDescent="0.2">
      <c r="A2279" s="48" t="s">
        <v>10044</v>
      </c>
      <c r="B2279" s="48"/>
      <c r="C2279" s="48"/>
      <c r="D2279" s="48"/>
      <c r="E2279" s="48"/>
      <c r="F2279" s="48"/>
    </row>
    <row r="2280" spans="1:38" ht="21" customHeight="1" outlineLevel="4" x14ac:dyDescent="0.2">
      <c r="A2280" s="39">
        <v>1757</v>
      </c>
      <c r="B2280" s="3" t="s">
        <v>10045</v>
      </c>
      <c r="C2280" s="49" t="s">
        <v>10046</v>
      </c>
      <c r="D2280" s="49"/>
      <c r="E2280" s="49"/>
      <c r="F2280" s="49"/>
      <c r="G2280" s="4" t="s">
        <v>10047</v>
      </c>
      <c r="H2280" s="8"/>
      <c r="I2280" s="9" t="s">
        <v>10048</v>
      </c>
      <c r="J2280" s="10"/>
      <c r="K2280" s="11">
        <v>10</v>
      </c>
      <c r="L2280" s="10"/>
      <c r="M2280" s="10" t="s">
        <v>47</v>
      </c>
      <c r="N2280" s="10"/>
      <c r="O2280" s="2">
        <v>1</v>
      </c>
      <c r="P2280" s="17">
        <f>747*(1-S3/100)</f>
        <v>747</v>
      </c>
      <c r="Q2280" s="18"/>
      <c r="R2280" s="10">
        <f t="shared" ref="R2280:R2288" si="99">P2280*Q2280</f>
        <v>0</v>
      </c>
      <c r="S2280" s="19">
        <f>0.373*Q2280</f>
        <v>0</v>
      </c>
      <c r="T2280" s="20">
        <f>0.00085*Q2280</f>
        <v>0</v>
      </c>
      <c r="U2280" s="21"/>
      <c r="V2280" s="22" t="s">
        <v>10049</v>
      </c>
      <c r="W2280" s="22" t="s">
        <v>49</v>
      </c>
      <c r="X2280" s="3"/>
      <c r="Y2280" s="3" t="s">
        <v>10050</v>
      </c>
      <c r="Z2280" s="3" t="s">
        <v>52</v>
      </c>
      <c r="AA2280" s="3"/>
      <c r="AB2280" s="3"/>
      <c r="AC2280" s="3" t="str">
        <f>HYPERLINK("https://knigipp.ru/api/getInfo/image/a2214bd0-3552-11ef-a261-00155d82e908")</f>
        <v>https://knigipp.ru/api/getInfo/image/a2214bd0-3552-11ef-a261-00155d82e908</v>
      </c>
      <c r="AD2280" s="32">
        <v>288</v>
      </c>
      <c r="AE2280" s="3" t="s">
        <v>329</v>
      </c>
      <c r="AF2280" s="3" t="s">
        <v>127</v>
      </c>
      <c r="AG2280" s="3"/>
      <c r="AH2280" s="3" t="s">
        <v>56</v>
      </c>
      <c r="AI2280" s="3"/>
      <c r="AJ2280" s="3" t="s">
        <v>330</v>
      </c>
      <c r="AK2280" s="3" t="str">
        <f>HYPERLINK("https://knigipp.ru/api/getInfo/item/a2214bd0-3552-11ef-a261-00155d82e908")</f>
        <v>https://knigipp.ru/api/getInfo/item/a2214bd0-3552-11ef-a261-00155d82e908</v>
      </c>
      <c r="AL2280" s="3" t="s">
        <v>331</v>
      </c>
    </row>
    <row r="2281" spans="1:38" ht="21" customHeight="1" outlineLevel="4" x14ac:dyDescent="0.2">
      <c r="A2281" s="39">
        <v>1758</v>
      </c>
      <c r="B2281" s="3" t="s">
        <v>10051</v>
      </c>
      <c r="C2281" s="49" t="s">
        <v>10052</v>
      </c>
      <c r="D2281" s="49"/>
      <c r="E2281" s="49"/>
      <c r="F2281" s="49"/>
      <c r="G2281" s="4" t="s">
        <v>10053</v>
      </c>
      <c r="H2281" s="8"/>
      <c r="I2281" s="9" t="s">
        <v>10054</v>
      </c>
      <c r="J2281" s="10"/>
      <c r="K2281" s="11">
        <v>10</v>
      </c>
      <c r="L2281" s="10"/>
      <c r="M2281" s="10" t="s">
        <v>47</v>
      </c>
      <c r="N2281" s="10"/>
      <c r="O2281" s="2">
        <v>1</v>
      </c>
      <c r="P2281" s="17">
        <f>747*(1-S3/100)</f>
        <v>747</v>
      </c>
      <c r="Q2281" s="18"/>
      <c r="R2281" s="10">
        <f t="shared" si="99"/>
        <v>0</v>
      </c>
      <c r="S2281" s="19">
        <f>0.409*Q2281</f>
        <v>0</v>
      </c>
      <c r="T2281" s="30">
        <f>0.0012*Q2281</f>
        <v>0</v>
      </c>
      <c r="U2281" s="21"/>
      <c r="V2281" s="22" t="s">
        <v>10055</v>
      </c>
      <c r="W2281" s="22" t="s">
        <v>49</v>
      </c>
      <c r="X2281" s="3" t="s">
        <v>10056</v>
      </c>
      <c r="Y2281" s="3"/>
      <c r="Z2281" s="3" t="s">
        <v>52</v>
      </c>
      <c r="AA2281" s="3"/>
      <c r="AB2281" s="3"/>
      <c r="AC2281" s="3" t="str">
        <f>HYPERLINK("https://knigipp.ru/api/getInfo/image/924f1eb6-98d9-11e9-a227-ac1f6b442184")</f>
        <v>https://knigipp.ru/api/getInfo/image/924f1eb6-98d9-11e9-a227-ac1f6b442184</v>
      </c>
      <c r="AD2281" s="32">
        <v>320</v>
      </c>
      <c r="AE2281" s="3" t="s">
        <v>329</v>
      </c>
      <c r="AF2281" s="3" t="s">
        <v>127</v>
      </c>
      <c r="AG2281" s="3"/>
      <c r="AH2281" s="3" t="s">
        <v>56</v>
      </c>
      <c r="AI2281" s="3"/>
      <c r="AJ2281" s="3"/>
      <c r="AK2281" s="3" t="str">
        <f>HYPERLINK("https://knigipp.ru/api/getInfo/item/924f1eb6-98d9-11e9-a227-ac1f6b442184")</f>
        <v>https://knigipp.ru/api/getInfo/item/924f1eb6-98d9-11e9-a227-ac1f6b442184</v>
      </c>
      <c r="AL2281" s="3" t="s">
        <v>331</v>
      </c>
    </row>
    <row r="2282" spans="1:38" ht="21" customHeight="1" outlineLevel="4" x14ac:dyDescent="0.2">
      <c r="A2282" s="39">
        <v>1759</v>
      </c>
      <c r="B2282" s="3" t="s">
        <v>10057</v>
      </c>
      <c r="C2282" s="49" t="s">
        <v>10058</v>
      </c>
      <c r="D2282" s="49"/>
      <c r="E2282" s="49"/>
      <c r="F2282" s="49"/>
      <c r="G2282" s="4" t="s">
        <v>10059</v>
      </c>
      <c r="H2282" s="8"/>
      <c r="I2282" s="9" t="s">
        <v>10060</v>
      </c>
      <c r="J2282" s="10"/>
      <c r="K2282" s="11">
        <v>10</v>
      </c>
      <c r="L2282" s="10"/>
      <c r="M2282" s="10" t="s">
        <v>47</v>
      </c>
      <c r="N2282" s="10"/>
      <c r="O2282" s="2">
        <v>1</v>
      </c>
      <c r="P2282" s="17">
        <f>747*(1-S3/100)</f>
        <v>747</v>
      </c>
      <c r="Q2282" s="18"/>
      <c r="R2282" s="10">
        <f t="shared" si="99"/>
        <v>0</v>
      </c>
      <c r="S2282" s="19">
        <f>0.399*Q2282</f>
        <v>0</v>
      </c>
      <c r="T2282" s="20">
        <f>0.00088*Q2282</f>
        <v>0</v>
      </c>
      <c r="U2282" s="21"/>
      <c r="V2282" s="22" t="s">
        <v>10061</v>
      </c>
      <c r="W2282" s="22" t="s">
        <v>49</v>
      </c>
      <c r="X2282" s="3"/>
      <c r="Y2282" s="3" t="s">
        <v>10062</v>
      </c>
      <c r="Z2282" s="3" t="s">
        <v>52</v>
      </c>
      <c r="AA2282" s="3"/>
      <c r="AB2282" s="3"/>
      <c r="AC2282" s="3" t="str">
        <f>HYPERLINK("https://knigipp.ru/api/getInfo/image/297d69da-9dce-11eb-a201-ac1f6b442185")</f>
        <v>https://knigipp.ru/api/getInfo/image/297d69da-9dce-11eb-a201-ac1f6b442185</v>
      </c>
      <c r="AD2282" s="32">
        <v>320</v>
      </c>
      <c r="AE2282" s="3" t="s">
        <v>329</v>
      </c>
      <c r="AF2282" s="3" t="s">
        <v>127</v>
      </c>
      <c r="AG2282" s="3"/>
      <c r="AH2282" s="3" t="s">
        <v>56</v>
      </c>
      <c r="AI2282" s="3"/>
      <c r="AJ2282" s="3" t="s">
        <v>330</v>
      </c>
      <c r="AK2282" s="3" t="str">
        <f>HYPERLINK("https://knigipp.ru/api/getInfo/item/297d69da-9dce-11eb-a201-ac1f6b442185")</f>
        <v>https://knigipp.ru/api/getInfo/item/297d69da-9dce-11eb-a201-ac1f6b442185</v>
      </c>
      <c r="AL2282" s="3" t="s">
        <v>331</v>
      </c>
    </row>
    <row r="2283" spans="1:38" ht="21" customHeight="1" outlineLevel="4" x14ac:dyDescent="0.2">
      <c r="A2283" s="39">
        <v>1760</v>
      </c>
      <c r="B2283" s="3" t="s">
        <v>10063</v>
      </c>
      <c r="C2283" s="49" t="s">
        <v>10064</v>
      </c>
      <c r="D2283" s="49"/>
      <c r="E2283" s="49"/>
      <c r="F2283" s="49"/>
      <c r="G2283" s="4" t="s">
        <v>10065</v>
      </c>
      <c r="H2283" s="8"/>
      <c r="I2283" s="9" t="s">
        <v>10066</v>
      </c>
      <c r="J2283" s="10"/>
      <c r="K2283" s="11">
        <v>20</v>
      </c>
      <c r="L2283" s="10"/>
      <c r="M2283" s="10" t="s">
        <v>78</v>
      </c>
      <c r="N2283" s="10"/>
      <c r="O2283" s="2">
        <v>1</v>
      </c>
      <c r="P2283" s="17">
        <f>747*(1-S3/100)</f>
        <v>747</v>
      </c>
      <c r="Q2283" s="18"/>
      <c r="R2283" s="10">
        <f t="shared" si="99"/>
        <v>0</v>
      </c>
      <c r="S2283" s="19">
        <f>0.285*Q2283</f>
        <v>0</v>
      </c>
      <c r="T2283" s="20">
        <f>0.00073*Q2283</f>
        <v>0</v>
      </c>
      <c r="U2283" s="21"/>
      <c r="V2283" s="22" t="s">
        <v>10067</v>
      </c>
      <c r="W2283" s="22" t="s">
        <v>49</v>
      </c>
      <c r="X2283" s="3" t="s">
        <v>10068</v>
      </c>
      <c r="Y2283" s="3" t="s">
        <v>10069</v>
      </c>
      <c r="Z2283" s="3" t="s">
        <v>52</v>
      </c>
      <c r="AA2283" s="3"/>
      <c r="AB2283" s="3"/>
      <c r="AC2283" s="3" t="str">
        <f>HYPERLINK("https://knigipp.ru/api/getInfo/image/aa734336-4538-11ed-a216-ac1f6b442185")</f>
        <v>https://knigipp.ru/api/getInfo/image/aa734336-4538-11ed-a216-ac1f6b442185</v>
      </c>
      <c r="AD2283" s="32">
        <v>192</v>
      </c>
      <c r="AE2283" s="3" t="s">
        <v>329</v>
      </c>
      <c r="AF2283" s="3" t="s">
        <v>127</v>
      </c>
      <c r="AG2283" s="3"/>
      <c r="AH2283" s="3" t="s">
        <v>56</v>
      </c>
      <c r="AI2283" s="3"/>
      <c r="AJ2283" s="3" t="s">
        <v>330</v>
      </c>
      <c r="AK2283" s="3" t="str">
        <f>HYPERLINK("https://knigipp.ru/api/getInfo/item/aa734336-4538-11ed-a216-ac1f6b442185")</f>
        <v>https://knigipp.ru/api/getInfo/item/aa734336-4538-11ed-a216-ac1f6b442185</v>
      </c>
      <c r="AL2283" s="3" t="s">
        <v>10070</v>
      </c>
    </row>
    <row r="2284" spans="1:38" ht="21" customHeight="1" outlineLevel="4" x14ac:dyDescent="0.2">
      <c r="A2284" s="40">
        <v>1761</v>
      </c>
      <c r="B2284" s="6" t="s">
        <v>10071</v>
      </c>
      <c r="C2284" s="54" t="s">
        <v>10072</v>
      </c>
      <c r="D2284" s="54"/>
      <c r="E2284" s="54"/>
      <c r="F2284" s="54"/>
      <c r="G2284" s="7" t="s">
        <v>10073</v>
      </c>
      <c r="H2284" s="12"/>
      <c r="I2284" s="13" t="s">
        <v>10074</v>
      </c>
      <c r="J2284" s="14"/>
      <c r="K2284" s="15">
        <v>10</v>
      </c>
      <c r="L2284" s="14"/>
      <c r="M2284" s="14" t="s">
        <v>47</v>
      </c>
      <c r="N2284" s="14"/>
      <c r="O2284" s="5">
        <v>1</v>
      </c>
      <c r="P2284" s="23">
        <f>747*(1-S3/100)</f>
        <v>747</v>
      </c>
      <c r="Q2284" s="18"/>
      <c r="R2284" s="14">
        <f t="shared" si="99"/>
        <v>0</v>
      </c>
      <c r="S2284" s="36">
        <f>0.42*Q2284</f>
        <v>0</v>
      </c>
      <c r="T2284" s="25">
        <f>0.00089*Q2284</f>
        <v>0</v>
      </c>
      <c r="U2284" s="26" t="s">
        <v>62</v>
      </c>
      <c r="V2284" s="27" t="s">
        <v>10075</v>
      </c>
      <c r="W2284" s="27" t="s">
        <v>49</v>
      </c>
      <c r="X2284" s="6" t="s">
        <v>10076</v>
      </c>
      <c r="Y2284" s="6"/>
      <c r="Z2284" s="6" t="s">
        <v>384</v>
      </c>
      <c r="AA2284" s="6"/>
      <c r="AB2284" s="6"/>
      <c r="AC2284" s="6" t="str">
        <f>HYPERLINK("https://knigipp.ru/api/getInfo/image/eebaf5e3-7483-11f1-a29a-00155d82e908")</f>
        <v>https://knigipp.ru/api/getInfo/image/eebaf5e3-7483-11f1-a29a-00155d82e908</v>
      </c>
      <c r="AD2284" s="33">
        <v>320</v>
      </c>
      <c r="AE2284" s="6" t="s">
        <v>692</v>
      </c>
      <c r="AF2284" s="6" t="s">
        <v>127</v>
      </c>
      <c r="AG2284" s="6"/>
      <c r="AH2284" s="6" t="s">
        <v>56</v>
      </c>
      <c r="AI2284" s="6"/>
      <c r="AJ2284" s="6"/>
      <c r="AK2284" s="6" t="str">
        <f>HYPERLINK("https://knigipp.ru/api/getInfo/item/eebaf5e3-7483-11f1-a29a-00155d82e908")</f>
        <v>https://knigipp.ru/api/getInfo/item/eebaf5e3-7483-11f1-a29a-00155d82e908</v>
      </c>
      <c r="AL2284" s="6"/>
    </row>
    <row r="2285" spans="1:38" ht="21" customHeight="1" outlineLevel="4" x14ac:dyDescent="0.2">
      <c r="A2285" s="39">
        <v>1762</v>
      </c>
      <c r="B2285" s="3" t="s">
        <v>10077</v>
      </c>
      <c r="C2285" s="49" t="s">
        <v>10078</v>
      </c>
      <c r="D2285" s="49"/>
      <c r="E2285" s="49"/>
      <c r="F2285" s="49"/>
      <c r="G2285" s="4" t="s">
        <v>10079</v>
      </c>
      <c r="H2285" s="8"/>
      <c r="I2285" s="9" t="s">
        <v>10080</v>
      </c>
      <c r="J2285" s="10"/>
      <c r="K2285" s="11">
        <v>20</v>
      </c>
      <c r="L2285" s="10"/>
      <c r="M2285" s="10" t="s">
        <v>47</v>
      </c>
      <c r="N2285" s="10"/>
      <c r="O2285" s="2">
        <v>1</v>
      </c>
      <c r="P2285" s="17">
        <f>747*(1-S3/100)</f>
        <v>747</v>
      </c>
      <c r="Q2285" s="18"/>
      <c r="R2285" s="10">
        <f t="shared" si="99"/>
        <v>0</v>
      </c>
      <c r="S2285" s="19">
        <f>0.353*Q2285</f>
        <v>0</v>
      </c>
      <c r="T2285" s="20">
        <f>0.00078*Q2285</f>
        <v>0</v>
      </c>
      <c r="U2285" s="21"/>
      <c r="V2285" s="22" t="s">
        <v>10081</v>
      </c>
      <c r="W2285" s="22" t="s">
        <v>49</v>
      </c>
      <c r="X2285" s="3" t="s">
        <v>9446</v>
      </c>
      <c r="Y2285" s="3" t="s">
        <v>10082</v>
      </c>
      <c r="Z2285" s="3" t="s">
        <v>52</v>
      </c>
      <c r="AA2285" s="3"/>
      <c r="AB2285" s="3"/>
      <c r="AC2285" s="3" t="str">
        <f>HYPERLINK("https://knigipp.ru/api/getInfo/image/b83334ee-dfd0-11ef-a273-00155d82e908")</f>
        <v>https://knigipp.ru/api/getInfo/image/b83334ee-dfd0-11ef-a273-00155d82e908</v>
      </c>
      <c r="AD2285" s="32">
        <v>256</v>
      </c>
      <c r="AE2285" s="3" t="s">
        <v>329</v>
      </c>
      <c r="AF2285" s="3" t="s">
        <v>127</v>
      </c>
      <c r="AG2285" s="3"/>
      <c r="AH2285" s="3" t="s">
        <v>56</v>
      </c>
      <c r="AI2285" s="3"/>
      <c r="AJ2285" s="3" t="s">
        <v>330</v>
      </c>
      <c r="AK2285" s="3" t="str">
        <f>HYPERLINK("https://knigipp.ru/api/getInfo/item/b83334ee-dfd0-11ef-a273-00155d82e908")</f>
        <v>https://knigipp.ru/api/getInfo/item/b83334ee-dfd0-11ef-a273-00155d82e908</v>
      </c>
      <c r="AL2285" s="3" t="s">
        <v>10083</v>
      </c>
    </row>
    <row r="2286" spans="1:38" ht="21" customHeight="1" outlineLevel="4" x14ac:dyDescent="0.2">
      <c r="A2286" s="39">
        <v>1763</v>
      </c>
      <c r="B2286" s="3" t="s">
        <v>10084</v>
      </c>
      <c r="C2286" s="49" t="s">
        <v>10085</v>
      </c>
      <c r="D2286" s="49"/>
      <c r="E2286" s="49"/>
      <c r="F2286" s="49"/>
      <c r="G2286" s="4" t="s">
        <v>10086</v>
      </c>
      <c r="H2286" s="8"/>
      <c r="I2286" s="9" t="s">
        <v>10087</v>
      </c>
      <c r="J2286" s="10"/>
      <c r="K2286" s="11">
        <v>10</v>
      </c>
      <c r="L2286" s="10"/>
      <c r="M2286" s="10" t="s">
        <v>47</v>
      </c>
      <c r="N2286" s="10"/>
      <c r="O2286" s="2">
        <v>1</v>
      </c>
      <c r="P2286" s="17">
        <f>747*(1-S3/100)</f>
        <v>747</v>
      </c>
      <c r="Q2286" s="18"/>
      <c r="R2286" s="10">
        <f t="shared" si="99"/>
        <v>0</v>
      </c>
      <c r="S2286" s="19">
        <f>0.399*Q2286</f>
        <v>0</v>
      </c>
      <c r="T2286" s="20">
        <f>0.00088*Q2286</f>
        <v>0</v>
      </c>
      <c r="U2286" s="21"/>
      <c r="V2286" s="22" t="s">
        <v>10088</v>
      </c>
      <c r="W2286" s="22" t="s">
        <v>49</v>
      </c>
      <c r="X2286" s="3" t="s">
        <v>10089</v>
      </c>
      <c r="Y2286" s="3" t="s">
        <v>10090</v>
      </c>
      <c r="Z2286" s="3" t="s">
        <v>52</v>
      </c>
      <c r="AA2286" s="3"/>
      <c r="AB2286" s="3"/>
      <c r="AC2286" s="3" t="str">
        <f>HYPERLINK("https://knigipp.ru/api/getInfo/image/e2f5a11f-7b5f-11eb-a275-ac1f6b442184")</f>
        <v>https://knigipp.ru/api/getInfo/image/e2f5a11f-7b5f-11eb-a275-ac1f6b442184</v>
      </c>
      <c r="AD2286" s="32">
        <v>320</v>
      </c>
      <c r="AE2286" s="3" t="s">
        <v>329</v>
      </c>
      <c r="AF2286" s="3" t="s">
        <v>127</v>
      </c>
      <c r="AG2286" s="3"/>
      <c r="AH2286" s="3" t="s">
        <v>56</v>
      </c>
      <c r="AI2286" s="3"/>
      <c r="AJ2286" s="3" t="s">
        <v>330</v>
      </c>
      <c r="AK2286" s="3" t="str">
        <f>HYPERLINK("https://knigipp.ru/api/getInfo/item/e2f5a11f-7b5f-11eb-a275-ac1f6b442184")</f>
        <v>https://knigipp.ru/api/getInfo/item/e2f5a11f-7b5f-11eb-a275-ac1f6b442184</v>
      </c>
      <c r="AL2286" s="3" t="s">
        <v>331</v>
      </c>
    </row>
    <row r="2287" spans="1:38" ht="21" customHeight="1" outlineLevel="4" x14ac:dyDescent="0.2">
      <c r="A2287" s="39">
        <v>1764</v>
      </c>
      <c r="B2287" s="3" t="s">
        <v>10091</v>
      </c>
      <c r="C2287" s="49" t="s">
        <v>10092</v>
      </c>
      <c r="D2287" s="49"/>
      <c r="E2287" s="49"/>
      <c r="F2287" s="49"/>
      <c r="G2287" s="4" t="s">
        <v>10093</v>
      </c>
      <c r="H2287" s="8"/>
      <c r="I2287" s="9" t="s">
        <v>10094</v>
      </c>
      <c r="J2287" s="10"/>
      <c r="K2287" s="11">
        <v>20</v>
      </c>
      <c r="L2287" s="10"/>
      <c r="M2287" s="10" t="s">
        <v>47</v>
      </c>
      <c r="N2287" s="10"/>
      <c r="O2287" s="2">
        <v>1</v>
      </c>
      <c r="P2287" s="17">
        <f>747*(1-S3/100)</f>
        <v>747</v>
      </c>
      <c r="Q2287" s="18"/>
      <c r="R2287" s="10">
        <f t="shared" si="99"/>
        <v>0</v>
      </c>
      <c r="S2287" s="19">
        <f>0.284*Q2287</f>
        <v>0</v>
      </c>
      <c r="T2287" s="20">
        <f>0.00088*Q2287</f>
        <v>0</v>
      </c>
      <c r="U2287" s="21"/>
      <c r="V2287" s="22" t="s">
        <v>10095</v>
      </c>
      <c r="W2287" s="22" t="s">
        <v>49</v>
      </c>
      <c r="X2287" s="3"/>
      <c r="Y2287" s="3" t="s">
        <v>10096</v>
      </c>
      <c r="Z2287" s="3" t="s">
        <v>52</v>
      </c>
      <c r="AA2287" s="3"/>
      <c r="AB2287" s="3"/>
      <c r="AC2287" s="3" t="str">
        <f>HYPERLINK("https://knigipp.ru/api/getInfo/image/74561b5e-3552-11ef-a261-00155d82e908")</f>
        <v>https://knigipp.ru/api/getInfo/image/74561b5e-3552-11ef-a261-00155d82e908</v>
      </c>
      <c r="AD2287" s="32">
        <v>256</v>
      </c>
      <c r="AE2287" s="3" t="s">
        <v>329</v>
      </c>
      <c r="AF2287" s="3" t="s">
        <v>127</v>
      </c>
      <c r="AG2287" s="3"/>
      <c r="AH2287" s="3" t="s">
        <v>56</v>
      </c>
      <c r="AI2287" s="3"/>
      <c r="AJ2287" s="3" t="s">
        <v>330</v>
      </c>
      <c r="AK2287" s="3" t="str">
        <f>HYPERLINK("https://knigipp.ru/api/getInfo/item/74561b5e-3552-11ef-a261-00155d82e908")</f>
        <v>https://knigipp.ru/api/getInfo/item/74561b5e-3552-11ef-a261-00155d82e908</v>
      </c>
      <c r="AL2287" s="3" t="s">
        <v>331</v>
      </c>
    </row>
    <row r="2288" spans="1:38" ht="21" customHeight="1" outlineLevel="4" x14ac:dyDescent="0.2">
      <c r="A2288" s="39">
        <v>1765</v>
      </c>
      <c r="B2288" s="3" t="s">
        <v>10097</v>
      </c>
      <c r="C2288" s="49" t="s">
        <v>10098</v>
      </c>
      <c r="D2288" s="49"/>
      <c r="E2288" s="49"/>
      <c r="F2288" s="49"/>
      <c r="G2288" s="4" t="s">
        <v>10099</v>
      </c>
      <c r="H2288" s="8"/>
      <c r="I2288" s="9" t="s">
        <v>10100</v>
      </c>
      <c r="J2288" s="10"/>
      <c r="K2288" s="11">
        <v>10</v>
      </c>
      <c r="L2288" s="10"/>
      <c r="M2288" s="10" t="s">
        <v>47</v>
      </c>
      <c r="N2288" s="10"/>
      <c r="O2288" s="2">
        <v>1</v>
      </c>
      <c r="P2288" s="17">
        <f>847*(1-S3/100)</f>
        <v>847</v>
      </c>
      <c r="Q2288" s="18"/>
      <c r="R2288" s="10">
        <f t="shared" si="99"/>
        <v>0</v>
      </c>
      <c r="S2288" s="19">
        <f>0.418*Q2288</f>
        <v>0</v>
      </c>
      <c r="T2288" s="20">
        <f>0.00094*Q2288</f>
        <v>0</v>
      </c>
      <c r="U2288" s="21"/>
      <c r="V2288" s="22" t="s">
        <v>10101</v>
      </c>
      <c r="W2288" s="22" t="s">
        <v>49</v>
      </c>
      <c r="X2288" s="3" t="s">
        <v>10102</v>
      </c>
      <c r="Y2288" s="3" t="s">
        <v>10103</v>
      </c>
      <c r="Z2288" s="3" t="s">
        <v>52</v>
      </c>
      <c r="AA2288" s="3"/>
      <c r="AB2288" s="3"/>
      <c r="AC2288" s="3" t="str">
        <f>HYPERLINK("https://knigipp.ru/api/getInfo/image/77a015b3-cb91-11f0-a28a-00155d82e908")</f>
        <v>https://knigipp.ru/api/getInfo/image/77a015b3-cb91-11f0-a28a-00155d82e908</v>
      </c>
      <c r="AD2288" s="32">
        <v>320</v>
      </c>
      <c r="AE2288" s="3" t="s">
        <v>329</v>
      </c>
      <c r="AF2288" s="3" t="s">
        <v>127</v>
      </c>
      <c r="AG2288" s="3"/>
      <c r="AH2288" s="3" t="s">
        <v>56</v>
      </c>
      <c r="AI2288" s="3"/>
      <c r="AJ2288" s="3"/>
      <c r="AK2288" s="3" t="str">
        <f>HYPERLINK("https://knigipp.ru/api/getInfo/item/77a015b3-cb91-11f0-a28a-00155d82e908")</f>
        <v>https://knigipp.ru/api/getInfo/item/77a015b3-cb91-11f0-a28a-00155d82e908</v>
      </c>
      <c r="AL2288" s="3" t="s">
        <v>331</v>
      </c>
    </row>
    <row r="2289" spans="1:38" ht="23.1" customHeight="1" outlineLevel="3" x14ac:dyDescent="0.2">
      <c r="A2289" s="48" t="s">
        <v>10104</v>
      </c>
      <c r="B2289" s="48"/>
      <c r="C2289" s="48"/>
      <c r="D2289" s="48"/>
      <c r="E2289" s="48"/>
      <c r="F2289" s="48"/>
    </row>
    <row r="2290" spans="1:38" ht="21" customHeight="1" outlineLevel="4" x14ac:dyDescent="0.2">
      <c r="A2290" s="39">
        <v>1766</v>
      </c>
      <c r="B2290" s="3" t="s">
        <v>10105</v>
      </c>
      <c r="C2290" s="49" t="s">
        <v>10106</v>
      </c>
      <c r="D2290" s="49"/>
      <c r="E2290" s="49"/>
      <c r="F2290" s="49"/>
      <c r="G2290" s="4" t="s">
        <v>10107</v>
      </c>
      <c r="H2290" s="8"/>
      <c r="I2290" s="9" t="s">
        <v>10108</v>
      </c>
      <c r="J2290" s="10"/>
      <c r="K2290" s="11">
        <v>10</v>
      </c>
      <c r="L2290" s="10"/>
      <c r="M2290" s="10" t="s">
        <v>47</v>
      </c>
      <c r="N2290" s="10"/>
      <c r="O2290" s="2">
        <v>1</v>
      </c>
      <c r="P2290" s="17">
        <f>837*(1-S3/100)</f>
        <v>837</v>
      </c>
      <c r="Q2290" s="18"/>
      <c r="R2290" s="10">
        <f>P2290*Q2290</f>
        <v>0</v>
      </c>
      <c r="S2290" s="19">
        <f>0.501*Q2290</f>
        <v>0</v>
      </c>
      <c r="T2290" s="20">
        <f>0.00064*Q2290</f>
        <v>0</v>
      </c>
      <c r="U2290" s="21"/>
      <c r="V2290" s="22" t="s">
        <v>10109</v>
      </c>
      <c r="W2290" s="22" t="s">
        <v>49</v>
      </c>
      <c r="X2290" s="3" t="s">
        <v>10110</v>
      </c>
      <c r="Y2290" s="3" t="s">
        <v>10111</v>
      </c>
      <c r="Z2290" s="3" t="s">
        <v>52</v>
      </c>
      <c r="AA2290" s="3"/>
      <c r="AB2290" s="3"/>
      <c r="AC2290" s="3" t="str">
        <f>HYPERLINK("https://knigipp.ru/api/getInfo/image/c38cec4c-ae4b-11ef-a267-00155d82e908")</f>
        <v>https://knigipp.ru/api/getInfo/image/c38cec4c-ae4b-11ef-a267-00155d82e908</v>
      </c>
      <c r="AD2290" s="32">
        <v>400</v>
      </c>
      <c r="AE2290" s="3" t="s">
        <v>481</v>
      </c>
      <c r="AF2290" s="3" t="s">
        <v>127</v>
      </c>
      <c r="AG2290" s="3"/>
      <c r="AH2290" s="3" t="s">
        <v>56</v>
      </c>
      <c r="AI2290" s="3"/>
      <c r="AJ2290" s="3"/>
      <c r="AK2290" s="3" t="str">
        <f>HYPERLINK("https://knigipp.ru/api/getInfo/item/c38cec4c-ae4b-11ef-a267-00155d82e908")</f>
        <v>https://knigipp.ru/api/getInfo/item/c38cec4c-ae4b-11ef-a267-00155d82e908</v>
      </c>
      <c r="AL2290" s="3" t="s">
        <v>10112</v>
      </c>
    </row>
    <row r="2291" spans="1:38" ht="21" customHeight="1" outlineLevel="4" x14ac:dyDescent="0.2">
      <c r="A2291" s="40">
        <v>1767</v>
      </c>
      <c r="B2291" s="6" t="s">
        <v>10113</v>
      </c>
      <c r="C2291" s="54" t="s">
        <v>10114</v>
      </c>
      <c r="D2291" s="54"/>
      <c r="E2291" s="54"/>
      <c r="F2291" s="54"/>
      <c r="G2291" s="7" t="s">
        <v>10115</v>
      </c>
      <c r="H2291" s="12"/>
      <c r="I2291" s="13" t="s">
        <v>10116</v>
      </c>
      <c r="J2291" s="14"/>
      <c r="K2291" s="15">
        <v>10</v>
      </c>
      <c r="L2291" s="14"/>
      <c r="M2291" s="14" t="s">
        <v>47</v>
      </c>
      <c r="N2291" s="14"/>
      <c r="O2291" s="5">
        <v>1</v>
      </c>
      <c r="P2291" s="23">
        <f>677*(1-S3/100)</f>
        <v>677</v>
      </c>
      <c r="Q2291" s="18"/>
      <c r="R2291" s="14">
        <f>P2291*Q2291</f>
        <v>0</v>
      </c>
      <c r="S2291" s="24">
        <f>0.393*Q2291</f>
        <v>0</v>
      </c>
      <c r="T2291" s="25">
        <f>0.00055*Q2291</f>
        <v>0</v>
      </c>
      <c r="U2291" s="26" t="s">
        <v>62</v>
      </c>
      <c r="V2291" s="27" t="s">
        <v>10117</v>
      </c>
      <c r="W2291" s="27" t="s">
        <v>49</v>
      </c>
      <c r="X2291" s="6" t="s">
        <v>10118</v>
      </c>
      <c r="Y2291" s="6"/>
      <c r="Z2291" s="6" t="s">
        <v>52</v>
      </c>
      <c r="AA2291" s="6"/>
      <c r="AB2291" s="6"/>
      <c r="AC2291" s="6" t="str">
        <f>HYPERLINK("https://knigipp.ru/api/getInfo/image/84727a39-7485-11f1-a29a-00155d82e908")</f>
        <v>https://knigipp.ru/api/getInfo/image/84727a39-7485-11f1-a29a-00155d82e908</v>
      </c>
      <c r="AD2291" s="33">
        <v>320</v>
      </c>
      <c r="AE2291" s="6" t="s">
        <v>355</v>
      </c>
      <c r="AF2291" s="6" t="s">
        <v>127</v>
      </c>
      <c r="AG2291" s="6"/>
      <c r="AH2291" s="6" t="s">
        <v>56</v>
      </c>
      <c r="AI2291" s="6"/>
      <c r="AJ2291" s="6"/>
      <c r="AK2291" s="6" t="str">
        <f>HYPERLINK("https://knigipp.ru/api/getInfo/item/84727a39-7485-11f1-a29a-00155d82e908")</f>
        <v>https://knigipp.ru/api/getInfo/item/84727a39-7485-11f1-a29a-00155d82e908</v>
      </c>
      <c r="AL2291" s="6" t="s">
        <v>10119</v>
      </c>
    </row>
    <row r="2292" spans="1:38" ht="21" customHeight="1" outlineLevel="4" x14ac:dyDescent="0.2">
      <c r="A2292" s="39">
        <v>1768</v>
      </c>
      <c r="B2292" s="3" t="s">
        <v>10120</v>
      </c>
      <c r="C2292" s="49" t="s">
        <v>10121</v>
      </c>
      <c r="D2292" s="49"/>
      <c r="E2292" s="49"/>
      <c r="F2292" s="49"/>
      <c r="G2292" s="4" t="s">
        <v>10122</v>
      </c>
      <c r="H2292" s="8"/>
      <c r="I2292" s="9" t="s">
        <v>10123</v>
      </c>
      <c r="J2292" s="10"/>
      <c r="K2292" s="11">
        <v>20</v>
      </c>
      <c r="L2292" s="10"/>
      <c r="M2292" s="10" t="s">
        <v>47</v>
      </c>
      <c r="N2292" s="10"/>
      <c r="O2292" s="2">
        <v>1</v>
      </c>
      <c r="P2292" s="17">
        <f>597*(1-S3/100)</f>
        <v>597</v>
      </c>
      <c r="Q2292" s="18"/>
      <c r="R2292" s="10">
        <f>P2292*Q2292</f>
        <v>0</v>
      </c>
      <c r="S2292" s="19">
        <f>0.344*Q2292</f>
        <v>0</v>
      </c>
      <c r="T2292" s="20">
        <f>0.00043*Q2292</f>
        <v>0</v>
      </c>
      <c r="U2292" s="21"/>
      <c r="V2292" s="22" t="s">
        <v>10124</v>
      </c>
      <c r="W2292" s="22" t="s">
        <v>49</v>
      </c>
      <c r="X2292" s="3"/>
      <c r="Y2292" s="3" t="s">
        <v>10125</v>
      </c>
      <c r="Z2292" s="3" t="s">
        <v>52</v>
      </c>
      <c r="AA2292" s="3"/>
      <c r="AB2292" s="3"/>
      <c r="AC2292" s="3" t="str">
        <f>HYPERLINK("https://knigipp.ru/api/getInfo/image/0f83612b-c4f8-11ef-a268-00155d82e908")</f>
        <v>https://knigipp.ru/api/getInfo/image/0f83612b-c4f8-11ef-a268-00155d82e908</v>
      </c>
      <c r="AD2292" s="32">
        <v>240</v>
      </c>
      <c r="AE2292" s="3" t="s">
        <v>355</v>
      </c>
      <c r="AF2292" s="3" t="s">
        <v>127</v>
      </c>
      <c r="AG2292" s="3"/>
      <c r="AH2292" s="3" t="s">
        <v>56</v>
      </c>
      <c r="AI2292" s="3"/>
      <c r="AJ2292" s="3"/>
      <c r="AK2292" s="3" t="str">
        <f>HYPERLINK("https://knigipp.ru/api/getInfo/item/0f83612b-c4f8-11ef-a268-00155d82e908")</f>
        <v>https://knigipp.ru/api/getInfo/item/0f83612b-c4f8-11ef-a268-00155d82e908</v>
      </c>
      <c r="AL2292" s="3" t="s">
        <v>356</v>
      </c>
    </row>
    <row r="2293" spans="1:38" ht="21" customHeight="1" outlineLevel="4" x14ac:dyDescent="0.2">
      <c r="A2293" s="39">
        <v>1769</v>
      </c>
      <c r="B2293" s="3" t="s">
        <v>10126</v>
      </c>
      <c r="C2293" s="49" t="s">
        <v>10127</v>
      </c>
      <c r="D2293" s="49"/>
      <c r="E2293" s="49"/>
      <c r="F2293" s="49"/>
      <c r="G2293" s="4" t="s">
        <v>10128</v>
      </c>
      <c r="H2293" s="8"/>
      <c r="I2293" s="9" t="s">
        <v>10129</v>
      </c>
      <c r="J2293" s="10"/>
      <c r="K2293" s="11">
        <v>10</v>
      </c>
      <c r="L2293" s="10"/>
      <c r="M2293" s="10" t="s">
        <v>47</v>
      </c>
      <c r="N2293" s="10"/>
      <c r="O2293" s="2">
        <v>1</v>
      </c>
      <c r="P2293" s="17">
        <f>677*(1-S3/100)</f>
        <v>677</v>
      </c>
      <c r="Q2293" s="18"/>
      <c r="R2293" s="10">
        <f>P2293*Q2293</f>
        <v>0</v>
      </c>
      <c r="S2293" s="19">
        <f>0.402*Q2293</f>
        <v>0</v>
      </c>
      <c r="T2293" s="20">
        <f>0.00054*Q2293</f>
        <v>0</v>
      </c>
      <c r="U2293" s="21"/>
      <c r="V2293" s="22" t="s">
        <v>10130</v>
      </c>
      <c r="W2293" s="22" t="s">
        <v>49</v>
      </c>
      <c r="X2293" s="3" t="s">
        <v>10056</v>
      </c>
      <c r="Y2293" s="3" t="s">
        <v>10131</v>
      </c>
      <c r="Z2293" s="3" t="s">
        <v>52</v>
      </c>
      <c r="AA2293" s="3"/>
      <c r="AB2293" s="3"/>
      <c r="AC2293" s="3" t="str">
        <f>HYPERLINK("https://knigipp.ru/api/getInfo/image/891037b0-ae4b-11ef-a267-00155d82e908")</f>
        <v>https://knigipp.ru/api/getInfo/image/891037b0-ae4b-11ef-a267-00155d82e908</v>
      </c>
      <c r="AD2293" s="32">
        <v>288</v>
      </c>
      <c r="AE2293" s="3" t="s">
        <v>481</v>
      </c>
      <c r="AF2293" s="3" t="s">
        <v>127</v>
      </c>
      <c r="AG2293" s="3"/>
      <c r="AH2293" s="3" t="s">
        <v>56</v>
      </c>
      <c r="AI2293" s="3"/>
      <c r="AJ2293" s="3"/>
      <c r="AK2293" s="3" t="str">
        <f>HYPERLINK("https://knigipp.ru/api/getInfo/item/891037b0-ae4b-11ef-a267-00155d82e908")</f>
        <v>https://knigipp.ru/api/getInfo/item/891037b0-ae4b-11ef-a267-00155d82e908</v>
      </c>
      <c r="AL2293" s="3" t="s">
        <v>1577</v>
      </c>
    </row>
    <row r="2294" spans="1:38" ht="21" customHeight="1" outlineLevel="4" x14ac:dyDescent="0.2">
      <c r="A2294" s="39">
        <v>1770</v>
      </c>
      <c r="B2294" s="3" t="s">
        <v>10132</v>
      </c>
      <c r="C2294" s="49" t="s">
        <v>10133</v>
      </c>
      <c r="D2294" s="49"/>
      <c r="E2294" s="49"/>
      <c r="F2294" s="49"/>
      <c r="G2294" s="4" t="s">
        <v>10134</v>
      </c>
      <c r="H2294" s="8"/>
      <c r="I2294" s="9" t="s">
        <v>10135</v>
      </c>
      <c r="J2294" s="10"/>
      <c r="K2294" s="11">
        <v>10</v>
      </c>
      <c r="L2294" s="10"/>
      <c r="M2294" s="10" t="s">
        <v>78</v>
      </c>
      <c r="N2294" s="10"/>
      <c r="O2294" s="2">
        <v>1</v>
      </c>
      <c r="P2294" s="17">
        <f>597*(1-S3/100)</f>
        <v>597</v>
      </c>
      <c r="Q2294" s="18"/>
      <c r="R2294" s="10">
        <f>P2294*Q2294</f>
        <v>0</v>
      </c>
      <c r="S2294" s="19">
        <f>0.105*Q2294</f>
        <v>0</v>
      </c>
      <c r="T2294" s="20">
        <f>0.00015*Q2294</f>
        <v>0</v>
      </c>
      <c r="U2294" s="21"/>
      <c r="V2294" s="22" t="s">
        <v>10136</v>
      </c>
      <c r="W2294" s="22" t="s">
        <v>49</v>
      </c>
      <c r="X2294" s="3" t="s">
        <v>4754</v>
      </c>
      <c r="Y2294" s="3" t="s">
        <v>10137</v>
      </c>
      <c r="Z2294" s="3" t="s">
        <v>52</v>
      </c>
      <c r="AA2294" s="3"/>
      <c r="AB2294" s="3"/>
      <c r="AC2294" s="3" t="str">
        <f>HYPERLINK("https://knigipp.ru/api/getInfo/image/25f74ed5-0590-11f0-a277-00155d82e908")</f>
        <v>https://knigipp.ru/api/getInfo/image/25f74ed5-0590-11f0-a277-00155d82e908</v>
      </c>
      <c r="AD2294" s="32">
        <v>240</v>
      </c>
      <c r="AE2294" s="3" t="s">
        <v>481</v>
      </c>
      <c r="AF2294" s="3" t="s">
        <v>127</v>
      </c>
      <c r="AG2294" s="3"/>
      <c r="AH2294" s="3" t="s">
        <v>56</v>
      </c>
      <c r="AI2294" s="3"/>
      <c r="AJ2294" s="3"/>
      <c r="AK2294" s="3" t="str">
        <f>HYPERLINK("https://knigipp.ru/api/getInfo/item/25f74ed5-0590-11f0-a277-00155d82e908")</f>
        <v>https://knigipp.ru/api/getInfo/item/25f74ed5-0590-11f0-a277-00155d82e908</v>
      </c>
      <c r="AL2294" s="3" t="s">
        <v>10112</v>
      </c>
    </row>
    <row r="2295" spans="1:38" ht="23.1" customHeight="1" outlineLevel="3" x14ac:dyDescent="0.2">
      <c r="A2295" s="48" t="s">
        <v>10138</v>
      </c>
      <c r="B2295" s="48"/>
      <c r="C2295" s="48"/>
      <c r="D2295" s="48"/>
      <c r="E2295" s="48"/>
      <c r="F2295" s="48"/>
    </row>
    <row r="2296" spans="1:38" ht="21" customHeight="1" outlineLevel="4" x14ac:dyDescent="0.2">
      <c r="A2296" s="39">
        <v>1771</v>
      </c>
      <c r="B2296" s="3" t="s">
        <v>10139</v>
      </c>
      <c r="C2296" s="49" t="s">
        <v>10140</v>
      </c>
      <c r="D2296" s="49"/>
      <c r="E2296" s="49"/>
      <c r="F2296" s="49"/>
      <c r="G2296" s="4" t="s">
        <v>10141</v>
      </c>
      <c r="H2296" s="8"/>
      <c r="I2296" s="9" t="s">
        <v>10142</v>
      </c>
      <c r="J2296" s="10"/>
      <c r="K2296" s="11">
        <v>8</v>
      </c>
      <c r="L2296" s="10"/>
      <c r="M2296" s="10" t="s">
        <v>78</v>
      </c>
      <c r="N2296" s="10"/>
      <c r="O2296" s="2">
        <v>2</v>
      </c>
      <c r="P2296" s="17">
        <f>424.49*(1-S3/100)</f>
        <v>424.49</v>
      </c>
      <c r="Q2296" s="18"/>
      <c r="R2296" s="10">
        <f>P2296*Q2296</f>
        <v>0</v>
      </c>
      <c r="S2296" s="19">
        <f>0.664*Q2296</f>
        <v>0</v>
      </c>
      <c r="T2296" s="20">
        <f>0.00071*Q2296</f>
        <v>0</v>
      </c>
      <c r="U2296" s="21"/>
      <c r="V2296" s="22" t="s">
        <v>10143</v>
      </c>
      <c r="W2296" s="22" t="s">
        <v>49</v>
      </c>
      <c r="X2296" s="3" t="s">
        <v>10144</v>
      </c>
      <c r="Y2296" s="3"/>
      <c r="Z2296" s="3" t="s">
        <v>52</v>
      </c>
      <c r="AA2296" s="3" t="s">
        <v>10145</v>
      </c>
      <c r="AB2296" s="3"/>
      <c r="AC2296" s="3"/>
      <c r="AD2296" s="32">
        <v>144</v>
      </c>
      <c r="AE2296" s="3"/>
      <c r="AF2296" s="3" t="s">
        <v>127</v>
      </c>
      <c r="AG2296" s="3"/>
      <c r="AH2296" s="3" t="s">
        <v>56</v>
      </c>
      <c r="AI2296" s="3"/>
      <c r="AJ2296" s="3" t="s">
        <v>10146</v>
      </c>
      <c r="AK2296" s="3"/>
      <c r="AL2296" s="3" t="s">
        <v>10147</v>
      </c>
    </row>
    <row r="2297" spans="1:38" ht="23.1" customHeight="1" outlineLevel="3" x14ac:dyDescent="0.2">
      <c r="A2297" s="48" t="s">
        <v>10148</v>
      </c>
      <c r="B2297" s="48"/>
      <c r="C2297" s="48"/>
      <c r="D2297" s="48"/>
      <c r="E2297" s="48"/>
      <c r="F2297" s="48"/>
    </row>
    <row r="2298" spans="1:38" ht="21" customHeight="1" outlineLevel="4" x14ac:dyDescent="0.2">
      <c r="A2298" s="39">
        <v>1772</v>
      </c>
      <c r="B2298" s="3" t="s">
        <v>10149</v>
      </c>
      <c r="C2298" s="49" t="s">
        <v>10150</v>
      </c>
      <c r="D2298" s="49"/>
      <c r="E2298" s="49"/>
      <c r="F2298" s="49"/>
      <c r="G2298" s="4" t="s">
        <v>10151</v>
      </c>
      <c r="H2298" s="8"/>
      <c r="I2298" s="9" t="s">
        <v>10152</v>
      </c>
      <c r="J2298" s="10"/>
      <c r="K2298" s="11">
        <v>5</v>
      </c>
      <c r="L2298" s="10"/>
      <c r="M2298" s="10" t="s">
        <v>47</v>
      </c>
      <c r="N2298" s="10"/>
      <c r="O2298" s="2">
        <v>2</v>
      </c>
      <c r="P2298" s="17">
        <f>377*(1-S3/100)</f>
        <v>377</v>
      </c>
      <c r="Q2298" s="18"/>
      <c r="R2298" s="10">
        <f>P2298*Q2298</f>
        <v>0</v>
      </c>
      <c r="S2298" s="19">
        <f>0.225*Q2298</f>
        <v>0</v>
      </c>
      <c r="T2298" s="20">
        <f>0.00058*Q2298</f>
        <v>0</v>
      </c>
      <c r="U2298" s="21"/>
      <c r="V2298" s="22" t="s">
        <v>10153</v>
      </c>
      <c r="W2298" s="22" t="s">
        <v>49</v>
      </c>
      <c r="X2298" s="3"/>
      <c r="Y2298" s="3" t="s">
        <v>10154</v>
      </c>
      <c r="Z2298" s="3" t="s">
        <v>384</v>
      </c>
      <c r="AA2298" s="3"/>
      <c r="AB2298" s="3"/>
      <c r="AC2298" s="3" t="str">
        <f>HYPERLINK("https://knigipp.ru/api/getInfo/image/5d43ccbd-8337-11f0-a284-00155d82e908")</f>
        <v>https://knigipp.ru/api/getInfo/image/5d43ccbd-8337-11f0-a284-00155d82e908</v>
      </c>
      <c r="AD2298" s="32">
        <v>224</v>
      </c>
      <c r="AE2298" s="3" t="s">
        <v>355</v>
      </c>
      <c r="AF2298" s="3" t="s">
        <v>55</v>
      </c>
      <c r="AG2298" s="3"/>
      <c r="AH2298" s="3" t="s">
        <v>56</v>
      </c>
      <c r="AI2298" s="3"/>
      <c r="AJ2298" s="3"/>
      <c r="AK2298" s="3" t="str">
        <f>HYPERLINK("https://knigipp.ru/api/getInfo/item/5d43ccbd-8337-11f0-a284-00155d82e908")</f>
        <v>https://knigipp.ru/api/getInfo/item/5d43ccbd-8337-11f0-a284-00155d82e908</v>
      </c>
      <c r="AL2298" s="3" t="s">
        <v>10155</v>
      </c>
    </row>
    <row r="2299" spans="1:38" ht="23.1" customHeight="1" outlineLevel="3" x14ac:dyDescent="0.2">
      <c r="A2299" s="48" t="s">
        <v>10156</v>
      </c>
      <c r="B2299" s="48"/>
      <c r="C2299" s="48"/>
      <c r="D2299" s="48"/>
      <c r="E2299" s="48"/>
      <c r="F2299" s="48"/>
    </row>
    <row r="2300" spans="1:38" ht="21" customHeight="1" outlineLevel="4" x14ac:dyDescent="0.2">
      <c r="A2300" s="40">
        <v>1773</v>
      </c>
      <c r="B2300" s="6" t="s">
        <v>10157</v>
      </c>
      <c r="C2300" s="54" t="s">
        <v>10158</v>
      </c>
      <c r="D2300" s="54"/>
      <c r="E2300" s="54"/>
      <c r="F2300" s="54"/>
      <c r="G2300" s="7" t="s">
        <v>10159</v>
      </c>
      <c r="H2300" s="12"/>
      <c r="I2300" s="13" t="s">
        <v>10160</v>
      </c>
      <c r="J2300" s="14"/>
      <c r="K2300" s="15">
        <v>8</v>
      </c>
      <c r="L2300" s="14"/>
      <c r="M2300" s="14" t="s">
        <v>47</v>
      </c>
      <c r="N2300" s="14"/>
      <c r="O2300" s="5">
        <v>2</v>
      </c>
      <c r="P2300" s="23">
        <f>497*(1-S3/100)</f>
        <v>497</v>
      </c>
      <c r="Q2300" s="18"/>
      <c r="R2300" s="14">
        <f t="shared" ref="R2300:R2309" si="100">P2300*Q2300</f>
        <v>0</v>
      </c>
      <c r="S2300" s="24">
        <f>0.407*Q2300</f>
        <v>0</v>
      </c>
      <c r="T2300" s="31">
        <f>0.0015*Q2300</f>
        <v>0</v>
      </c>
      <c r="U2300" s="26" t="s">
        <v>62</v>
      </c>
      <c r="V2300" s="27" t="s">
        <v>10161</v>
      </c>
      <c r="W2300" s="27" t="s">
        <v>49</v>
      </c>
      <c r="X2300" s="6" t="s">
        <v>10162</v>
      </c>
      <c r="Y2300" s="6"/>
      <c r="Z2300" s="6" t="s">
        <v>52</v>
      </c>
      <c r="AA2300" s="6"/>
      <c r="AB2300" s="6"/>
      <c r="AC2300" s="6" t="str">
        <f>HYPERLINK("https://knigipp.ru/api/getInfo/image/0e8b57b2-479a-11f1-a294-00155d82e908")</f>
        <v>https://knigipp.ru/api/getInfo/image/0e8b57b2-479a-11f1-a294-00155d82e908</v>
      </c>
      <c r="AD2300" s="33">
        <v>48</v>
      </c>
      <c r="AE2300" s="6" t="s">
        <v>54</v>
      </c>
      <c r="AF2300" s="6" t="s">
        <v>127</v>
      </c>
      <c r="AG2300" s="6"/>
      <c r="AH2300" s="6" t="s">
        <v>56</v>
      </c>
      <c r="AI2300" s="6"/>
      <c r="AJ2300" s="6"/>
      <c r="AK2300" s="6" t="str">
        <f>HYPERLINK("https://knigipp.ru/api/getInfo/item/0e8b57b2-479a-11f1-a294-00155d82e908")</f>
        <v>https://knigipp.ru/api/getInfo/item/0e8b57b2-479a-11f1-a294-00155d82e908</v>
      </c>
      <c r="AL2300" s="6" t="s">
        <v>10163</v>
      </c>
    </row>
    <row r="2301" spans="1:38" ht="21" customHeight="1" outlineLevel="4" x14ac:dyDescent="0.2">
      <c r="A2301" s="39">
        <v>1774</v>
      </c>
      <c r="B2301" s="3" t="s">
        <v>10164</v>
      </c>
      <c r="C2301" s="49" t="s">
        <v>10165</v>
      </c>
      <c r="D2301" s="49"/>
      <c r="E2301" s="49"/>
      <c r="F2301" s="49"/>
      <c r="G2301" s="4" t="s">
        <v>10166</v>
      </c>
      <c r="H2301" s="8"/>
      <c r="I2301" s="9" t="s">
        <v>10160</v>
      </c>
      <c r="J2301" s="10"/>
      <c r="K2301" s="11">
        <v>8</v>
      </c>
      <c r="L2301" s="10"/>
      <c r="M2301" s="10" t="s">
        <v>47</v>
      </c>
      <c r="N2301" s="10"/>
      <c r="O2301" s="2">
        <v>2</v>
      </c>
      <c r="P2301" s="17">
        <f>497*(1-S3/100)</f>
        <v>497</v>
      </c>
      <c r="Q2301" s="18"/>
      <c r="R2301" s="10">
        <f t="shared" si="100"/>
        <v>0</v>
      </c>
      <c r="S2301" s="19">
        <f>0.398*Q2301</f>
        <v>0</v>
      </c>
      <c r="T2301" s="20">
        <f>0.00066*Q2301</f>
        <v>0</v>
      </c>
      <c r="U2301" s="21"/>
      <c r="V2301" s="22" t="s">
        <v>10167</v>
      </c>
      <c r="W2301" s="22" t="s">
        <v>49</v>
      </c>
      <c r="X2301" s="3" t="s">
        <v>10168</v>
      </c>
      <c r="Y2301" s="3" t="s">
        <v>10169</v>
      </c>
      <c r="Z2301" s="3" t="s">
        <v>52</v>
      </c>
      <c r="AA2301" s="3"/>
      <c r="AB2301" s="3"/>
      <c r="AC2301" s="3" t="str">
        <f>HYPERLINK("https://knigipp.ru/api/getInfo/image/851979e7-6d43-11f0-a284-00155d82e908")</f>
        <v>https://knigipp.ru/api/getInfo/image/851979e7-6d43-11f0-a284-00155d82e908</v>
      </c>
      <c r="AD2301" s="32">
        <v>48</v>
      </c>
      <c r="AE2301" s="3" t="s">
        <v>54</v>
      </c>
      <c r="AF2301" s="3" t="s">
        <v>127</v>
      </c>
      <c r="AG2301" s="3"/>
      <c r="AH2301" s="3" t="s">
        <v>56</v>
      </c>
      <c r="AI2301" s="3"/>
      <c r="AJ2301" s="3"/>
      <c r="AK2301" s="3" t="str">
        <f>HYPERLINK("https://knigipp.ru/api/getInfo/item/851979e7-6d43-11f0-a284-00155d82e908")</f>
        <v>https://knigipp.ru/api/getInfo/item/851979e7-6d43-11f0-a284-00155d82e908</v>
      </c>
      <c r="AL2301" s="3" t="s">
        <v>10163</v>
      </c>
    </row>
    <row r="2302" spans="1:38" ht="21" customHeight="1" outlineLevel="4" x14ac:dyDescent="0.2">
      <c r="A2302" s="39">
        <v>1775</v>
      </c>
      <c r="B2302" s="3" t="s">
        <v>10170</v>
      </c>
      <c r="C2302" s="49" t="s">
        <v>10171</v>
      </c>
      <c r="D2302" s="49"/>
      <c r="E2302" s="49"/>
      <c r="F2302" s="49"/>
      <c r="G2302" s="4" t="s">
        <v>10172</v>
      </c>
      <c r="H2302" s="8"/>
      <c r="I2302" s="9" t="s">
        <v>10160</v>
      </c>
      <c r="J2302" s="10"/>
      <c r="K2302" s="11">
        <v>8</v>
      </c>
      <c r="L2302" s="10"/>
      <c r="M2302" s="10" t="s">
        <v>47</v>
      </c>
      <c r="N2302" s="10"/>
      <c r="O2302" s="2">
        <v>2</v>
      </c>
      <c r="P2302" s="17">
        <f>497*(1-S3/100)</f>
        <v>497</v>
      </c>
      <c r="Q2302" s="18"/>
      <c r="R2302" s="10">
        <f t="shared" si="100"/>
        <v>0</v>
      </c>
      <c r="S2302" s="19">
        <f>0.398*Q2302</f>
        <v>0</v>
      </c>
      <c r="T2302" s="20">
        <f>0.00042*Q2302</f>
        <v>0</v>
      </c>
      <c r="U2302" s="21"/>
      <c r="V2302" s="22" t="s">
        <v>10173</v>
      </c>
      <c r="W2302" s="22" t="s">
        <v>49</v>
      </c>
      <c r="X2302" s="3" t="s">
        <v>982</v>
      </c>
      <c r="Y2302" s="3" t="s">
        <v>10174</v>
      </c>
      <c r="Z2302" s="3" t="s">
        <v>52</v>
      </c>
      <c r="AA2302" s="3"/>
      <c r="AB2302" s="3"/>
      <c r="AC2302" s="3" t="str">
        <f>HYPERLINK("https://knigipp.ru/api/getInfo/image/d6de1327-6d43-11f0-a284-00155d82e908")</f>
        <v>https://knigipp.ru/api/getInfo/image/d6de1327-6d43-11f0-a284-00155d82e908</v>
      </c>
      <c r="AD2302" s="32">
        <v>48</v>
      </c>
      <c r="AE2302" s="3" t="s">
        <v>54</v>
      </c>
      <c r="AF2302" s="3" t="s">
        <v>127</v>
      </c>
      <c r="AG2302" s="3"/>
      <c r="AH2302" s="3" t="s">
        <v>56</v>
      </c>
      <c r="AI2302" s="3"/>
      <c r="AJ2302" s="3"/>
      <c r="AK2302" s="3" t="str">
        <f>HYPERLINK("https://knigipp.ru/api/getInfo/item/d6de1327-6d43-11f0-a284-00155d82e908")</f>
        <v>https://knigipp.ru/api/getInfo/item/d6de1327-6d43-11f0-a284-00155d82e908</v>
      </c>
      <c r="AL2302" s="3" t="s">
        <v>10163</v>
      </c>
    </row>
    <row r="2303" spans="1:38" ht="21" customHeight="1" outlineLevel="4" x14ac:dyDescent="0.2">
      <c r="A2303" s="39">
        <v>1776</v>
      </c>
      <c r="B2303" s="3" t="s">
        <v>10175</v>
      </c>
      <c r="C2303" s="49" t="s">
        <v>10176</v>
      </c>
      <c r="D2303" s="49"/>
      <c r="E2303" s="49"/>
      <c r="F2303" s="49"/>
      <c r="G2303" s="4" t="s">
        <v>10177</v>
      </c>
      <c r="H2303" s="8"/>
      <c r="I2303" s="9" t="s">
        <v>10160</v>
      </c>
      <c r="J2303" s="10"/>
      <c r="K2303" s="11">
        <v>8</v>
      </c>
      <c r="L2303" s="10"/>
      <c r="M2303" s="10" t="s">
        <v>47</v>
      </c>
      <c r="N2303" s="10"/>
      <c r="O2303" s="2">
        <v>2</v>
      </c>
      <c r="P2303" s="17">
        <f>497*(1-S3/100)</f>
        <v>497</v>
      </c>
      <c r="Q2303" s="18"/>
      <c r="R2303" s="10">
        <f t="shared" si="100"/>
        <v>0</v>
      </c>
      <c r="S2303" s="19">
        <f>0.402*Q2303</f>
        <v>0</v>
      </c>
      <c r="T2303" s="20">
        <f>0.00085*Q2303</f>
        <v>0</v>
      </c>
      <c r="U2303" s="21"/>
      <c r="V2303" s="22" t="s">
        <v>10178</v>
      </c>
      <c r="W2303" s="22" t="s">
        <v>49</v>
      </c>
      <c r="X2303" s="3" t="s">
        <v>10179</v>
      </c>
      <c r="Y2303" s="3" t="s">
        <v>10180</v>
      </c>
      <c r="Z2303" s="3" t="s">
        <v>52</v>
      </c>
      <c r="AA2303" s="3"/>
      <c r="AB2303" s="3"/>
      <c r="AC2303" s="3" t="str">
        <f>HYPERLINK("https://knigipp.ru/api/getInfo/image/38ed3898-6d44-11f0-a284-00155d82e908")</f>
        <v>https://knigipp.ru/api/getInfo/image/38ed3898-6d44-11f0-a284-00155d82e908</v>
      </c>
      <c r="AD2303" s="32">
        <v>48</v>
      </c>
      <c r="AE2303" s="3" t="s">
        <v>54</v>
      </c>
      <c r="AF2303" s="3" t="s">
        <v>127</v>
      </c>
      <c r="AG2303" s="3"/>
      <c r="AH2303" s="3" t="s">
        <v>56</v>
      </c>
      <c r="AI2303" s="3"/>
      <c r="AJ2303" s="3"/>
      <c r="AK2303" s="3" t="str">
        <f>HYPERLINK("https://knigipp.ru/api/getInfo/item/38ed3898-6d44-11f0-a284-00155d82e908")</f>
        <v>https://knigipp.ru/api/getInfo/item/38ed3898-6d44-11f0-a284-00155d82e908</v>
      </c>
      <c r="AL2303" s="3" t="s">
        <v>10163</v>
      </c>
    </row>
    <row r="2304" spans="1:38" ht="21" customHeight="1" outlineLevel="4" x14ac:dyDescent="0.2">
      <c r="A2304" s="39">
        <v>1777</v>
      </c>
      <c r="B2304" s="3" t="s">
        <v>10181</v>
      </c>
      <c r="C2304" s="49" t="s">
        <v>10182</v>
      </c>
      <c r="D2304" s="49"/>
      <c r="E2304" s="49"/>
      <c r="F2304" s="49"/>
      <c r="G2304" s="4" t="s">
        <v>10183</v>
      </c>
      <c r="H2304" s="8"/>
      <c r="I2304" s="9" t="s">
        <v>10160</v>
      </c>
      <c r="J2304" s="10"/>
      <c r="K2304" s="11">
        <v>8</v>
      </c>
      <c r="L2304" s="10"/>
      <c r="M2304" s="10" t="s">
        <v>47</v>
      </c>
      <c r="N2304" s="10"/>
      <c r="O2304" s="2">
        <v>2</v>
      </c>
      <c r="P2304" s="17">
        <f>497*(1-S3/100)</f>
        <v>497</v>
      </c>
      <c r="Q2304" s="18"/>
      <c r="R2304" s="10">
        <f t="shared" si="100"/>
        <v>0</v>
      </c>
      <c r="S2304" s="19">
        <f>0.404*Q2304</f>
        <v>0</v>
      </c>
      <c r="T2304" s="20">
        <f>0.00009*Q2304</f>
        <v>0</v>
      </c>
      <c r="U2304" s="21"/>
      <c r="V2304" s="22" t="s">
        <v>10184</v>
      </c>
      <c r="W2304" s="22" t="s">
        <v>49</v>
      </c>
      <c r="X2304" s="3" t="s">
        <v>10185</v>
      </c>
      <c r="Y2304" s="3" t="s">
        <v>10186</v>
      </c>
      <c r="Z2304" s="3" t="s">
        <v>52</v>
      </c>
      <c r="AA2304" s="3"/>
      <c r="AB2304" s="3"/>
      <c r="AC2304" s="3" t="str">
        <f>HYPERLINK("https://knigipp.ru/api/getInfo/image/08b26739-6d43-11f0-a284-00155d82e908")</f>
        <v>https://knigipp.ru/api/getInfo/image/08b26739-6d43-11f0-a284-00155d82e908</v>
      </c>
      <c r="AD2304" s="32">
        <v>48</v>
      </c>
      <c r="AE2304" s="3" t="s">
        <v>54</v>
      </c>
      <c r="AF2304" s="3" t="s">
        <v>127</v>
      </c>
      <c r="AG2304" s="3"/>
      <c r="AH2304" s="3" t="s">
        <v>56</v>
      </c>
      <c r="AI2304" s="3"/>
      <c r="AJ2304" s="3"/>
      <c r="AK2304" s="3" t="str">
        <f>HYPERLINK("https://knigipp.ru/api/getInfo/item/08b26739-6d43-11f0-a284-00155d82e908")</f>
        <v>https://knigipp.ru/api/getInfo/item/08b26739-6d43-11f0-a284-00155d82e908</v>
      </c>
      <c r="AL2304" s="3" t="s">
        <v>10163</v>
      </c>
    </row>
    <row r="2305" spans="1:38" ht="21" customHeight="1" outlineLevel="4" x14ac:dyDescent="0.2">
      <c r="A2305" s="39">
        <v>1778</v>
      </c>
      <c r="B2305" s="3" t="s">
        <v>10187</v>
      </c>
      <c r="C2305" s="49" t="s">
        <v>10188</v>
      </c>
      <c r="D2305" s="49"/>
      <c r="E2305" s="49"/>
      <c r="F2305" s="49"/>
      <c r="G2305" s="4" t="s">
        <v>10189</v>
      </c>
      <c r="H2305" s="8"/>
      <c r="I2305" s="9" t="s">
        <v>10160</v>
      </c>
      <c r="J2305" s="10"/>
      <c r="K2305" s="11">
        <v>8</v>
      </c>
      <c r="L2305" s="10"/>
      <c r="M2305" s="10" t="s">
        <v>47</v>
      </c>
      <c r="N2305" s="10"/>
      <c r="O2305" s="2">
        <v>2</v>
      </c>
      <c r="P2305" s="17">
        <f>497*(1-S3/100)</f>
        <v>497</v>
      </c>
      <c r="Q2305" s="18"/>
      <c r="R2305" s="10">
        <f t="shared" si="100"/>
        <v>0</v>
      </c>
      <c r="S2305" s="19">
        <f>0.402*Q2305</f>
        <v>0</v>
      </c>
      <c r="T2305" s="20">
        <f>0.00086*Q2305</f>
        <v>0</v>
      </c>
      <c r="U2305" s="21"/>
      <c r="V2305" s="22" t="s">
        <v>10190</v>
      </c>
      <c r="W2305" s="22" t="s">
        <v>49</v>
      </c>
      <c r="X2305" s="3"/>
      <c r="Y2305" s="3" t="s">
        <v>10191</v>
      </c>
      <c r="Z2305" s="3" t="s">
        <v>52</v>
      </c>
      <c r="AA2305" s="3"/>
      <c r="AB2305" s="3"/>
      <c r="AC2305" s="3" t="str">
        <f>HYPERLINK("https://knigipp.ru/api/getInfo/image/3a7de5ff-6d43-11f0-a284-00155d82e908")</f>
        <v>https://knigipp.ru/api/getInfo/image/3a7de5ff-6d43-11f0-a284-00155d82e908</v>
      </c>
      <c r="AD2305" s="32">
        <v>48</v>
      </c>
      <c r="AE2305" s="3" t="s">
        <v>54</v>
      </c>
      <c r="AF2305" s="3" t="s">
        <v>127</v>
      </c>
      <c r="AG2305" s="3"/>
      <c r="AH2305" s="3" t="s">
        <v>56</v>
      </c>
      <c r="AI2305" s="3"/>
      <c r="AJ2305" s="3"/>
      <c r="AK2305" s="3" t="str">
        <f>HYPERLINK("https://knigipp.ru/api/getInfo/item/3a7de5ff-6d43-11f0-a284-00155d82e908")</f>
        <v>https://knigipp.ru/api/getInfo/item/3a7de5ff-6d43-11f0-a284-00155d82e908</v>
      </c>
      <c r="AL2305" s="3" t="s">
        <v>10163</v>
      </c>
    </row>
    <row r="2306" spans="1:38" ht="21" customHeight="1" outlineLevel="4" x14ac:dyDescent="0.2">
      <c r="A2306" s="39">
        <v>1779</v>
      </c>
      <c r="B2306" s="3" t="s">
        <v>10192</v>
      </c>
      <c r="C2306" s="49" t="s">
        <v>10193</v>
      </c>
      <c r="D2306" s="49"/>
      <c r="E2306" s="49"/>
      <c r="F2306" s="49"/>
      <c r="G2306" s="4" t="s">
        <v>10194</v>
      </c>
      <c r="H2306" s="8"/>
      <c r="I2306" s="9" t="s">
        <v>10160</v>
      </c>
      <c r="J2306" s="10"/>
      <c r="K2306" s="11">
        <v>8</v>
      </c>
      <c r="L2306" s="10"/>
      <c r="M2306" s="10" t="s">
        <v>47</v>
      </c>
      <c r="N2306" s="10"/>
      <c r="O2306" s="2">
        <v>2</v>
      </c>
      <c r="P2306" s="17">
        <f>497*(1-S3/100)</f>
        <v>497</v>
      </c>
      <c r="Q2306" s="18"/>
      <c r="R2306" s="10">
        <f t="shared" si="100"/>
        <v>0</v>
      </c>
      <c r="S2306" s="19">
        <f>0.398*Q2306</f>
        <v>0</v>
      </c>
      <c r="T2306" s="20">
        <f>0.00042*Q2306</f>
        <v>0</v>
      </c>
      <c r="U2306" s="21"/>
      <c r="V2306" s="22" t="s">
        <v>10195</v>
      </c>
      <c r="W2306" s="22" t="s">
        <v>49</v>
      </c>
      <c r="X2306" s="3" t="s">
        <v>319</v>
      </c>
      <c r="Y2306" s="3" t="s">
        <v>10196</v>
      </c>
      <c r="Z2306" s="3" t="s">
        <v>52</v>
      </c>
      <c r="AA2306" s="3"/>
      <c r="AB2306" s="3"/>
      <c r="AC2306" s="3" t="str">
        <f>HYPERLINK("https://knigipp.ru/api/getInfo/image/a7d784aa-6d43-11f0-a284-00155d82e908")</f>
        <v>https://knigipp.ru/api/getInfo/image/a7d784aa-6d43-11f0-a284-00155d82e908</v>
      </c>
      <c r="AD2306" s="32">
        <v>48</v>
      </c>
      <c r="AE2306" s="3" t="s">
        <v>54</v>
      </c>
      <c r="AF2306" s="3" t="s">
        <v>127</v>
      </c>
      <c r="AG2306" s="3"/>
      <c r="AH2306" s="3" t="s">
        <v>56</v>
      </c>
      <c r="AI2306" s="3"/>
      <c r="AJ2306" s="3"/>
      <c r="AK2306" s="3" t="str">
        <f>HYPERLINK("https://knigipp.ru/api/getInfo/item/a7d784aa-6d43-11f0-a284-00155d82e908")</f>
        <v>https://knigipp.ru/api/getInfo/item/a7d784aa-6d43-11f0-a284-00155d82e908</v>
      </c>
      <c r="AL2306" s="3" t="s">
        <v>10163</v>
      </c>
    </row>
    <row r="2307" spans="1:38" ht="21" customHeight="1" outlineLevel="4" x14ac:dyDescent="0.2">
      <c r="A2307" s="39">
        <v>1780</v>
      </c>
      <c r="B2307" s="3" t="s">
        <v>10197</v>
      </c>
      <c r="C2307" s="49" t="s">
        <v>10198</v>
      </c>
      <c r="D2307" s="49"/>
      <c r="E2307" s="49"/>
      <c r="F2307" s="49"/>
      <c r="G2307" s="4" t="s">
        <v>10199</v>
      </c>
      <c r="H2307" s="8"/>
      <c r="I2307" s="9" t="s">
        <v>10160</v>
      </c>
      <c r="J2307" s="10"/>
      <c r="K2307" s="11">
        <v>8</v>
      </c>
      <c r="L2307" s="10"/>
      <c r="M2307" s="10" t="s">
        <v>47</v>
      </c>
      <c r="N2307" s="10"/>
      <c r="O2307" s="2">
        <v>2</v>
      </c>
      <c r="P2307" s="17">
        <f>497*(1-S3/100)</f>
        <v>497</v>
      </c>
      <c r="Q2307" s="18"/>
      <c r="R2307" s="10">
        <f t="shared" si="100"/>
        <v>0</v>
      </c>
      <c r="S2307" s="19">
        <f>0.401*Q2307</f>
        <v>0</v>
      </c>
      <c r="T2307" s="20">
        <f>0.00076*Q2307</f>
        <v>0</v>
      </c>
      <c r="U2307" s="21"/>
      <c r="V2307" s="22" t="s">
        <v>10200</v>
      </c>
      <c r="W2307" s="22" t="s">
        <v>49</v>
      </c>
      <c r="X2307" s="3" t="s">
        <v>10056</v>
      </c>
      <c r="Y2307" s="3" t="s">
        <v>10201</v>
      </c>
      <c r="Z2307" s="3" t="s">
        <v>52</v>
      </c>
      <c r="AA2307" s="3"/>
      <c r="AB2307" s="3"/>
      <c r="AC2307" s="3" t="str">
        <f>HYPERLINK("https://knigipp.ru/api/getInfo/image/0473b03c-6d44-11f0-a284-00155d82e908")</f>
        <v>https://knigipp.ru/api/getInfo/image/0473b03c-6d44-11f0-a284-00155d82e908</v>
      </c>
      <c r="AD2307" s="32">
        <v>48</v>
      </c>
      <c r="AE2307" s="3" t="s">
        <v>54</v>
      </c>
      <c r="AF2307" s="3" t="s">
        <v>127</v>
      </c>
      <c r="AG2307" s="3"/>
      <c r="AH2307" s="3" t="s">
        <v>56</v>
      </c>
      <c r="AI2307" s="3"/>
      <c r="AJ2307" s="3"/>
      <c r="AK2307" s="3" t="str">
        <f>HYPERLINK("https://knigipp.ru/api/getInfo/item/0473b03c-6d44-11f0-a284-00155d82e908")</f>
        <v>https://knigipp.ru/api/getInfo/item/0473b03c-6d44-11f0-a284-00155d82e908</v>
      </c>
      <c r="AL2307" s="3" t="s">
        <v>10163</v>
      </c>
    </row>
    <row r="2308" spans="1:38" ht="21" customHeight="1" outlineLevel="4" x14ac:dyDescent="0.2">
      <c r="A2308" s="39">
        <v>1781</v>
      </c>
      <c r="B2308" s="3" t="s">
        <v>10202</v>
      </c>
      <c r="C2308" s="49" t="s">
        <v>10203</v>
      </c>
      <c r="D2308" s="49"/>
      <c r="E2308" s="49"/>
      <c r="F2308" s="49"/>
      <c r="G2308" s="4" t="s">
        <v>10204</v>
      </c>
      <c r="H2308" s="8"/>
      <c r="I2308" s="9" t="s">
        <v>10160</v>
      </c>
      <c r="J2308" s="10"/>
      <c r="K2308" s="11">
        <v>8</v>
      </c>
      <c r="L2308" s="10"/>
      <c r="M2308" s="10" t="s">
        <v>47</v>
      </c>
      <c r="N2308" s="10"/>
      <c r="O2308" s="2">
        <v>2</v>
      </c>
      <c r="P2308" s="17">
        <f>497*(1-S3/100)</f>
        <v>497</v>
      </c>
      <c r="Q2308" s="18"/>
      <c r="R2308" s="10">
        <f t="shared" si="100"/>
        <v>0</v>
      </c>
      <c r="S2308" s="19">
        <f>0.404*Q2308</f>
        <v>0</v>
      </c>
      <c r="T2308" s="20">
        <f>0.00025*Q2308</f>
        <v>0</v>
      </c>
      <c r="U2308" s="21"/>
      <c r="V2308" s="22" t="s">
        <v>10205</v>
      </c>
      <c r="W2308" s="22" t="s">
        <v>49</v>
      </c>
      <c r="X2308" s="3" t="s">
        <v>982</v>
      </c>
      <c r="Y2308" s="3" t="s">
        <v>10206</v>
      </c>
      <c r="Z2308" s="3" t="s">
        <v>52</v>
      </c>
      <c r="AA2308" s="3"/>
      <c r="AB2308" s="3"/>
      <c r="AC2308" s="3" t="str">
        <f>HYPERLINK("https://knigipp.ru/api/getInfo/image/5774c0cc-6d43-11f0-a284-00155d82e908")</f>
        <v>https://knigipp.ru/api/getInfo/image/5774c0cc-6d43-11f0-a284-00155d82e908</v>
      </c>
      <c r="AD2308" s="32">
        <v>48</v>
      </c>
      <c r="AE2308" s="3" t="s">
        <v>54</v>
      </c>
      <c r="AF2308" s="3" t="s">
        <v>127</v>
      </c>
      <c r="AG2308" s="3"/>
      <c r="AH2308" s="3" t="s">
        <v>56</v>
      </c>
      <c r="AI2308" s="3"/>
      <c r="AJ2308" s="3"/>
      <c r="AK2308" s="3" t="str">
        <f>HYPERLINK("https://knigipp.ru/api/getInfo/item/5774c0cc-6d43-11f0-a284-00155d82e908")</f>
        <v>https://knigipp.ru/api/getInfo/item/5774c0cc-6d43-11f0-a284-00155d82e908</v>
      </c>
      <c r="AL2308" s="3" t="s">
        <v>10163</v>
      </c>
    </row>
    <row r="2309" spans="1:38" ht="21" customHeight="1" outlineLevel="4" x14ac:dyDescent="0.2">
      <c r="A2309" s="40">
        <v>1782</v>
      </c>
      <c r="B2309" s="6" t="s">
        <v>10207</v>
      </c>
      <c r="C2309" s="54" t="s">
        <v>10208</v>
      </c>
      <c r="D2309" s="54"/>
      <c r="E2309" s="54"/>
      <c r="F2309" s="54"/>
      <c r="G2309" s="7" t="s">
        <v>10209</v>
      </c>
      <c r="H2309" s="12"/>
      <c r="I2309" s="13" t="s">
        <v>10160</v>
      </c>
      <c r="J2309" s="14"/>
      <c r="K2309" s="15">
        <v>8</v>
      </c>
      <c r="L2309" s="14"/>
      <c r="M2309" s="14" t="s">
        <v>47</v>
      </c>
      <c r="N2309" s="14"/>
      <c r="O2309" s="5">
        <v>2</v>
      </c>
      <c r="P2309" s="23">
        <f>497*(1-S3/100)</f>
        <v>497</v>
      </c>
      <c r="Q2309" s="18"/>
      <c r="R2309" s="14">
        <f t="shared" si="100"/>
        <v>0</v>
      </c>
      <c r="S2309" s="24">
        <f>0.407*Q2309</f>
        <v>0</v>
      </c>
      <c r="T2309" s="25">
        <f>0.00058*Q2309</f>
        <v>0</v>
      </c>
      <c r="U2309" s="26" t="s">
        <v>62</v>
      </c>
      <c r="V2309" s="27" t="s">
        <v>10210</v>
      </c>
      <c r="W2309" s="27" t="s">
        <v>49</v>
      </c>
      <c r="X2309" s="6" t="s">
        <v>207</v>
      </c>
      <c r="Y2309" s="6"/>
      <c r="Z2309" s="6" t="s">
        <v>52</v>
      </c>
      <c r="AA2309" s="6"/>
      <c r="AB2309" s="6"/>
      <c r="AC2309" s="6" t="str">
        <f>HYPERLINK("https://knigipp.ru/api/getInfo/image/b9c42dd1-479a-11f1-a294-00155d82e908")</f>
        <v>https://knigipp.ru/api/getInfo/image/b9c42dd1-479a-11f1-a294-00155d82e908</v>
      </c>
      <c r="AD2309" s="33">
        <v>48</v>
      </c>
      <c r="AE2309" s="6" t="s">
        <v>54</v>
      </c>
      <c r="AF2309" s="6" t="s">
        <v>127</v>
      </c>
      <c r="AG2309" s="6"/>
      <c r="AH2309" s="6" t="s">
        <v>56</v>
      </c>
      <c r="AI2309" s="6"/>
      <c r="AJ2309" s="6"/>
      <c r="AK2309" s="6" t="str">
        <f>HYPERLINK("https://knigipp.ru/api/getInfo/item/b9c42dd1-479a-11f1-a294-00155d82e908")</f>
        <v>https://knigipp.ru/api/getInfo/item/b9c42dd1-479a-11f1-a294-00155d82e908</v>
      </c>
      <c r="AL2309" s="6" t="s">
        <v>10163</v>
      </c>
    </row>
    <row r="2310" spans="1:38" ht="23.1" customHeight="1" outlineLevel="3" x14ac:dyDescent="0.2">
      <c r="A2310" s="48" t="s">
        <v>10211</v>
      </c>
      <c r="B2310" s="48"/>
      <c r="C2310" s="48"/>
      <c r="D2310" s="48"/>
      <c r="E2310" s="48"/>
      <c r="F2310" s="48"/>
    </row>
    <row r="2311" spans="1:38" ht="21" customHeight="1" outlineLevel="4" x14ac:dyDescent="0.2">
      <c r="A2311" s="39">
        <v>1783</v>
      </c>
      <c r="B2311" s="3" t="s">
        <v>10212</v>
      </c>
      <c r="C2311" s="49" t="s">
        <v>10213</v>
      </c>
      <c r="D2311" s="49"/>
      <c r="E2311" s="49"/>
      <c r="F2311" s="49"/>
      <c r="G2311" s="4" t="s">
        <v>10214</v>
      </c>
      <c r="H2311" s="8"/>
      <c r="I2311" s="9" t="s">
        <v>10215</v>
      </c>
      <c r="J2311" s="10"/>
      <c r="K2311" s="11">
        <v>24</v>
      </c>
      <c r="L2311" s="10"/>
      <c r="M2311" s="10" t="s">
        <v>47</v>
      </c>
      <c r="N2311" s="10"/>
      <c r="O2311" s="2">
        <v>4</v>
      </c>
      <c r="P2311" s="17">
        <f>174*(1-S3/100)</f>
        <v>174</v>
      </c>
      <c r="Q2311" s="18"/>
      <c r="R2311" s="10">
        <f>P2311*Q2311</f>
        <v>0</v>
      </c>
      <c r="S2311" s="19">
        <f>0.144*Q2311</f>
        <v>0</v>
      </c>
      <c r="T2311" s="20">
        <f>0.00021*Q2311</f>
        <v>0</v>
      </c>
      <c r="U2311" s="21"/>
      <c r="V2311" s="22" t="s">
        <v>10216</v>
      </c>
      <c r="W2311" s="22" t="s">
        <v>49</v>
      </c>
      <c r="X2311" s="3" t="s">
        <v>672</v>
      </c>
      <c r="Y2311" s="3" t="s">
        <v>10217</v>
      </c>
      <c r="Z2311" s="3" t="s">
        <v>52</v>
      </c>
      <c r="AA2311" s="3"/>
      <c r="AB2311" s="3"/>
      <c r="AC2311" s="3" t="str">
        <f>HYPERLINK("https://knigipp.ru/api/getInfo/image/46aeafb2-7e2b-11ee-a248-00155d82e902")</f>
        <v>https://knigipp.ru/api/getInfo/image/46aeafb2-7e2b-11ee-a248-00155d82e902</v>
      </c>
      <c r="AD2311" s="32">
        <v>48</v>
      </c>
      <c r="AE2311" s="3" t="s">
        <v>54</v>
      </c>
      <c r="AF2311" s="3" t="s">
        <v>127</v>
      </c>
      <c r="AG2311" s="3"/>
      <c r="AH2311" s="3" t="s">
        <v>56</v>
      </c>
      <c r="AI2311" s="3"/>
      <c r="AJ2311" s="3"/>
      <c r="AK2311" s="3" t="str">
        <f>HYPERLINK("https://knigipp.ru/api/getInfo/item/46aeafb2-7e2b-11ee-a248-00155d82e902")</f>
        <v>https://knigipp.ru/api/getInfo/item/46aeafb2-7e2b-11ee-a248-00155d82e902</v>
      </c>
      <c r="AL2311" s="3" t="s">
        <v>401</v>
      </c>
    </row>
    <row r="2312" spans="1:38" ht="21" customHeight="1" outlineLevel="4" x14ac:dyDescent="0.2">
      <c r="A2312" s="39">
        <v>1784</v>
      </c>
      <c r="B2312" s="3" t="s">
        <v>10218</v>
      </c>
      <c r="C2312" s="49" t="s">
        <v>10219</v>
      </c>
      <c r="D2312" s="49"/>
      <c r="E2312" s="49"/>
      <c r="F2312" s="49"/>
      <c r="G2312" s="4" t="s">
        <v>10220</v>
      </c>
      <c r="H2312" s="8"/>
      <c r="I2312" s="9" t="s">
        <v>10221</v>
      </c>
      <c r="J2312" s="10"/>
      <c r="K2312" s="11">
        <v>24</v>
      </c>
      <c r="L2312" s="10"/>
      <c r="M2312" s="10" t="s">
        <v>78</v>
      </c>
      <c r="N2312" s="10"/>
      <c r="O2312" s="2">
        <v>4</v>
      </c>
      <c r="P2312" s="17">
        <f>174*(1-S3/100)</f>
        <v>174</v>
      </c>
      <c r="Q2312" s="18"/>
      <c r="R2312" s="10">
        <f>P2312*Q2312</f>
        <v>0</v>
      </c>
      <c r="S2312" s="19">
        <f>0.143*Q2312</f>
        <v>0</v>
      </c>
      <c r="T2312" s="20">
        <f>0.00021*Q2312</f>
        <v>0</v>
      </c>
      <c r="U2312" s="21"/>
      <c r="V2312" s="22" t="s">
        <v>10222</v>
      </c>
      <c r="W2312" s="22" t="s">
        <v>49</v>
      </c>
      <c r="X2312" s="3" t="s">
        <v>10223</v>
      </c>
      <c r="Y2312" s="3" t="s">
        <v>10224</v>
      </c>
      <c r="Z2312" s="3" t="s">
        <v>52</v>
      </c>
      <c r="AA2312" s="3"/>
      <c r="AB2312" s="3"/>
      <c r="AC2312" s="3" t="str">
        <f>HYPERLINK("https://knigipp.ru/api/getInfo/image/d75de831-669d-11ee-a245-00155d82e902")</f>
        <v>https://knigipp.ru/api/getInfo/image/d75de831-669d-11ee-a245-00155d82e902</v>
      </c>
      <c r="AD2312" s="32">
        <v>48</v>
      </c>
      <c r="AE2312" s="3" t="s">
        <v>54</v>
      </c>
      <c r="AF2312" s="3" t="s">
        <v>127</v>
      </c>
      <c r="AG2312" s="3"/>
      <c r="AH2312" s="3" t="s">
        <v>56</v>
      </c>
      <c r="AI2312" s="3"/>
      <c r="AJ2312" s="3"/>
      <c r="AK2312" s="3" t="str">
        <f>HYPERLINK("https://knigipp.ru/api/getInfo/item/d75de831-669d-11ee-a245-00155d82e902")</f>
        <v>https://knigipp.ru/api/getInfo/item/d75de831-669d-11ee-a245-00155d82e902</v>
      </c>
      <c r="AL2312" s="3" t="s">
        <v>401</v>
      </c>
    </row>
    <row r="2313" spans="1:38" ht="21" customHeight="1" outlineLevel="4" x14ac:dyDescent="0.2">
      <c r="A2313" s="39">
        <v>1785</v>
      </c>
      <c r="B2313" s="3" t="s">
        <v>10225</v>
      </c>
      <c r="C2313" s="49" t="s">
        <v>10226</v>
      </c>
      <c r="D2313" s="49"/>
      <c r="E2313" s="49"/>
      <c r="F2313" s="49"/>
      <c r="G2313" s="4" t="s">
        <v>10227</v>
      </c>
      <c r="H2313" s="8"/>
      <c r="I2313" s="9" t="s">
        <v>10228</v>
      </c>
      <c r="J2313" s="10"/>
      <c r="K2313" s="11">
        <v>24</v>
      </c>
      <c r="L2313" s="10"/>
      <c r="M2313" s="10" t="s">
        <v>78</v>
      </c>
      <c r="N2313" s="10"/>
      <c r="O2313" s="2">
        <v>4</v>
      </c>
      <c r="P2313" s="17">
        <f>174*(1-S3/100)</f>
        <v>174</v>
      </c>
      <c r="Q2313" s="18"/>
      <c r="R2313" s="10">
        <f>P2313*Q2313</f>
        <v>0</v>
      </c>
      <c r="S2313" s="28">
        <f>0.14*Q2313</f>
        <v>0</v>
      </c>
      <c r="T2313" s="20">
        <f>0.00028*Q2313</f>
        <v>0</v>
      </c>
      <c r="U2313" s="21"/>
      <c r="V2313" s="22" t="s">
        <v>10229</v>
      </c>
      <c r="W2313" s="22" t="s">
        <v>49</v>
      </c>
      <c r="X2313" s="3" t="s">
        <v>10230</v>
      </c>
      <c r="Y2313" s="3" t="s">
        <v>10231</v>
      </c>
      <c r="Z2313" s="3" t="s">
        <v>52</v>
      </c>
      <c r="AA2313" s="3"/>
      <c r="AB2313" s="3"/>
      <c r="AC2313" s="3" t="str">
        <f>HYPERLINK("https://knigipp.ru/api/getInfo/image/5d489b6c-10f1-11ee-a23b-00155d82e902")</f>
        <v>https://knigipp.ru/api/getInfo/image/5d489b6c-10f1-11ee-a23b-00155d82e902</v>
      </c>
      <c r="AD2313" s="32">
        <v>48</v>
      </c>
      <c r="AE2313" s="3" t="s">
        <v>54</v>
      </c>
      <c r="AF2313" s="3" t="s">
        <v>127</v>
      </c>
      <c r="AG2313" s="3"/>
      <c r="AH2313" s="3" t="s">
        <v>56</v>
      </c>
      <c r="AI2313" s="3"/>
      <c r="AJ2313" s="3"/>
      <c r="AK2313" s="3" t="str">
        <f>HYPERLINK("https://knigipp.ru/api/getInfo/item/5d489b6c-10f1-11ee-a23b-00155d82e902")</f>
        <v>https://knigipp.ru/api/getInfo/item/5d489b6c-10f1-11ee-a23b-00155d82e902</v>
      </c>
      <c r="AL2313" s="3" t="s">
        <v>401</v>
      </c>
    </row>
    <row r="2314" spans="1:38" ht="23.1" customHeight="1" outlineLevel="3" x14ac:dyDescent="0.2">
      <c r="A2314" s="48" t="s">
        <v>10232</v>
      </c>
      <c r="B2314" s="48"/>
      <c r="C2314" s="48"/>
      <c r="D2314" s="48"/>
      <c r="E2314" s="48"/>
      <c r="F2314" s="48"/>
    </row>
    <row r="2315" spans="1:38" ht="21" customHeight="1" outlineLevel="4" x14ac:dyDescent="0.2">
      <c r="A2315" s="39">
        <v>1786</v>
      </c>
      <c r="B2315" s="3" t="s">
        <v>10233</v>
      </c>
      <c r="C2315" s="49" t="s">
        <v>10234</v>
      </c>
      <c r="D2315" s="49"/>
      <c r="E2315" s="49"/>
      <c r="F2315" s="49"/>
      <c r="G2315" s="4" t="s">
        <v>10235</v>
      </c>
      <c r="H2315" s="8"/>
      <c r="I2315" s="9" t="s">
        <v>10236</v>
      </c>
      <c r="J2315" s="10"/>
      <c r="K2315" s="11">
        <v>8</v>
      </c>
      <c r="L2315" s="10"/>
      <c r="M2315" s="10" t="s">
        <v>47</v>
      </c>
      <c r="N2315" s="10"/>
      <c r="O2315" s="2">
        <v>2</v>
      </c>
      <c r="P2315" s="17">
        <f>577*(1-S3/100)</f>
        <v>577</v>
      </c>
      <c r="Q2315" s="18"/>
      <c r="R2315" s="10">
        <f t="shared" ref="R2315:R2321" si="101">P2315*Q2315</f>
        <v>0</v>
      </c>
      <c r="S2315" s="19">
        <f>0.334*Q2315</f>
        <v>0</v>
      </c>
      <c r="T2315" s="20">
        <f>0.00038*Q2315</f>
        <v>0</v>
      </c>
      <c r="U2315" s="21"/>
      <c r="V2315" s="22" t="s">
        <v>10237</v>
      </c>
      <c r="W2315" s="22" t="s">
        <v>49</v>
      </c>
      <c r="X2315" s="3" t="s">
        <v>10110</v>
      </c>
      <c r="Y2315" s="3"/>
      <c r="Z2315" s="3" t="s">
        <v>384</v>
      </c>
      <c r="AA2315" s="3" t="s">
        <v>10029</v>
      </c>
      <c r="AB2315" s="3"/>
      <c r="AC2315" s="3" t="str">
        <f>HYPERLINK("https://knigipp.ru/api/getInfo/image/60126155-c686-11e1-81d3-5ef3fc502493")</f>
        <v>https://knigipp.ru/api/getInfo/image/60126155-c686-11e1-81d3-5ef3fc502493</v>
      </c>
      <c r="AD2315" s="32">
        <v>96</v>
      </c>
      <c r="AE2315" s="3"/>
      <c r="AF2315" s="3" t="s">
        <v>127</v>
      </c>
      <c r="AG2315" s="3"/>
      <c r="AH2315" s="3" t="s">
        <v>56</v>
      </c>
      <c r="AI2315" s="3"/>
      <c r="AJ2315" s="3" t="s">
        <v>10238</v>
      </c>
      <c r="AK2315" s="3" t="str">
        <f>HYPERLINK("https://knigipp.ru/api/getInfo/item/60126155-c686-11e1-81d3-5ef3fc502493")</f>
        <v>https://knigipp.ru/api/getInfo/item/60126155-c686-11e1-81d3-5ef3fc502493</v>
      </c>
      <c r="AL2315" s="3" t="s">
        <v>10239</v>
      </c>
    </row>
    <row r="2316" spans="1:38" ht="21" customHeight="1" outlineLevel="4" x14ac:dyDescent="0.2">
      <c r="A2316" s="39">
        <v>1787</v>
      </c>
      <c r="B2316" s="3" t="s">
        <v>10240</v>
      </c>
      <c r="C2316" s="49" t="s">
        <v>10241</v>
      </c>
      <c r="D2316" s="49"/>
      <c r="E2316" s="49"/>
      <c r="F2316" s="49"/>
      <c r="G2316" s="4" t="s">
        <v>10242</v>
      </c>
      <c r="H2316" s="8"/>
      <c r="I2316" s="9" t="s">
        <v>10243</v>
      </c>
      <c r="J2316" s="10"/>
      <c r="K2316" s="11">
        <v>8</v>
      </c>
      <c r="L2316" s="10"/>
      <c r="M2316" s="10" t="s">
        <v>47</v>
      </c>
      <c r="N2316" s="10"/>
      <c r="O2316" s="2">
        <v>2</v>
      </c>
      <c r="P2316" s="17">
        <f>577*(1-S3/100)</f>
        <v>577</v>
      </c>
      <c r="Q2316" s="18"/>
      <c r="R2316" s="10">
        <f t="shared" si="101"/>
        <v>0</v>
      </c>
      <c r="S2316" s="19">
        <f>0.305*Q2316</f>
        <v>0</v>
      </c>
      <c r="T2316" s="20">
        <f>0.00054*Q2316</f>
        <v>0</v>
      </c>
      <c r="U2316" s="21"/>
      <c r="V2316" s="22" t="s">
        <v>10244</v>
      </c>
      <c r="W2316" s="22" t="s">
        <v>49</v>
      </c>
      <c r="X2316" s="3" t="s">
        <v>10245</v>
      </c>
      <c r="Y2316" s="3" t="s">
        <v>10246</v>
      </c>
      <c r="Z2316" s="3" t="s">
        <v>52</v>
      </c>
      <c r="AA2316" s="3" t="s">
        <v>10029</v>
      </c>
      <c r="AB2316" s="3"/>
      <c r="AC2316" s="3" t="str">
        <f>HYPERLINK("https://knigipp.ru/api/getInfo/image/6012615b-c686-11e1-81d3-5ef3fc502493")</f>
        <v>https://knigipp.ru/api/getInfo/image/6012615b-c686-11e1-81d3-5ef3fc502493</v>
      </c>
      <c r="AD2316" s="32">
        <v>96</v>
      </c>
      <c r="AE2316" s="3"/>
      <c r="AF2316" s="3" t="s">
        <v>127</v>
      </c>
      <c r="AG2316" s="3"/>
      <c r="AH2316" s="3" t="s">
        <v>56</v>
      </c>
      <c r="AI2316" s="3"/>
      <c r="AJ2316" s="3" t="s">
        <v>10238</v>
      </c>
      <c r="AK2316" s="3" t="str">
        <f>HYPERLINK("https://knigipp.ru/api/getInfo/item/6012615b-c686-11e1-81d3-5ef3fc502493")</f>
        <v>https://knigipp.ru/api/getInfo/item/6012615b-c686-11e1-81d3-5ef3fc502493</v>
      </c>
      <c r="AL2316" s="3" t="s">
        <v>339</v>
      </c>
    </row>
    <row r="2317" spans="1:38" ht="21" customHeight="1" outlineLevel="4" x14ac:dyDescent="0.2">
      <c r="A2317" s="39">
        <v>1788</v>
      </c>
      <c r="B2317" s="3" t="s">
        <v>10247</v>
      </c>
      <c r="C2317" s="49" t="s">
        <v>10248</v>
      </c>
      <c r="D2317" s="49"/>
      <c r="E2317" s="49"/>
      <c r="F2317" s="49"/>
      <c r="G2317" s="4" t="s">
        <v>10249</v>
      </c>
      <c r="H2317" s="8"/>
      <c r="I2317" s="9" t="s">
        <v>10250</v>
      </c>
      <c r="J2317" s="10"/>
      <c r="K2317" s="11">
        <v>8</v>
      </c>
      <c r="L2317" s="10"/>
      <c r="M2317" s="10" t="s">
        <v>47</v>
      </c>
      <c r="N2317" s="10"/>
      <c r="O2317" s="2">
        <v>2</v>
      </c>
      <c r="P2317" s="17">
        <f>577*(1-S3/100)</f>
        <v>577</v>
      </c>
      <c r="Q2317" s="18"/>
      <c r="R2317" s="10">
        <f t="shared" si="101"/>
        <v>0</v>
      </c>
      <c r="S2317" s="19">
        <f>0.318*Q2317</f>
        <v>0</v>
      </c>
      <c r="T2317" s="20">
        <f>0.00066*Q2317</f>
        <v>0</v>
      </c>
      <c r="U2317" s="21"/>
      <c r="V2317" s="22" t="s">
        <v>10251</v>
      </c>
      <c r="W2317" s="22" t="s">
        <v>49</v>
      </c>
      <c r="X2317" s="3" t="s">
        <v>9446</v>
      </c>
      <c r="Y2317" s="3"/>
      <c r="Z2317" s="3" t="s">
        <v>52</v>
      </c>
      <c r="AA2317" s="3" t="s">
        <v>10252</v>
      </c>
      <c r="AB2317" s="3"/>
      <c r="AC2317" s="3" t="str">
        <f>HYPERLINK("https://knigipp.ru/api/getInfo/image/6012616b-c686-11e1-81d3-5ef3fc502493")</f>
        <v>https://knigipp.ru/api/getInfo/image/6012616b-c686-11e1-81d3-5ef3fc502493</v>
      </c>
      <c r="AD2317" s="32">
        <v>96</v>
      </c>
      <c r="AE2317" s="3"/>
      <c r="AF2317" s="3" t="s">
        <v>127</v>
      </c>
      <c r="AG2317" s="3"/>
      <c r="AH2317" s="3" t="s">
        <v>56</v>
      </c>
      <c r="AI2317" s="3"/>
      <c r="AJ2317" s="3" t="s">
        <v>10238</v>
      </c>
      <c r="AK2317" s="3" t="str">
        <f>HYPERLINK("https://knigipp.ru/api/getInfo/item/6012616b-c686-11e1-81d3-5ef3fc502493")</f>
        <v>https://knigipp.ru/api/getInfo/item/6012616b-c686-11e1-81d3-5ef3fc502493</v>
      </c>
      <c r="AL2317" s="3" t="s">
        <v>339</v>
      </c>
    </row>
    <row r="2318" spans="1:38" ht="21" customHeight="1" outlineLevel="4" x14ac:dyDescent="0.2">
      <c r="A2318" s="39">
        <v>1789</v>
      </c>
      <c r="B2318" s="3" t="s">
        <v>10253</v>
      </c>
      <c r="C2318" s="49" t="s">
        <v>10254</v>
      </c>
      <c r="D2318" s="49"/>
      <c r="E2318" s="49"/>
      <c r="F2318" s="49"/>
      <c r="G2318" s="4" t="s">
        <v>10255</v>
      </c>
      <c r="H2318" s="8"/>
      <c r="I2318" s="9" t="s">
        <v>10256</v>
      </c>
      <c r="J2318" s="10"/>
      <c r="K2318" s="11">
        <v>8</v>
      </c>
      <c r="L2318" s="10"/>
      <c r="M2318" s="10" t="s">
        <v>47</v>
      </c>
      <c r="N2318" s="10"/>
      <c r="O2318" s="2">
        <v>2</v>
      </c>
      <c r="P2318" s="17">
        <f>397*(1-S3/100)</f>
        <v>397</v>
      </c>
      <c r="Q2318" s="18"/>
      <c r="R2318" s="10">
        <f t="shared" si="101"/>
        <v>0</v>
      </c>
      <c r="S2318" s="19">
        <f>0.425*Q2318</f>
        <v>0</v>
      </c>
      <c r="T2318" s="20">
        <f>0.00069*Q2318</f>
        <v>0</v>
      </c>
      <c r="U2318" s="21"/>
      <c r="V2318" s="22" t="s">
        <v>10257</v>
      </c>
      <c r="W2318" s="22" t="s">
        <v>49</v>
      </c>
      <c r="X2318" s="3" t="s">
        <v>10258</v>
      </c>
      <c r="Y2318" s="3"/>
      <c r="Z2318" s="3" t="s">
        <v>52</v>
      </c>
      <c r="AA2318" s="3"/>
      <c r="AB2318" s="3"/>
      <c r="AC2318" s="3" t="str">
        <f>HYPERLINK("https://knigipp.ru/api/getInfo/image/74a08667-da6d-11eb-a209-ac1f6b442185")</f>
        <v>https://knigipp.ru/api/getInfo/image/74a08667-da6d-11eb-a209-ac1f6b442185</v>
      </c>
      <c r="AD2318" s="32">
        <v>96</v>
      </c>
      <c r="AE2318" s="3"/>
      <c r="AF2318" s="3" t="s">
        <v>127</v>
      </c>
      <c r="AG2318" s="3"/>
      <c r="AH2318" s="3" t="s">
        <v>56</v>
      </c>
      <c r="AI2318" s="3"/>
      <c r="AJ2318" s="3" t="s">
        <v>10238</v>
      </c>
      <c r="AK2318" s="3" t="str">
        <f>HYPERLINK("https://knigipp.ru/api/getInfo/item/74a08667-da6d-11eb-a209-ac1f6b442185")</f>
        <v>https://knigipp.ru/api/getInfo/item/74a08667-da6d-11eb-a209-ac1f6b442185</v>
      </c>
      <c r="AL2318" s="3" t="s">
        <v>339</v>
      </c>
    </row>
    <row r="2319" spans="1:38" ht="21" customHeight="1" outlineLevel="4" x14ac:dyDescent="0.2">
      <c r="A2319" s="39">
        <v>1790</v>
      </c>
      <c r="B2319" s="3" t="s">
        <v>10259</v>
      </c>
      <c r="C2319" s="49" t="s">
        <v>10260</v>
      </c>
      <c r="D2319" s="49"/>
      <c r="E2319" s="49"/>
      <c r="F2319" s="49"/>
      <c r="G2319" s="4" t="s">
        <v>10261</v>
      </c>
      <c r="H2319" s="8"/>
      <c r="I2319" s="9" t="s">
        <v>10262</v>
      </c>
      <c r="J2319" s="10"/>
      <c r="K2319" s="11">
        <v>8</v>
      </c>
      <c r="L2319" s="10"/>
      <c r="M2319" s="10" t="s">
        <v>47</v>
      </c>
      <c r="N2319" s="10"/>
      <c r="O2319" s="2">
        <v>2</v>
      </c>
      <c r="P2319" s="17">
        <f>577*(1-S3/100)</f>
        <v>577</v>
      </c>
      <c r="Q2319" s="18"/>
      <c r="R2319" s="10">
        <f t="shared" si="101"/>
        <v>0</v>
      </c>
      <c r="S2319" s="19">
        <f>0.318*Q2319</f>
        <v>0</v>
      </c>
      <c r="T2319" s="20">
        <f>0.00066*Q2319</f>
        <v>0</v>
      </c>
      <c r="U2319" s="21"/>
      <c r="V2319" s="22" t="s">
        <v>10263</v>
      </c>
      <c r="W2319" s="22" t="s">
        <v>49</v>
      </c>
      <c r="X2319" s="3" t="s">
        <v>10076</v>
      </c>
      <c r="Y2319" s="3" t="s">
        <v>10264</v>
      </c>
      <c r="Z2319" s="3" t="s">
        <v>52</v>
      </c>
      <c r="AA2319" s="3" t="s">
        <v>10029</v>
      </c>
      <c r="AB2319" s="3"/>
      <c r="AC2319" s="3" t="str">
        <f>HYPERLINK("https://knigipp.ru/api/getInfo/image/60126173-c686-11e1-81d3-5ef3fc502493")</f>
        <v>https://knigipp.ru/api/getInfo/image/60126173-c686-11e1-81d3-5ef3fc502493</v>
      </c>
      <c r="AD2319" s="32">
        <v>96</v>
      </c>
      <c r="AE2319" s="3"/>
      <c r="AF2319" s="3" t="s">
        <v>127</v>
      </c>
      <c r="AG2319" s="3"/>
      <c r="AH2319" s="3" t="s">
        <v>56</v>
      </c>
      <c r="AI2319" s="3"/>
      <c r="AJ2319" s="3" t="s">
        <v>10238</v>
      </c>
      <c r="AK2319" s="3" t="str">
        <f>HYPERLINK("https://knigipp.ru/api/getInfo/item/60126173-c686-11e1-81d3-5ef3fc502493")</f>
        <v>https://knigipp.ru/api/getInfo/item/60126173-c686-11e1-81d3-5ef3fc502493</v>
      </c>
      <c r="AL2319" s="3" t="s">
        <v>339</v>
      </c>
    </row>
    <row r="2320" spans="1:38" ht="21" customHeight="1" outlineLevel="4" x14ac:dyDescent="0.2">
      <c r="A2320" s="39">
        <v>1791</v>
      </c>
      <c r="B2320" s="3" t="s">
        <v>10265</v>
      </c>
      <c r="C2320" s="49" t="s">
        <v>10266</v>
      </c>
      <c r="D2320" s="49"/>
      <c r="E2320" s="49"/>
      <c r="F2320" s="49"/>
      <c r="G2320" s="4" t="s">
        <v>10267</v>
      </c>
      <c r="H2320" s="8"/>
      <c r="I2320" s="9" t="s">
        <v>10268</v>
      </c>
      <c r="J2320" s="10"/>
      <c r="K2320" s="11">
        <v>8</v>
      </c>
      <c r="L2320" s="10"/>
      <c r="M2320" s="10" t="s">
        <v>47</v>
      </c>
      <c r="N2320" s="10"/>
      <c r="O2320" s="2">
        <v>2</v>
      </c>
      <c r="P2320" s="17">
        <f>577*(1-S3/100)</f>
        <v>577</v>
      </c>
      <c r="Q2320" s="18"/>
      <c r="R2320" s="10">
        <f t="shared" si="101"/>
        <v>0</v>
      </c>
      <c r="S2320" s="19">
        <f>0.338*Q2320</f>
        <v>0</v>
      </c>
      <c r="T2320" s="20">
        <f>0.00076*Q2320</f>
        <v>0</v>
      </c>
      <c r="U2320" s="21"/>
      <c r="V2320" s="22" t="s">
        <v>10269</v>
      </c>
      <c r="W2320" s="22" t="s">
        <v>49</v>
      </c>
      <c r="X2320" s="3" t="s">
        <v>4754</v>
      </c>
      <c r="Y2320" s="3" t="s">
        <v>10270</v>
      </c>
      <c r="Z2320" s="3" t="s">
        <v>52</v>
      </c>
      <c r="AA2320" s="3" t="s">
        <v>10029</v>
      </c>
      <c r="AB2320" s="3"/>
      <c r="AC2320" s="3" t="str">
        <f>HYPERLINK("https://knigipp.ru/api/getInfo/image/6012617c-c686-11e1-81d3-5ef3fc502493")</f>
        <v>https://knigipp.ru/api/getInfo/image/6012617c-c686-11e1-81d3-5ef3fc502493</v>
      </c>
      <c r="AD2320" s="32">
        <v>96</v>
      </c>
      <c r="AE2320" s="3"/>
      <c r="AF2320" s="3" t="s">
        <v>127</v>
      </c>
      <c r="AG2320" s="3"/>
      <c r="AH2320" s="3" t="s">
        <v>56</v>
      </c>
      <c r="AI2320" s="3"/>
      <c r="AJ2320" s="3" t="s">
        <v>10238</v>
      </c>
      <c r="AK2320" s="3" t="str">
        <f>HYPERLINK("https://knigipp.ru/api/getInfo/item/6012617c-c686-11e1-81d3-5ef3fc502493")</f>
        <v>https://knigipp.ru/api/getInfo/item/6012617c-c686-11e1-81d3-5ef3fc502493</v>
      </c>
      <c r="AL2320" s="3" t="s">
        <v>339</v>
      </c>
    </row>
    <row r="2321" spans="1:38" ht="21" customHeight="1" outlineLevel="4" x14ac:dyDescent="0.2">
      <c r="A2321" s="39">
        <v>1792</v>
      </c>
      <c r="B2321" s="3" t="s">
        <v>10271</v>
      </c>
      <c r="C2321" s="49" t="s">
        <v>10272</v>
      </c>
      <c r="D2321" s="49"/>
      <c r="E2321" s="49"/>
      <c r="F2321" s="49"/>
      <c r="G2321" s="4" t="s">
        <v>10273</v>
      </c>
      <c r="H2321" s="8"/>
      <c r="I2321" s="9" t="s">
        <v>10274</v>
      </c>
      <c r="J2321" s="10"/>
      <c r="K2321" s="11">
        <v>8</v>
      </c>
      <c r="L2321" s="10"/>
      <c r="M2321" s="10" t="s">
        <v>47</v>
      </c>
      <c r="N2321" s="10"/>
      <c r="O2321" s="2">
        <v>2</v>
      </c>
      <c r="P2321" s="17">
        <f>577*(1-S3/100)</f>
        <v>577</v>
      </c>
      <c r="Q2321" s="18"/>
      <c r="R2321" s="10">
        <f t="shared" si="101"/>
        <v>0</v>
      </c>
      <c r="S2321" s="19">
        <f>0.305*Q2321</f>
        <v>0</v>
      </c>
      <c r="T2321" s="20">
        <f>0.00054*Q2321</f>
        <v>0</v>
      </c>
      <c r="U2321" s="21"/>
      <c r="V2321" s="22" t="s">
        <v>10275</v>
      </c>
      <c r="W2321" s="22" t="s">
        <v>49</v>
      </c>
      <c r="X2321" s="3" t="s">
        <v>10276</v>
      </c>
      <c r="Y2321" s="3" t="s">
        <v>10277</v>
      </c>
      <c r="Z2321" s="3" t="s">
        <v>52</v>
      </c>
      <c r="AA2321" s="3" t="s">
        <v>10252</v>
      </c>
      <c r="AB2321" s="3"/>
      <c r="AC2321" s="3" t="str">
        <f>HYPERLINK("https://knigipp.ru/api/getInfo/image/02fa2744-e6f6-11e6-a3ac-5cf3fc4a2490")</f>
        <v>https://knigipp.ru/api/getInfo/image/02fa2744-e6f6-11e6-a3ac-5cf3fc4a2490</v>
      </c>
      <c r="AD2321" s="32">
        <v>96</v>
      </c>
      <c r="AE2321" s="3"/>
      <c r="AF2321" s="3" t="s">
        <v>127</v>
      </c>
      <c r="AG2321" s="3"/>
      <c r="AH2321" s="3" t="s">
        <v>56</v>
      </c>
      <c r="AI2321" s="3"/>
      <c r="AJ2321" s="3" t="s">
        <v>10238</v>
      </c>
      <c r="AK2321" s="3" t="str">
        <f>HYPERLINK("https://knigipp.ru/api/getInfo/item/02fa2744-e6f6-11e6-a3ac-5cf3fc4a2490")</f>
        <v>https://knigipp.ru/api/getInfo/item/02fa2744-e6f6-11e6-a3ac-5cf3fc4a2490</v>
      </c>
      <c r="AL2321" s="3" t="s">
        <v>339</v>
      </c>
    </row>
    <row r="2322" spans="1:38" ht="23.1" customHeight="1" outlineLevel="3" x14ac:dyDescent="0.2">
      <c r="A2322" s="48" t="s">
        <v>10278</v>
      </c>
      <c r="B2322" s="48"/>
      <c r="C2322" s="48"/>
      <c r="D2322" s="48"/>
      <c r="E2322" s="48"/>
      <c r="F2322" s="48"/>
    </row>
    <row r="2323" spans="1:38" ht="21" customHeight="1" outlineLevel="4" x14ac:dyDescent="0.2">
      <c r="A2323" s="39">
        <v>1793</v>
      </c>
      <c r="B2323" s="3" t="s">
        <v>10279</v>
      </c>
      <c r="C2323" s="49" t="s">
        <v>10280</v>
      </c>
      <c r="D2323" s="49"/>
      <c r="E2323" s="49"/>
      <c r="F2323" s="49"/>
      <c r="G2323" s="4" t="s">
        <v>10281</v>
      </c>
      <c r="H2323" s="8"/>
      <c r="I2323" s="9" t="s">
        <v>10282</v>
      </c>
      <c r="J2323" s="10"/>
      <c r="K2323" s="11">
        <v>20</v>
      </c>
      <c r="L2323" s="10"/>
      <c r="M2323" s="10" t="s">
        <v>78</v>
      </c>
      <c r="N2323" s="10"/>
      <c r="O2323" s="2">
        <v>4</v>
      </c>
      <c r="P2323" s="17">
        <f>179*(1-S3/100)</f>
        <v>179</v>
      </c>
      <c r="Q2323" s="18"/>
      <c r="R2323" s="10">
        <f>P2323*Q2323</f>
        <v>0</v>
      </c>
      <c r="S2323" s="19">
        <f>0.196*Q2323</f>
        <v>0</v>
      </c>
      <c r="T2323" s="20">
        <f>0.00031*Q2323</f>
        <v>0</v>
      </c>
      <c r="U2323" s="21"/>
      <c r="V2323" s="22" t="s">
        <v>10283</v>
      </c>
      <c r="W2323" s="22" t="s">
        <v>49</v>
      </c>
      <c r="X2323" s="3" t="s">
        <v>50</v>
      </c>
      <c r="Y2323" s="3" t="s">
        <v>10284</v>
      </c>
      <c r="Z2323" s="3" t="s">
        <v>52</v>
      </c>
      <c r="AA2323" s="3"/>
      <c r="AB2323" s="3"/>
      <c r="AC2323" s="3" t="str">
        <f>HYPERLINK("https://knigipp.ru/api/getInfo/image/08999d56-11a1-11ed-a215-ac1f6b442185")</f>
        <v>https://knigipp.ru/api/getInfo/image/08999d56-11a1-11ed-a215-ac1f6b442185</v>
      </c>
      <c r="AD2323" s="32">
        <v>96</v>
      </c>
      <c r="AE2323" s="3" t="s">
        <v>54</v>
      </c>
      <c r="AF2323" s="3" t="s">
        <v>127</v>
      </c>
      <c r="AG2323" s="3"/>
      <c r="AH2323" s="3" t="s">
        <v>56</v>
      </c>
      <c r="AI2323" s="3"/>
      <c r="AJ2323" s="3"/>
      <c r="AK2323" s="3" t="str">
        <f>HYPERLINK("https://knigipp.ru/api/getInfo/item/08999d56-11a1-11ed-a215-ac1f6b442185")</f>
        <v>https://knigipp.ru/api/getInfo/item/08999d56-11a1-11ed-a215-ac1f6b442185</v>
      </c>
      <c r="AL2323" s="3" t="s">
        <v>10285</v>
      </c>
    </row>
    <row r="2324" spans="1:38" ht="21" customHeight="1" outlineLevel="4" x14ac:dyDescent="0.2">
      <c r="A2324" s="39">
        <v>1794</v>
      </c>
      <c r="B2324" s="3" t="s">
        <v>10286</v>
      </c>
      <c r="C2324" s="49" t="s">
        <v>10287</v>
      </c>
      <c r="D2324" s="49"/>
      <c r="E2324" s="49"/>
      <c r="F2324" s="49"/>
      <c r="G2324" s="4" t="s">
        <v>10288</v>
      </c>
      <c r="H2324" s="8"/>
      <c r="I2324" s="9" t="s">
        <v>9944</v>
      </c>
      <c r="J2324" s="10"/>
      <c r="K2324" s="11">
        <v>20</v>
      </c>
      <c r="L2324" s="10"/>
      <c r="M2324" s="10" t="s">
        <v>47</v>
      </c>
      <c r="N2324" s="10"/>
      <c r="O2324" s="2">
        <v>3</v>
      </c>
      <c r="P2324" s="17">
        <f>209*(1-S3/100)</f>
        <v>209</v>
      </c>
      <c r="Q2324" s="18"/>
      <c r="R2324" s="10">
        <f>P2324*Q2324</f>
        <v>0</v>
      </c>
      <c r="S2324" s="10">
        <v>0</v>
      </c>
      <c r="T2324" s="10">
        <v>0</v>
      </c>
      <c r="U2324" s="21"/>
      <c r="V2324" s="22" t="s">
        <v>10289</v>
      </c>
      <c r="W2324" s="22" t="s">
        <v>49</v>
      </c>
      <c r="X2324" s="3" t="s">
        <v>9946</v>
      </c>
      <c r="Y2324" s="3"/>
      <c r="Z2324" s="3" t="s">
        <v>52</v>
      </c>
      <c r="AA2324" s="3"/>
      <c r="AB2324" s="3"/>
      <c r="AC2324" s="3" t="str">
        <f>HYPERLINK("https://knigipp.ru/api/getInfo/image/4dafb341-11a1-11ed-a215-ac1f6b442185")</f>
        <v>https://knigipp.ru/api/getInfo/image/4dafb341-11a1-11ed-a215-ac1f6b442185</v>
      </c>
      <c r="AD2324" s="32">
        <v>128</v>
      </c>
      <c r="AE2324" s="3" t="s">
        <v>54</v>
      </c>
      <c r="AF2324" s="3" t="s">
        <v>127</v>
      </c>
      <c r="AG2324" s="3"/>
      <c r="AH2324" s="3" t="s">
        <v>56</v>
      </c>
      <c r="AI2324" s="3"/>
      <c r="AJ2324" s="3"/>
      <c r="AK2324" s="3" t="str">
        <f>HYPERLINK("https://knigipp.ru/api/getInfo/item/4dafb341-11a1-11ed-a215-ac1f6b442185")</f>
        <v>https://knigipp.ru/api/getInfo/item/4dafb341-11a1-11ed-a215-ac1f6b442185</v>
      </c>
      <c r="AL2324" s="3" t="s">
        <v>10285</v>
      </c>
    </row>
    <row r="2325" spans="1:38" ht="23.1" customHeight="1" outlineLevel="3" x14ac:dyDescent="0.2">
      <c r="A2325" s="48" t="s">
        <v>10290</v>
      </c>
      <c r="B2325" s="48"/>
      <c r="C2325" s="48"/>
      <c r="D2325" s="48"/>
      <c r="E2325" s="48"/>
      <c r="F2325" s="48"/>
    </row>
    <row r="2326" spans="1:38" ht="21" customHeight="1" outlineLevel="4" x14ac:dyDescent="0.2">
      <c r="A2326" s="39">
        <v>1795</v>
      </c>
      <c r="B2326" s="3" t="s">
        <v>10291</v>
      </c>
      <c r="C2326" s="49" t="s">
        <v>10292</v>
      </c>
      <c r="D2326" s="49"/>
      <c r="E2326" s="49"/>
      <c r="F2326" s="49"/>
      <c r="G2326" s="4" t="s">
        <v>10293</v>
      </c>
      <c r="H2326" s="8"/>
      <c r="I2326" s="9" t="s">
        <v>10294</v>
      </c>
      <c r="J2326" s="10"/>
      <c r="K2326" s="11">
        <v>20</v>
      </c>
      <c r="L2326" s="10"/>
      <c r="M2326" s="10" t="s">
        <v>47</v>
      </c>
      <c r="N2326" s="10"/>
      <c r="O2326" s="2">
        <v>3</v>
      </c>
      <c r="P2326" s="17">
        <f>217*(1-S3/100)</f>
        <v>217</v>
      </c>
      <c r="Q2326" s="18"/>
      <c r="R2326" s="10">
        <f t="shared" ref="R2326:R2331" si="102">P2326*Q2326</f>
        <v>0</v>
      </c>
      <c r="S2326" s="19">
        <f>0.138*Q2326</f>
        <v>0</v>
      </c>
      <c r="T2326" s="20">
        <f>0.00025*Q2326</f>
        <v>0</v>
      </c>
      <c r="U2326" s="21"/>
      <c r="V2326" s="22" t="s">
        <v>10295</v>
      </c>
      <c r="W2326" s="22" t="s">
        <v>49</v>
      </c>
      <c r="X2326" s="3" t="s">
        <v>9446</v>
      </c>
      <c r="Y2326" s="3" t="s">
        <v>10296</v>
      </c>
      <c r="Z2326" s="3" t="s">
        <v>52</v>
      </c>
      <c r="AA2326" s="3"/>
      <c r="AB2326" s="3"/>
      <c r="AC2326" s="3" t="str">
        <f>HYPERLINK("https://knigipp.ru/api/getInfo/image/d88d34e7-3d55-11f0-a27c-00155d82e908")</f>
        <v>https://knigipp.ru/api/getInfo/image/d88d34e7-3d55-11f0-a27c-00155d82e908</v>
      </c>
      <c r="AD2326" s="32">
        <v>48</v>
      </c>
      <c r="AE2326" s="3" t="s">
        <v>54</v>
      </c>
      <c r="AF2326" s="3" t="s">
        <v>127</v>
      </c>
      <c r="AG2326" s="3"/>
      <c r="AH2326" s="3" t="s">
        <v>56</v>
      </c>
      <c r="AI2326" s="3"/>
      <c r="AJ2326" s="3"/>
      <c r="AK2326" s="3" t="str">
        <f>HYPERLINK("https://knigipp.ru/api/getInfo/item/d88d34e7-3d55-11f0-a27c-00155d82e908")</f>
        <v>https://knigipp.ru/api/getInfo/item/d88d34e7-3d55-11f0-a27c-00155d82e908</v>
      </c>
      <c r="AL2326" s="3" t="s">
        <v>9087</v>
      </c>
    </row>
    <row r="2327" spans="1:38" ht="21" customHeight="1" outlineLevel="4" x14ac:dyDescent="0.2">
      <c r="A2327" s="39">
        <v>1796</v>
      </c>
      <c r="B2327" s="3" t="s">
        <v>10297</v>
      </c>
      <c r="C2327" s="49" t="s">
        <v>10298</v>
      </c>
      <c r="D2327" s="49"/>
      <c r="E2327" s="49"/>
      <c r="F2327" s="49"/>
      <c r="G2327" s="4" t="s">
        <v>10299</v>
      </c>
      <c r="H2327" s="8"/>
      <c r="I2327" s="9" t="s">
        <v>10294</v>
      </c>
      <c r="J2327" s="10"/>
      <c r="K2327" s="11">
        <v>20</v>
      </c>
      <c r="L2327" s="10"/>
      <c r="M2327" s="10" t="s">
        <v>47</v>
      </c>
      <c r="N2327" s="10"/>
      <c r="O2327" s="2">
        <v>3</v>
      </c>
      <c r="P2327" s="17">
        <f>217*(1-S3/100)</f>
        <v>217</v>
      </c>
      <c r="Q2327" s="18"/>
      <c r="R2327" s="10">
        <f t="shared" si="102"/>
        <v>0</v>
      </c>
      <c r="S2327" s="19">
        <f>0.141*Q2327</f>
        <v>0</v>
      </c>
      <c r="T2327" s="20">
        <f>0.00025*Q2327</f>
        <v>0</v>
      </c>
      <c r="U2327" s="21"/>
      <c r="V2327" s="22" t="s">
        <v>10300</v>
      </c>
      <c r="W2327" s="22" t="s">
        <v>49</v>
      </c>
      <c r="X2327" s="3" t="s">
        <v>10276</v>
      </c>
      <c r="Y2327" s="3" t="s">
        <v>10301</v>
      </c>
      <c r="Z2327" s="3" t="s">
        <v>52</v>
      </c>
      <c r="AA2327" s="3"/>
      <c r="AB2327" s="3"/>
      <c r="AC2327" s="3" t="str">
        <f>HYPERLINK("https://knigipp.ru/api/getInfo/image/2780f380-3d56-11f0-a27c-00155d82e908")</f>
        <v>https://knigipp.ru/api/getInfo/image/2780f380-3d56-11f0-a27c-00155d82e908</v>
      </c>
      <c r="AD2327" s="32">
        <v>48</v>
      </c>
      <c r="AE2327" s="3" t="s">
        <v>54</v>
      </c>
      <c r="AF2327" s="3" t="s">
        <v>127</v>
      </c>
      <c r="AG2327" s="3"/>
      <c r="AH2327" s="3" t="s">
        <v>56</v>
      </c>
      <c r="AI2327" s="3"/>
      <c r="AJ2327" s="3"/>
      <c r="AK2327" s="3" t="str">
        <f>HYPERLINK("https://knigipp.ru/api/getInfo/item/2780f380-3d56-11f0-a27c-00155d82e908")</f>
        <v>https://knigipp.ru/api/getInfo/item/2780f380-3d56-11f0-a27c-00155d82e908</v>
      </c>
      <c r="AL2327" s="3" t="s">
        <v>9087</v>
      </c>
    </row>
    <row r="2328" spans="1:38" ht="21" customHeight="1" outlineLevel="4" x14ac:dyDescent="0.2">
      <c r="A2328" s="39">
        <v>1797</v>
      </c>
      <c r="B2328" s="3" t="s">
        <v>10302</v>
      </c>
      <c r="C2328" s="49" t="s">
        <v>10303</v>
      </c>
      <c r="D2328" s="49"/>
      <c r="E2328" s="49"/>
      <c r="F2328" s="49"/>
      <c r="G2328" s="4" t="s">
        <v>10304</v>
      </c>
      <c r="H2328" s="8"/>
      <c r="I2328" s="9" t="s">
        <v>10294</v>
      </c>
      <c r="J2328" s="10"/>
      <c r="K2328" s="11">
        <v>20</v>
      </c>
      <c r="L2328" s="10"/>
      <c r="M2328" s="10" t="s">
        <v>47</v>
      </c>
      <c r="N2328" s="10"/>
      <c r="O2328" s="2">
        <v>3</v>
      </c>
      <c r="P2328" s="17">
        <f>217*(1-S3/100)</f>
        <v>217</v>
      </c>
      <c r="Q2328" s="18"/>
      <c r="R2328" s="10">
        <f t="shared" si="102"/>
        <v>0</v>
      </c>
      <c r="S2328" s="19">
        <f>0.139*Q2328</f>
        <v>0</v>
      </c>
      <c r="T2328" s="20">
        <f>0.00028*Q2328</f>
        <v>0</v>
      </c>
      <c r="U2328" s="21"/>
      <c r="V2328" s="22" t="s">
        <v>10305</v>
      </c>
      <c r="W2328" s="22" t="s">
        <v>49</v>
      </c>
      <c r="X2328" s="3" t="s">
        <v>10076</v>
      </c>
      <c r="Y2328" s="3" t="s">
        <v>10306</v>
      </c>
      <c r="Z2328" s="3" t="s">
        <v>52</v>
      </c>
      <c r="AA2328" s="3"/>
      <c r="AB2328" s="3"/>
      <c r="AC2328" s="3" t="str">
        <f>HYPERLINK("https://knigipp.ru/api/getInfo/image/fe74da14-3d55-11f0-a27c-00155d82e908")</f>
        <v>https://knigipp.ru/api/getInfo/image/fe74da14-3d55-11f0-a27c-00155d82e908</v>
      </c>
      <c r="AD2328" s="32">
        <v>48</v>
      </c>
      <c r="AE2328" s="3" t="s">
        <v>54</v>
      </c>
      <c r="AF2328" s="3" t="s">
        <v>127</v>
      </c>
      <c r="AG2328" s="3"/>
      <c r="AH2328" s="3" t="s">
        <v>56</v>
      </c>
      <c r="AI2328" s="3"/>
      <c r="AJ2328" s="3"/>
      <c r="AK2328" s="3" t="str">
        <f>HYPERLINK("https://knigipp.ru/api/getInfo/item/fe74da14-3d55-11f0-a27c-00155d82e908")</f>
        <v>https://knigipp.ru/api/getInfo/item/fe74da14-3d55-11f0-a27c-00155d82e908</v>
      </c>
      <c r="AL2328" s="3" t="s">
        <v>9087</v>
      </c>
    </row>
    <row r="2329" spans="1:38" ht="21" customHeight="1" outlineLevel="4" x14ac:dyDescent="0.2">
      <c r="A2329" s="39">
        <v>1798</v>
      </c>
      <c r="B2329" s="3" t="s">
        <v>10307</v>
      </c>
      <c r="C2329" s="49" t="s">
        <v>10308</v>
      </c>
      <c r="D2329" s="49"/>
      <c r="E2329" s="49"/>
      <c r="F2329" s="49"/>
      <c r="G2329" s="4" t="s">
        <v>10309</v>
      </c>
      <c r="H2329" s="8"/>
      <c r="I2329" s="9" t="s">
        <v>10294</v>
      </c>
      <c r="J2329" s="10"/>
      <c r="K2329" s="11">
        <v>20</v>
      </c>
      <c r="L2329" s="10"/>
      <c r="M2329" s="10" t="s">
        <v>47</v>
      </c>
      <c r="N2329" s="10"/>
      <c r="O2329" s="2">
        <v>3</v>
      </c>
      <c r="P2329" s="17">
        <f>217*(1-S3/100)</f>
        <v>217</v>
      </c>
      <c r="Q2329" s="18"/>
      <c r="R2329" s="10">
        <f t="shared" si="102"/>
        <v>0</v>
      </c>
      <c r="S2329" s="19">
        <f>0.218*Q2329</f>
        <v>0</v>
      </c>
      <c r="T2329" s="20">
        <f>0.00037*Q2329</f>
        <v>0</v>
      </c>
      <c r="U2329" s="21"/>
      <c r="V2329" s="22" t="s">
        <v>10310</v>
      </c>
      <c r="W2329" s="22" t="s">
        <v>49</v>
      </c>
      <c r="X2329" s="3"/>
      <c r="Y2329" s="3" t="s">
        <v>10311</v>
      </c>
      <c r="Z2329" s="3" t="s">
        <v>52</v>
      </c>
      <c r="AA2329" s="3"/>
      <c r="AB2329" s="3"/>
      <c r="AC2329" s="3" t="str">
        <f>HYPERLINK("https://knigipp.ru/api/getInfo/image/93ffd249-3d55-11f0-a27c-00155d82e908")</f>
        <v>https://knigipp.ru/api/getInfo/image/93ffd249-3d55-11f0-a27c-00155d82e908</v>
      </c>
      <c r="AD2329" s="32">
        <v>48</v>
      </c>
      <c r="AE2329" s="3" t="s">
        <v>54</v>
      </c>
      <c r="AF2329" s="3" t="s">
        <v>127</v>
      </c>
      <c r="AG2329" s="3"/>
      <c r="AH2329" s="3" t="s">
        <v>56</v>
      </c>
      <c r="AI2329" s="3"/>
      <c r="AJ2329" s="3"/>
      <c r="AK2329" s="3" t="str">
        <f>HYPERLINK("https://knigipp.ru/api/getInfo/item/93ffd249-3d55-11f0-a27c-00155d82e908")</f>
        <v>https://knigipp.ru/api/getInfo/item/93ffd249-3d55-11f0-a27c-00155d82e908</v>
      </c>
      <c r="AL2329" s="3" t="s">
        <v>9087</v>
      </c>
    </row>
    <row r="2330" spans="1:38" ht="21" customHeight="1" outlineLevel="4" x14ac:dyDescent="0.2">
      <c r="A2330" s="39">
        <v>1799</v>
      </c>
      <c r="B2330" s="3" t="s">
        <v>10312</v>
      </c>
      <c r="C2330" s="49" t="s">
        <v>10313</v>
      </c>
      <c r="D2330" s="49"/>
      <c r="E2330" s="49"/>
      <c r="F2330" s="49"/>
      <c r="G2330" s="4" t="s">
        <v>10314</v>
      </c>
      <c r="H2330" s="8"/>
      <c r="I2330" s="9" t="s">
        <v>10294</v>
      </c>
      <c r="J2330" s="10"/>
      <c r="K2330" s="11">
        <v>20</v>
      </c>
      <c r="L2330" s="10"/>
      <c r="M2330" s="10" t="s">
        <v>47</v>
      </c>
      <c r="N2330" s="10"/>
      <c r="O2330" s="2">
        <v>3</v>
      </c>
      <c r="P2330" s="17">
        <f>217*(1-S3/100)</f>
        <v>217</v>
      </c>
      <c r="Q2330" s="18"/>
      <c r="R2330" s="10">
        <f t="shared" si="102"/>
        <v>0</v>
      </c>
      <c r="S2330" s="19">
        <f>0.218*Q2330</f>
        <v>0</v>
      </c>
      <c r="T2330" s="20">
        <f>0.00037*Q2330</f>
        <v>0</v>
      </c>
      <c r="U2330" s="21"/>
      <c r="V2330" s="22" t="s">
        <v>10315</v>
      </c>
      <c r="W2330" s="22" t="s">
        <v>49</v>
      </c>
      <c r="X2330" s="3"/>
      <c r="Y2330" s="3" t="s">
        <v>10316</v>
      </c>
      <c r="Z2330" s="3" t="s">
        <v>52</v>
      </c>
      <c r="AA2330" s="3"/>
      <c r="AB2330" s="3"/>
      <c r="AC2330" s="3" t="str">
        <f>HYPERLINK("https://knigipp.ru/api/getInfo/image/ba7b3357-3d55-11f0-a27c-00155d82e908")</f>
        <v>https://knigipp.ru/api/getInfo/image/ba7b3357-3d55-11f0-a27c-00155d82e908</v>
      </c>
      <c r="AD2330" s="32">
        <v>48</v>
      </c>
      <c r="AE2330" s="3" t="s">
        <v>54</v>
      </c>
      <c r="AF2330" s="3" t="s">
        <v>127</v>
      </c>
      <c r="AG2330" s="3"/>
      <c r="AH2330" s="3" t="s">
        <v>56</v>
      </c>
      <c r="AI2330" s="3"/>
      <c r="AJ2330" s="3"/>
      <c r="AK2330" s="3" t="str">
        <f>HYPERLINK("https://knigipp.ru/api/getInfo/item/ba7b3357-3d55-11f0-a27c-00155d82e908")</f>
        <v>https://knigipp.ru/api/getInfo/item/ba7b3357-3d55-11f0-a27c-00155d82e908</v>
      </c>
      <c r="AL2330" s="3" t="s">
        <v>9087</v>
      </c>
    </row>
    <row r="2331" spans="1:38" ht="21" customHeight="1" outlineLevel="4" x14ac:dyDescent="0.2">
      <c r="A2331" s="39">
        <v>1800</v>
      </c>
      <c r="B2331" s="3" t="s">
        <v>10317</v>
      </c>
      <c r="C2331" s="49" t="s">
        <v>10318</v>
      </c>
      <c r="D2331" s="49"/>
      <c r="E2331" s="49"/>
      <c r="F2331" s="49"/>
      <c r="G2331" s="4" t="s">
        <v>10319</v>
      </c>
      <c r="H2331" s="8"/>
      <c r="I2331" s="9" t="s">
        <v>10294</v>
      </c>
      <c r="J2331" s="10"/>
      <c r="K2331" s="11">
        <v>20</v>
      </c>
      <c r="L2331" s="10"/>
      <c r="M2331" s="10" t="s">
        <v>47</v>
      </c>
      <c r="N2331" s="10"/>
      <c r="O2331" s="2">
        <v>3</v>
      </c>
      <c r="P2331" s="17">
        <f>217*(1-S3/100)</f>
        <v>217</v>
      </c>
      <c r="Q2331" s="18"/>
      <c r="R2331" s="10">
        <f t="shared" si="102"/>
        <v>0</v>
      </c>
      <c r="S2331" s="19">
        <f>0.218*Q2331</f>
        <v>0</v>
      </c>
      <c r="T2331" s="20">
        <f>0.00037*Q2331</f>
        <v>0</v>
      </c>
      <c r="U2331" s="21"/>
      <c r="V2331" s="22" t="s">
        <v>10320</v>
      </c>
      <c r="W2331" s="22" t="s">
        <v>49</v>
      </c>
      <c r="X2331" s="3" t="s">
        <v>10056</v>
      </c>
      <c r="Y2331" s="3" t="s">
        <v>10321</v>
      </c>
      <c r="Z2331" s="3" t="s">
        <v>52</v>
      </c>
      <c r="AA2331" s="3"/>
      <c r="AB2331" s="3"/>
      <c r="AC2331" s="3" t="str">
        <f>HYPERLINK("https://knigipp.ru/api/getInfo/image/6ced091c-3d55-11f0-a27c-00155d82e908")</f>
        <v>https://knigipp.ru/api/getInfo/image/6ced091c-3d55-11f0-a27c-00155d82e908</v>
      </c>
      <c r="AD2331" s="32">
        <v>48</v>
      </c>
      <c r="AE2331" s="3" t="s">
        <v>54</v>
      </c>
      <c r="AF2331" s="3" t="s">
        <v>127</v>
      </c>
      <c r="AG2331" s="3"/>
      <c r="AH2331" s="3" t="s">
        <v>56</v>
      </c>
      <c r="AI2331" s="3"/>
      <c r="AJ2331" s="3"/>
      <c r="AK2331" s="3" t="str">
        <f>HYPERLINK("https://knigipp.ru/api/getInfo/item/6ced091c-3d55-11f0-a27c-00155d82e908")</f>
        <v>https://knigipp.ru/api/getInfo/item/6ced091c-3d55-11f0-a27c-00155d82e908</v>
      </c>
      <c r="AL2331" s="3" t="s">
        <v>9087</v>
      </c>
    </row>
    <row r="2332" spans="1:38" ht="23.1" customHeight="1" outlineLevel="3" x14ac:dyDescent="0.2">
      <c r="A2332" s="48" t="s">
        <v>10322</v>
      </c>
      <c r="B2332" s="48"/>
      <c r="C2332" s="48"/>
      <c r="D2332" s="48"/>
      <c r="E2332" s="48"/>
      <c r="F2332" s="48"/>
    </row>
    <row r="2333" spans="1:38" ht="21" customHeight="1" outlineLevel="4" x14ac:dyDescent="0.2">
      <c r="A2333" s="39">
        <v>1801</v>
      </c>
      <c r="B2333" s="3" t="s">
        <v>10323</v>
      </c>
      <c r="C2333" s="49" t="s">
        <v>10324</v>
      </c>
      <c r="D2333" s="49"/>
      <c r="E2333" s="49"/>
      <c r="F2333" s="49"/>
      <c r="G2333" s="4" t="s">
        <v>10325</v>
      </c>
      <c r="H2333" s="8"/>
      <c r="I2333" s="9" t="s">
        <v>10326</v>
      </c>
      <c r="J2333" s="10"/>
      <c r="K2333" s="11">
        <v>20</v>
      </c>
      <c r="L2333" s="10"/>
      <c r="M2333" s="10" t="s">
        <v>47</v>
      </c>
      <c r="N2333" s="10"/>
      <c r="O2333" s="2">
        <v>2</v>
      </c>
      <c r="P2333" s="17">
        <f>345*(1-S3/100)</f>
        <v>345</v>
      </c>
      <c r="Q2333" s="18"/>
      <c r="R2333" s="10">
        <f>P2333*Q2333</f>
        <v>0</v>
      </c>
      <c r="S2333" s="28">
        <f>0.14*Q2333</f>
        <v>0</v>
      </c>
      <c r="T2333" s="20">
        <f>0.00012*Q2333</f>
        <v>0</v>
      </c>
      <c r="U2333" s="21"/>
      <c r="V2333" s="22" t="s">
        <v>10327</v>
      </c>
      <c r="W2333" s="22" t="s">
        <v>49</v>
      </c>
      <c r="X2333" s="3" t="s">
        <v>10328</v>
      </c>
      <c r="Y2333" s="3" t="s">
        <v>10329</v>
      </c>
      <c r="Z2333" s="3" t="s">
        <v>52</v>
      </c>
      <c r="AA2333" s="3"/>
      <c r="AB2333" s="3"/>
      <c r="AC2333" s="3" t="str">
        <f>HYPERLINK("https://knigipp.ru/api/getInfo/image/5d9aa400-3d56-11f0-a27c-00155d82e908")</f>
        <v>https://knigipp.ru/api/getInfo/image/5d9aa400-3d56-11f0-a27c-00155d82e908</v>
      </c>
      <c r="AD2333" s="32">
        <v>48</v>
      </c>
      <c r="AE2333" s="3" t="s">
        <v>54</v>
      </c>
      <c r="AF2333" s="3" t="s">
        <v>127</v>
      </c>
      <c r="AG2333" s="3"/>
      <c r="AH2333" s="3" t="s">
        <v>56</v>
      </c>
      <c r="AI2333" s="3"/>
      <c r="AJ2333" s="3"/>
      <c r="AK2333" s="3" t="str">
        <f>HYPERLINK("https://knigipp.ru/api/getInfo/item/5d9aa400-3d56-11f0-a27c-00155d82e908")</f>
        <v>https://knigipp.ru/api/getInfo/item/5d9aa400-3d56-11f0-a27c-00155d82e908</v>
      </c>
      <c r="AL2333" s="3" t="s">
        <v>9087</v>
      </c>
    </row>
    <row r="2334" spans="1:38" ht="21" customHeight="1" outlineLevel="4" x14ac:dyDescent="0.2">
      <c r="A2334" s="39">
        <v>1802</v>
      </c>
      <c r="B2334" s="3" t="s">
        <v>10330</v>
      </c>
      <c r="C2334" s="49" t="s">
        <v>10331</v>
      </c>
      <c r="D2334" s="49"/>
      <c r="E2334" s="49"/>
      <c r="F2334" s="49"/>
      <c r="G2334" s="4" t="s">
        <v>10332</v>
      </c>
      <c r="H2334" s="8"/>
      <c r="I2334" s="9" t="s">
        <v>10333</v>
      </c>
      <c r="J2334" s="10"/>
      <c r="K2334" s="11">
        <v>20</v>
      </c>
      <c r="L2334" s="10"/>
      <c r="M2334" s="10" t="s">
        <v>47</v>
      </c>
      <c r="N2334" s="10"/>
      <c r="O2334" s="2">
        <v>2</v>
      </c>
      <c r="P2334" s="17">
        <f>345*(1-S3/100)</f>
        <v>345</v>
      </c>
      <c r="Q2334" s="18"/>
      <c r="R2334" s="10">
        <f>P2334*Q2334</f>
        <v>0</v>
      </c>
      <c r="S2334" s="19">
        <f>0.143*Q2334</f>
        <v>0</v>
      </c>
      <c r="T2334" s="20">
        <f>0.00012*Q2334</f>
        <v>0</v>
      </c>
      <c r="U2334" s="21"/>
      <c r="V2334" s="22" t="s">
        <v>10334</v>
      </c>
      <c r="W2334" s="22" t="s">
        <v>49</v>
      </c>
      <c r="X2334" s="3" t="s">
        <v>10328</v>
      </c>
      <c r="Y2334" s="3" t="s">
        <v>10335</v>
      </c>
      <c r="Z2334" s="3" t="s">
        <v>52</v>
      </c>
      <c r="AA2334" s="3"/>
      <c r="AB2334" s="3"/>
      <c r="AC2334" s="3" t="str">
        <f>HYPERLINK("https://knigipp.ru/api/getInfo/image/36af824a-3d56-11f0-a27c-00155d82e908")</f>
        <v>https://knigipp.ru/api/getInfo/image/36af824a-3d56-11f0-a27c-00155d82e908</v>
      </c>
      <c r="AD2334" s="32">
        <v>48</v>
      </c>
      <c r="AE2334" s="3" t="s">
        <v>54</v>
      </c>
      <c r="AF2334" s="3" t="s">
        <v>127</v>
      </c>
      <c r="AG2334" s="3"/>
      <c r="AH2334" s="3" t="s">
        <v>56</v>
      </c>
      <c r="AI2334" s="3"/>
      <c r="AJ2334" s="3"/>
      <c r="AK2334" s="3" t="str">
        <f>HYPERLINK("https://knigipp.ru/api/getInfo/item/36af824a-3d56-11f0-a27c-00155d82e908")</f>
        <v>https://knigipp.ru/api/getInfo/item/36af824a-3d56-11f0-a27c-00155d82e908</v>
      </c>
      <c r="AL2334" s="3" t="s">
        <v>9087</v>
      </c>
    </row>
    <row r="2335" spans="1:38" ht="21" customHeight="1" outlineLevel="4" x14ac:dyDescent="0.2">
      <c r="A2335" s="39">
        <v>1803</v>
      </c>
      <c r="B2335" s="3" t="s">
        <v>10336</v>
      </c>
      <c r="C2335" s="49" t="s">
        <v>10337</v>
      </c>
      <c r="D2335" s="49"/>
      <c r="E2335" s="49"/>
      <c r="F2335" s="49"/>
      <c r="G2335" s="4" t="s">
        <v>10338</v>
      </c>
      <c r="H2335" s="8"/>
      <c r="I2335" s="9" t="s">
        <v>10339</v>
      </c>
      <c r="J2335" s="10"/>
      <c r="K2335" s="11">
        <v>20</v>
      </c>
      <c r="L2335" s="10"/>
      <c r="M2335" s="10" t="s">
        <v>47</v>
      </c>
      <c r="N2335" s="10"/>
      <c r="O2335" s="2">
        <v>2</v>
      </c>
      <c r="P2335" s="17">
        <f>345*(1-S3/100)</f>
        <v>345</v>
      </c>
      <c r="Q2335" s="18"/>
      <c r="R2335" s="10">
        <f>P2335*Q2335</f>
        <v>0</v>
      </c>
      <c r="S2335" s="19">
        <f>0.143*Q2335</f>
        <v>0</v>
      </c>
      <c r="T2335" s="20">
        <f>0.00015*Q2335</f>
        <v>0</v>
      </c>
      <c r="U2335" s="21"/>
      <c r="V2335" s="22" t="s">
        <v>10340</v>
      </c>
      <c r="W2335" s="22" t="s">
        <v>49</v>
      </c>
      <c r="X2335" s="3" t="s">
        <v>10328</v>
      </c>
      <c r="Y2335" s="3" t="s">
        <v>10341</v>
      </c>
      <c r="Z2335" s="3" t="s">
        <v>52</v>
      </c>
      <c r="AA2335" s="3"/>
      <c r="AB2335" s="3"/>
      <c r="AC2335" s="3" t="str">
        <f>HYPERLINK("https://knigipp.ru/api/getInfo/image/2d13e373-25c5-11f0-a279-00155d82e908")</f>
        <v>https://knigipp.ru/api/getInfo/image/2d13e373-25c5-11f0-a279-00155d82e908</v>
      </c>
      <c r="AD2335" s="32">
        <v>48</v>
      </c>
      <c r="AE2335" s="3" t="s">
        <v>54</v>
      </c>
      <c r="AF2335" s="3" t="s">
        <v>127</v>
      </c>
      <c r="AG2335" s="3"/>
      <c r="AH2335" s="3" t="s">
        <v>56</v>
      </c>
      <c r="AI2335" s="3"/>
      <c r="AJ2335" s="3"/>
      <c r="AK2335" s="3" t="str">
        <f>HYPERLINK("https://knigipp.ru/api/getInfo/item/2d13e373-25c5-11f0-a279-00155d82e908")</f>
        <v>https://knigipp.ru/api/getInfo/item/2d13e373-25c5-11f0-a279-00155d82e908</v>
      </c>
      <c r="AL2335" s="3" t="s">
        <v>401</v>
      </c>
    </row>
    <row r="2336" spans="1:38" ht="21" customHeight="1" outlineLevel="4" x14ac:dyDescent="0.2">
      <c r="A2336" s="39">
        <v>1804</v>
      </c>
      <c r="B2336" s="3" t="s">
        <v>10342</v>
      </c>
      <c r="C2336" s="49" t="s">
        <v>10343</v>
      </c>
      <c r="D2336" s="49"/>
      <c r="E2336" s="49"/>
      <c r="F2336" s="49"/>
      <c r="G2336" s="4" t="s">
        <v>10344</v>
      </c>
      <c r="H2336" s="8"/>
      <c r="I2336" s="9" t="s">
        <v>10345</v>
      </c>
      <c r="J2336" s="10"/>
      <c r="K2336" s="11">
        <v>20</v>
      </c>
      <c r="L2336" s="10"/>
      <c r="M2336" s="10" t="s">
        <v>47</v>
      </c>
      <c r="N2336" s="10"/>
      <c r="O2336" s="2">
        <v>2</v>
      </c>
      <c r="P2336" s="17">
        <f>345*(1-S3/100)</f>
        <v>345</v>
      </c>
      <c r="Q2336" s="18"/>
      <c r="R2336" s="10">
        <f>P2336*Q2336</f>
        <v>0</v>
      </c>
      <c r="S2336" s="19">
        <f>0.141*Q2336</f>
        <v>0</v>
      </c>
      <c r="T2336" s="20">
        <f>0.00012*Q2336</f>
        <v>0</v>
      </c>
      <c r="U2336" s="21"/>
      <c r="V2336" s="22" t="s">
        <v>10346</v>
      </c>
      <c r="W2336" s="22" t="s">
        <v>49</v>
      </c>
      <c r="X2336" s="3" t="s">
        <v>10328</v>
      </c>
      <c r="Y2336" s="3" t="s">
        <v>10347</v>
      </c>
      <c r="Z2336" s="3" t="s">
        <v>52</v>
      </c>
      <c r="AA2336" s="3"/>
      <c r="AB2336" s="3"/>
      <c r="AC2336" s="3" t="str">
        <f>HYPERLINK("https://knigipp.ru/api/getInfo/image/60229830-55a2-11f0-a27e-00155d82e908")</f>
        <v>https://knigipp.ru/api/getInfo/image/60229830-55a2-11f0-a27e-00155d82e908</v>
      </c>
      <c r="AD2336" s="32">
        <v>48</v>
      </c>
      <c r="AE2336" s="3" t="s">
        <v>54</v>
      </c>
      <c r="AF2336" s="3" t="s">
        <v>127</v>
      </c>
      <c r="AG2336" s="3"/>
      <c r="AH2336" s="3" t="s">
        <v>56</v>
      </c>
      <c r="AI2336" s="3"/>
      <c r="AJ2336" s="3"/>
      <c r="AK2336" s="3" t="str">
        <f>HYPERLINK("https://knigipp.ru/api/getInfo/item/60229830-55a2-11f0-a27e-00155d82e908")</f>
        <v>https://knigipp.ru/api/getInfo/item/60229830-55a2-11f0-a27e-00155d82e908</v>
      </c>
      <c r="AL2336" s="3" t="s">
        <v>9485</v>
      </c>
    </row>
    <row r="2337" spans="1:38" ht="23.1" customHeight="1" outlineLevel="2" x14ac:dyDescent="0.2">
      <c r="A2337" s="47" t="s">
        <v>10348</v>
      </c>
      <c r="B2337" s="47"/>
      <c r="C2337" s="47"/>
      <c r="D2337" s="47"/>
      <c r="E2337" s="47"/>
      <c r="F2337" s="47"/>
    </row>
    <row r="2338" spans="1:38" ht="23.1" customHeight="1" outlineLevel="3" x14ac:dyDescent="0.2">
      <c r="A2338" s="48" t="s">
        <v>10349</v>
      </c>
      <c r="B2338" s="48"/>
      <c r="C2338" s="48"/>
      <c r="D2338" s="48"/>
      <c r="E2338" s="48"/>
      <c r="F2338" s="48"/>
    </row>
    <row r="2339" spans="1:38" ht="21" customHeight="1" outlineLevel="4" x14ac:dyDescent="0.2">
      <c r="A2339" s="39">
        <v>1805</v>
      </c>
      <c r="B2339" s="3" t="s">
        <v>10350</v>
      </c>
      <c r="C2339" s="49" t="s">
        <v>10351</v>
      </c>
      <c r="D2339" s="49"/>
      <c r="E2339" s="49"/>
      <c r="F2339" s="49"/>
      <c r="G2339" s="4" t="s">
        <v>10352</v>
      </c>
      <c r="H2339" s="8"/>
      <c r="I2339" s="9" t="s">
        <v>10353</v>
      </c>
      <c r="J2339" s="10"/>
      <c r="K2339" s="11">
        <v>20</v>
      </c>
      <c r="L2339" s="10"/>
      <c r="M2339" s="10" t="s">
        <v>47</v>
      </c>
      <c r="N2339" s="10"/>
      <c r="O2339" s="2">
        <v>2</v>
      </c>
      <c r="P2339" s="17">
        <f>299*(1-S3/100)</f>
        <v>299</v>
      </c>
      <c r="Q2339" s="18"/>
      <c r="R2339" s="10">
        <f>P2339*Q2339</f>
        <v>0</v>
      </c>
      <c r="S2339" s="19">
        <f>0.242*Q2339</f>
        <v>0</v>
      </c>
      <c r="T2339" s="20">
        <f>0.00056*Q2339</f>
        <v>0</v>
      </c>
      <c r="U2339" s="21"/>
      <c r="V2339" s="22" t="s">
        <v>10354</v>
      </c>
      <c r="W2339" s="22" t="s">
        <v>49</v>
      </c>
      <c r="X2339" s="3" t="s">
        <v>10110</v>
      </c>
      <c r="Y2339" s="3" t="s">
        <v>10355</v>
      </c>
      <c r="Z2339" s="3" t="s">
        <v>52</v>
      </c>
      <c r="AA2339" s="3"/>
      <c r="AB2339" s="3"/>
      <c r="AC2339" s="3" t="str">
        <f>HYPERLINK("https://knigipp.ru/api/getInfo/image/978adc2e-f39b-11eb-a20d-ac1f6b442185")</f>
        <v>https://knigipp.ru/api/getInfo/image/978adc2e-f39b-11eb-a20d-ac1f6b442185</v>
      </c>
      <c r="AD2339" s="32">
        <v>48</v>
      </c>
      <c r="AE2339" s="3"/>
      <c r="AF2339" s="3" t="s">
        <v>127</v>
      </c>
      <c r="AG2339" s="3"/>
      <c r="AH2339" s="3" t="s">
        <v>56</v>
      </c>
      <c r="AI2339" s="3"/>
      <c r="AJ2339" s="3"/>
      <c r="AK2339" s="3" t="str">
        <f>HYPERLINK("https://knigipp.ru/api/getInfo/item/978adc2e-f39b-11eb-a20d-ac1f6b442185")</f>
        <v>https://knigipp.ru/api/getInfo/item/978adc2e-f39b-11eb-a20d-ac1f6b442185</v>
      </c>
      <c r="AL2339" s="3" t="s">
        <v>10356</v>
      </c>
    </row>
    <row r="2340" spans="1:38" ht="21" customHeight="1" outlineLevel="4" x14ac:dyDescent="0.2">
      <c r="A2340" s="39">
        <v>1806</v>
      </c>
      <c r="B2340" s="3" t="s">
        <v>10357</v>
      </c>
      <c r="C2340" s="49" t="s">
        <v>10358</v>
      </c>
      <c r="D2340" s="49"/>
      <c r="E2340" s="49"/>
      <c r="F2340" s="49"/>
      <c r="G2340" s="4" t="s">
        <v>10359</v>
      </c>
      <c r="H2340" s="8"/>
      <c r="I2340" s="9" t="s">
        <v>10360</v>
      </c>
      <c r="J2340" s="10"/>
      <c r="K2340" s="11">
        <v>20</v>
      </c>
      <c r="L2340" s="10"/>
      <c r="M2340" s="10" t="s">
        <v>47</v>
      </c>
      <c r="N2340" s="10"/>
      <c r="O2340" s="2">
        <v>2</v>
      </c>
      <c r="P2340" s="17">
        <f>299*(1-S3/100)</f>
        <v>299</v>
      </c>
      <c r="Q2340" s="18"/>
      <c r="R2340" s="10">
        <f>P2340*Q2340</f>
        <v>0</v>
      </c>
      <c r="S2340" s="19">
        <f>0.242*Q2340</f>
        <v>0</v>
      </c>
      <c r="T2340" s="20">
        <f>0.00056*Q2340</f>
        <v>0</v>
      </c>
      <c r="U2340" s="21"/>
      <c r="V2340" s="22" t="s">
        <v>10361</v>
      </c>
      <c r="W2340" s="22" t="s">
        <v>49</v>
      </c>
      <c r="X2340" s="3" t="s">
        <v>10362</v>
      </c>
      <c r="Y2340" s="3" t="s">
        <v>10363</v>
      </c>
      <c r="Z2340" s="3" t="s">
        <v>52</v>
      </c>
      <c r="AA2340" s="3"/>
      <c r="AB2340" s="3"/>
      <c r="AC2340" s="3" t="str">
        <f>HYPERLINK("https://knigipp.ru/api/getInfo/image/068b5521-0a5c-11ec-a20e-ac1f6b442185")</f>
        <v>https://knigipp.ru/api/getInfo/image/068b5521-0a5c-11ec-a20e-ac1f6b442185</v>
      </c>
      <c r="AD2340" s="32">
        <v>48</v>
      </c>
      <c r="AE2340" s="3"/>
      <c r="AF2340" s="3" t="s">
        <v>127</v>
      </c>
      <c r="AG2340" s="3"/>
      <c r="AH2340" s="3" t="s">
        <v>56</v>
      </c>
      <c r="AI2340" s="3"/>
      <c r="AJ2340" s="3"/>
      <c r="AK2340" s="3" t="str">
        <f>HYPERLINK("https://knigipp.ru/api/getInfo/item/068b5521-0a5c-11ec-a20e-ac1f6b442185")</f>
        <v>https://knigipp.ru/api/getInfo/item/068b5521-0a5c-11ec-a20e-ac1f6b442185</v>
      </c>
      <c r="AL2340" s="3" t="s">
        <v>10356</v>
      </c>
    </row>
    <row r="2341" spans="1:38" ht="21" customHeight="1" outlineLevel="4" x14ac:dyDescent="0.2">
      <c r="A2341" s="39">
        <v>1807</v>
      </c>
      <c r="B2341" s="3" t="s">
        <v>10364</v>
      </c>
      <c r="C2341" s="49" t="s">
        <v>10365</v>
      </c>
      <c r="D2341" s="49"/>
      <c r="E2341" s="49"/>
      <c r="F2341" s="49"/>
      <c r="G2341" s="4" t="s">
        <v>10366</v>
      </c>
      <c r="H2341" s="8"/>
      <c r="I2341" s="9" t="s">
        <v>10367</v>
      </c>
      <c r="J2341" s="10"/>
      <c r="K2341" s="11">
        <v>20</v>
      </c>
      <c r="L2341" s="10"/>
      <c r="M2341" s="10" t="s">
        <v>47</v>
      </c>
      <c r="N2341" s="10"/>
      <c r="O2341" s="2">
        <v>2</v>
      </c>
      <c r="P2341" s="17">
        <f>299*(1-S3/100)</f>
        <v>299</v>
      </c>
      <c r="Q2341" s="18"/>
      <c r="R2341" s="10">
        <f>P2341*Q2341</f>
        <v>0</v>
      </c>
      <c r="S2341" s="19">
        <f>0.259*Q2341</f>
        <v>0</v>
      </c>
      <c r="T2341" s="20">
        <f>0.00027*Q2341</f>
        <v>0</v>
      </c>
      <c r="U2341" s="21"/>
      <c r="V2341" s="22" t="s">
        <v>10368</v>
      </c>
      <c r="W2341" s="22" t="s">
        <v>49</v>
      </c>
      <c r="X2341" s="3" t="s">
        <v>10369</v>
      </c>
      <c r="Y2341" s="3" t="s">
        <v>10370</v>
      </c>
      <c r="Z2341" s="3" t="s">
        <v>52</v>
      </c>
      <c r="AA2341" s="3"/>
      <c r="AB2341" s="3"/>
      <c r="AC2341" s="3" t="str">
        <f>HYPERLINK("https://knigipp.ru/api/getInfo/image/d252e914-f39b-11eb-a20d-ac1f6b442185")</f>
        <v>https://knigipp.ru/api/getInfo/image/d252e914-f39b-11eb-a20d-ac1f6b442185</v>
      </c>
      <c r="AD2341" s="32">
        <v>48</v>
      </c>
      <c r="AE2341" s="3"/>
      <c r="AF2341" s="3" t="s">
        <v>127</v>
      </c>
      <c r="AG2341" s="3"/>
      <c r="AH2341" s="3" t="s">
        <v>56</v>
      </c>
      <c r="AI2341" s="3"/>
      <c r="AJ2341" s="3"/>
      <c r="AK2341" s="3" t="str">
        <f>HYPERLINK("https://knigipp.ru/api/getInfo/item/d252e914-f39b-11eb-a20d-ac1f6b442185")</f>
        <v>https://knigipp.ru/api/getInfo/item/d252e914-f39b-11eb-a20d-ac1f6b442185</v>
      </c>
      <c r="AL2341" s="3" t="s">
        <v>10356</v>
      </c>
    </row>
    <row r="2342" spans="1:38" ht="21" customHeight="1" outlineLevel="4" x14ac:dyDescent="0.2">
      <c r="A2342" s="39">
        <v>1808</v>
      </c>
      <c r="B2342" s="3" t="s">
        <v>10371</v>
      </c>
      <c r="C2342" s="49" t="s">
        <v>10372</v>
      </c>
      <c r="D2342" s="49"/>
      <c r="E2342" s="49"/>
      <c r="F2342" s="49"/>
      <c r="G2342" s="4" t="s">
        <v>10373</v>
      </c>
      <c r="H2342" s="8"/>
      <c r="I2342" s="9" t="s">
        <v>10374</v>
      </c>
      <c r="J2342" s="10"/>
      <c r="K2342" s="11">
        <v>20</v>
      </c>
      <c r="L2342" s="10"/>
      <c r="M2342" s="10" t="s">
        <v>47</v>
      </c>
      <c r="N2342" s="10"/>
      <c r="O2342" s="2">
        <v>2</v>
      </c>
      <c r="P2342" s="17">
        <f>299*(1-S3/100)</f>
        <v>299</v>
      </c>
      <c r="Q2342" s="18"/>
      <c r="R2342" s="10">
        <f>P2342*Q2342</f>
        <v>0</v>
      </c>
      <c r="S2342" s="19">
        <f>0.257*Q2342</f>
        <v>0</v>
      </c>
      <c r="T2342" s="20">
        <f>0.00027*Q2342</f>
        <v>0</v>
      </c>
      <c r="U2342" s="21"/>
      <c r="V2342" s="22" t="s">
        <v>10375</v>
      </c>
      <c r="W2342" s="22" t="s">
        <v>49</v>
      </c>
      <c r="X2342" s="3" t="s">
        <v>10376</v>
      </c>
      <c r="Y2342" s="3"/>
      <c r="Z2342" s="3" t="s">
        <v>52</v>
      </c>
      <c r="AA2342" s="3"/>
      <c r="AB2342" s="3"/>
      <c r="AC2342" s="3" t="str">
        <f>HYPERLINK("https://knigipp.ru/api/getInfo/image/f760112b-f39b-11eb-a20d-ac1f6b442185")</f>
        <v>https://knigipp.ru/api/getInfo/image/f760112b-f39b-11eb-a20d-ac1f6b442185</v>
      </c>
      <c r="AD2342" s="32">
        <v>48</v>
      </c>
      <c r="AE2342" s="3"/>
      <c r="AF2342" s="3" t="s">
        <v>127</v>
      </c>
      <c r="AG2342" s="3"/>
      <c r="AH2342" s="3" t="s">
        <v>56</v>
      </c>
      <c r="AI2342" s="3"/>
      <c r="AJ2342" s="3"/>
      <c r="AK2342" s="3" t="str">
        <f>HYPERLINK("https://knigipp.ru/api/getInfo/item/f760112b-f39b-11eb-a20d-ac1f6b442185")</f>
        <v>https://knigipp.ru/api/getInfo/item/f760112b-f39b-11eb-a20d-ac1f6b442185</v>
      </c>
      <c r="AL2342" s="3" t="s">
        <v>10356</v>
      </c>
    </row>
    <row r="2343" spans="1:38" ht="23.1" customHeight="1" outlineLevel="3" x14ac:dyDescent="0.2">
      <c r="A2343" s="48" t="s">
        <v>10377</v>
      </c>
      <c r="B2343" s="48"/>
      <c r="C2343" s="48"/>
      <c r="D2343" s="48"/>
      <c r="E2343" s="48"/>
      <c r="F2343" s="48"/>
    </row>
    <row r="2344" spans="1:38" ht="21" customHeight="1" outlineLevel="4" x14ac:dyDescent="0.2">
      <c r="A2344" s="39">
        <v>1809</v>
      </c>
      <c r="B2344" s="3" t="s">
        <v>10378</v>
      </c>
      <c r="C2344" s="49" t="s">
        <v>10379</v>
      </c>
      <c r="D2344" s="49"/>
      <c r="E2344" s="49"/>
      <c r="F2344" s="49"/>
      <c r="G2344" s="4" t="s">
        <v>10380</v>
      </c>
      <c r="H2344" s="8"/>
      <c r="I2344" s="9" t="s">
        <v>10381</v>
      </c>
      <c r="J2344" s="10"/>
      <c r="K2344" s="11">
        <v>20</v>
      </c>
      <c r="L2344" s="10"/>
      <c r="M2344" s="10" t="s">
        <v>47</v>
      </c>
      <c r="N2344" s="10"/>
      <c r="O2344" s="2">
        <v>2</v>
      </c>
      <c r="P2344" s="17">
        <f>345*(1-S3/100)</f>
        <v>345</v>
      </c>
      <c r="Q2344" s="18"/>
      <c r="R2344" s="10">
        <f>P2344*Q2344</f>
        <v>0</v>
      </c>
      <c r="S2344" s="19">
        <f>0.134*Q2344</f>
        <v>0</v>
      </c>
      <c r="T2344" s="20">
        <f>0.00015*Q2344</f>
        <v>0</v>
      </c>
      <c r="U2344" s="21"/>
      <c r="V2344" s="22" t="s">
        <v>10382</v>
      </c>
      <c r="W2344" s="22" t="s">
        <v>49</v>
      </c>
      <c r="X2344" s="3" t="s">
        <v>10383</v>
      </c>
      <c r="Y2344" s="3" t="s">
        <v>10384</v>
      </c>
      <c r="Z2344" s="3" t="s">
        <v>52</v>
      </c>
      <c r="AA2344" s="3"/>
      <c r="AB2344" s="3"/>
      <c r="AC2344" s="3" t="str">
        <f>HYPERLINK("https://knigipp.ru/api/getInfo/image/46766b3e-84cb-11f0-a284-00155d82e908")</f>
        <v>https://knigipp.ru/api/getInfo/image/46766b3e-84cb-11f0-a284-00155d82e908</v>
      </c>
      <c r="AD2344" s="32">
        <v>48</v>
      </c>
      <c r="AE2344" s="3" t="s">
        <v>54</v>
      </c>
      <c r="AF2344" s="3" t="s">
        <v>127</v>
      </c>
      <c r="AG2344" s="3"/>
      <c r="AH2344" s="3" t="s">
        <v>56</v>
      </c>
      <c r="AI2344" s="3"/>
      <c r="AJ2344" s="3"/>
      <c r="AK2344" s="3" t="str">
        <f>HYPERLINK("https://knigipp.ru/api/getInfo/item/46766b3e-84cb-11f0-a284-00155d82e908")</f>
        <v>https://knigipp.ru/api/getInfo/item/46766b3e-84cb-11f0-a284-00155d82e908</v>
      </c>
      <c r="AL2344" s="3" t="s">
        <v>9087</v>
      </c>
    </row>
    <row r="2345" spans="1:38" ht="21" customHeight="1" outlineLevel="4" x14ac:dyDescent="0.2">
      <c r="A2345" s="39">
        <v>1810</v>
      </c>
      <c r="B2345" s="3" t="s">
        <v>10385</v>
      </c>
      <c r="C2345" s="49" t="s">
        <v>10386</v>
      </c>
      <c r="D2345" s="49"/>
      <c r="E2345" s="49"/>
      <c r="F2345" s="49"/>
      <c r="G2345" s="4" t="s">
        <v>10387</v>
      </c>
      <c r="H2345" s="8"/>
      <c r="I2345" s="9" t="s">
        <v>10388</v>
      </c>
      <c r="J2345" s="10"/>
      <c r="K2345" s="11">
        <v>20</v>
      </c>
      <c r="L2345" s="10"/>
      <c r="M2345" s="10" t="s">
        <v>78</v>
      </c>
      <c r="N2345" s="10"/>
      <c r="O2345" s="2">
        <v>2</v>
      </c>
      <c r="P2345" s="17">
        <f>345*(1-S3/100)</f>
        <v>345</v>
      </c>
      <c r="Q2345" s="18"/>
      <c r="R2345" s="10">
        <f>P2345*Q2345</f>
        <v>0</v>
      </c>
      <c r="S2345" s="19">
        <f>0.128*Q2345</f>
        <v>0</v>
      </c>
      <c r="T2345" s="20">
        <f>0.00012*Q2345</f>
        <v>0</v>
      </c>
      <c r="U2345" s="21"/>
      <c r="V2345" s="22" t="s">
        <v>10389</v>
      </c>
      <c r="W2345" s="22" t="s">
        <v>49</v>
      </c>
      <c r="X2345" s="3" t="s">
        <v>10383</v>
      </c>
      <c r="Y2345" s="3" t="s">
        <v>10390</v>
      </c>
      <c r="Z2345" s="3" t="s">
        <v>52</v>
      </c>
      <c r="AA2345" s="3"/>
      <c r="AB2345" s="3"/>
      <c r="AC2345" s="3" t="str">
        <f>HYPERLINK("https://knigipp.ru/api/getInfo/image/7dcc3fc8-84cb-11f0-a284-00155d82e908")</f>
        <v>https://knigipp.ru/api/getInfo/image/7dcc3fc8-84cb-11f0-a284-00155d82e908</v>
      </c>
      <c r="AD2345" s="32">
        <v>48</v>
      </c>
      <c r="AE2345" s="3" t="s">
        <v>54</v>
      </c>
      <c r="AF2345" s="3" t="s">
        <v>127</v>
      </c>
      <c r="AG2345" s="3"/>
      <c r="AH2345" s="3" t="s">
        <v>56</v>
      </c>
      <c r="AI2345" s="3"/>
      <c r="AJ2345" s="3"/>
      <c r="AK2345" s="3" t="str">
        <f>HYPERLINK("https://knigipp.ru/api/getInfo/item/7dcc3fc8-84cb-11f0-a284-00155d82e908")</f>
        <v>https://knigipp.ru/api/getInfo/item/7dcc3fc8-84cb-11f0-a284-00155d82e908</v>
      </c>
      <c r="AL2345" s="3" t="s">
        <v>9087</v>
      </c>
    </row>
    <row r="2346" spans="1:38" ht="21" customHeight="1" outlineLevel="4" x14ac:dyDescent="0.2">
      <c r="A2346" s="39">
        <v>1811</v>
      </c>
      <c r="B2346" s="3" t="s">
        <v>10391</v>
      </c>
      <c r="C2346" s="49" t="s">
        <v>10392</v>
      </c>
      <c r="D2346" s="49"/>
      <c r="E2346" s="49"/>
      <c r="F2346" s="49"/>
      <c r="G2346" s="4" t="s">
        <v>10393</v>
      </c>
      <c r="H2346" s="8"/>
      <c r="I2346" s="9" t="s">
        <v>10394</v>
      </c>
      <c r="J2346" s="10"/>
      <c r="K2346" s="11">
        <v>20</v>
      </c>
      <c r="L2346" s="10"/>
      <c r="M2346" s="10" t="s">
        <v>47</v>
      </c>
      <c r="N2346" s="10"/>
      <c r="O2346" s="2">
        <v>2</v>
      </c>
      <c r="P2346" s="17">
        <f>345*(1-S3/100)</f>
        <v>345</v>
      </c>
      <c r="Q2346" s="18"/>
      <c r="R2346" s="10">
        <f>P2346*Q2346</f>
        <v>0</v>
      </c>
      <c r="S2346" s="28">
        <f>0.13*Q2346</f>
        <v>0</v>
      </c>
      <c r="T2346" s="20">
        <f>0.00022*Q2346</f>
        <v>0</v>
      </c>
      <c r="U2346" s="21"/>
      <c r="V2346" s="22" t="s">
        <v>10395</v>
      </c>
      <c r="W2346" s="22" t="s">
        <v>49</v>
      </c>
      <c r="X2346" s="3" t="s">
        <v>10383</v>
      </c>
      <c r="Y2346" s="3" t="s">
        <v>10396</v>
      </c>
      <c r="Z2346" s="3" t="s">
        <v>52</v>
      </c>
      <c r="AA2346" s="3"/>
      <c r="AB2346" s="3"/>
      <c r="AC2346" s="3" t="str">
        <f>HYPERLINK("https://knigipp.ru/api/getInfo/image/a74a250a-84cb-11f0-a284-00155d82e908")</f>
        <v>https://knigipp.ru/api/getInfo/image/a74a250a-84cb-11f0-a284-00155d82e908</v>
      </c>
      <c r="AD2346" s="32">
        <v>48</v>
      </c>
      <c r="AE2346" s="3" t="s">
        <v>54</v>
      </c>
      <c r="AF2346" s="3" t="s">
        <v>127</v>
      </c>
      <c r="AG2346" s="3"/>
      <c r="AH2346" s="3" t="s">
        <v>56</v>
      </c>
      <c r="AI2346" s="3"/>
      <c r="AJ2346" s="3"/>
      <c r="AK2346" s="3" t="str">
        <f>HYPERLINK("https://knigipp.ru/api/getInfo/item/a74a250a-84cb-11f0-a284-00155d82e908")</f>
        <v>https://knigipp.ru/api/getInfo/item/a74a250a-84cb-11f0-a284-00155d82e908</v>
      </c>
      <c r="AL2346" s="3" t="s">
        <v>9087</v>
      </c>
    </row>
    <row r="2347" spans="1:38" ht="23.1" customHeight="1" outlineLevel="3" x14ac:dyDescent="0.2">
      <c r="A2347" s="48" t="s">
        <v>10397</v>
      </c>
      <c r="B2347" s="48"/>
      <c r="C2347" s="48"/>
      <c r="D2347" s="48"/>
      <c r="E2347" s="48"/>
      <c r="F2347" s="48"/>
    </row>
    <row r="2348" spans="1:38" ht="21" customHeight="1" outlineLevel="4" x14ac:dyDescent="0.2">
      <c r="A2348" s="39">
        <v>1812</v>
      </c>
      <c r="B2348" s="3" t="s">
        <v>10398</v>
      </c>
      <c r="C2348" s="49" t="s">
        <v>10399</v>
      </c>
      <c r="D2348" s="49"/>
      <c r="E2348" s="49"/>
      <c r="F2348" s="49"/>
      <c r="G2348" s="4" t="s">
        <v>10400</v>
      </c>
      <c r="H2348" s="8"/>
      <c r="I2348" s="9" t="s">
        <v>10401</v>
      </c>
      <c r="J2348" s="10"/>
      <c r="K2348" s="11">
        <v>12</v>
      </c>
      <c r="L2348" s="10"/>
      <c r="M2348" s="10" t="s">
        <v>78</v>
      </c>
      <c r="N2348" s="10"/>
      <c r="O2348" s="2">
        <v>3</v>
      </c>
      <c r="P2348" s="17">
        <f>247*(1-S3/100)</f>
        <v>247</v>
      </c>
      <c r="Q2348" s="18"/>
      <c r="R2348" s="10">
        <f t="shared" ref="R2348:R2356" si="103">P2348*Q2348</f>
        <v>0</v>
      </c>
      <c r="S2348" s="28">
        <f>0.22*Q2348</f>
        <v>0</v>
      </c>
      <c r="T2348" s="20">
        <f>0.00044*Q2348</f>
        <v>0</v>
      </c>
      <c r="U2348" s="21"/>
      <c r="V2348" s="22" t="s">
        <v>10402</v>
      </c>
      <c r="W2348" s="22" t="s">
        <v>49</v>
      </c>
      <c r="X2348" s="3"/>
      <c r="Y2348" s="3" t="s">
        <v>10403</v>
      </c>
      <c r="Z2348" s="3" t="s">
        <v>52</v>
      </c>
      <c r="AA2348" s="3" t="s">
        <v>3262</v>
      </c>
      <c r="AB2348" s="3"/>
      <c r="AC2348" s="3" t="str">
        <f>HYPERLINK("https://knigipp.ru/api/getInfo/image/d23ce8e0-181c-11e6-b4ab-5cf3fc4a2490")</f>
        <v>https://knigipp.ru/api/getInfo/image/d23ce8e0-181c-11e6-b4ab-5cf3fc4a2490</v>
      </c>
      <c r="AD2348" s="32">
        <v>32</v>
      </c>
      <c r="AE2348" s="3"/>
      <c r="AF2348" s="3" t="s">
        <v>127</v>
      </c>
      <c r="AG2348" s="3"/>
      <c r="AH2348" s="3" t="s">
        <v>56</v>
      </c>
      <c r="AI2348" s="3"/>
      <c r="AJ2348" s="3" t="s">
        <v>10404</v>
      </c>
      <c r="AK2348" s="3" t="str">
        <f>HYPERLINK("https://knigipp.ru/api/getInfo/item/d23ce8e0-181c-11e6-b4ab-5cf3fc4a2490")</f>
        <v>https://knigipp.ru/api/getInfo/item/d23ce8e0-181c-11e6-b4ab-5cf3fc4a2490</v>
      </c>
      <c r="AL2348" s="3" t="s">
        <v>10405</v>
      </c>
    </row>
    <row r="2349" spans="1:38" ht="21" customHeight="1" outlineLevel="4" x14ac:dyDescent="0.2">
      <c r="A2349" s="39">
        <v>1813</v>
      </c>
      <c r="B2349" s="3" t="s">
        <v>10406</v>
      </c>
      <c r="C2349" s="49" t="s">
        <v>10407</v>
      </c>
      <c r="D2349" s="49"/>
      <c r="E2349" s="49"/>
      <c r="F2349" s="49"/>
      <c r="G2349" s="4" t="s">
        <v>10408</v>
      </c>
      <c r="H2349" s="8"/>
      <c r="I2349" s="9" t="s">
        <v>10409</v>
      </c>
      <c r="J2349" s="10"/>
      <c r="K2349" s="11">
        <v>12</v>
      </c>
      <c r="L2349" s="10"/>
      <c r="M2349" s="10" t="s">
        <v>304</v>
      </c>
      <c r="N2349" s="10"/>
      <c r="O2349" s="2">
        <v>3</v>
      </c>
      <c r="P2349" s="17">
        <f>247*(1-S3/100)</f>
        <v>247</v>
      </c>
      <c r="Q2349" s="18"/>
      <c r="R2349" s="10">
        <f t="shared" si="103"/>
        <v>0</v>
      </c>
      <c r="S2349" s="19">
        <f>0.218*Q2349</f>
        <v>0</v>
      </c>
      <c r="T2349" s="20">
        <f>0.00037*Q2349</f>
        <v>0</v>
      </c>
      <c r="U2349" s="21"/>
      <c r="V2349" s="22" t="s">
        <v>10410</v>
      </c>
      <c r="W2349" s="22" t="s">
        <v>49</v>
      </c>
      <c r="X2349" s="3"/>
      <c r="Y2349" s="3" t="s">
        <v>10411</v>
      </c>
      <c r="Z2349" s="3" t="s">
        <v>52</v>
      </c>
      <c r="AA2349" s="3" t="s">
        <v>10036</v>
      </c>
      <c r="AB2349" s="3"/>
      <c r="AC2349" s="3" t="str">
        <f>HYPERLINK("https://knigipp.ru/api/getInfo/image/b57a6c00-181c-11e6-b4ab-5cf3fc4a2490")</f>
        <v>https://knigipp.ru/api/getInfo/image/b57a6c00-181c-11e6-b4ab-5cf3fc4a2490</v>
      </c>
      <c r="AD2349" s="32">
        <v>32</v>
      </c>
      <c r="AE2349" s="3"/>
      <c r="AF2349" s="3" t="s">
        <v>127</v>
      </c>
      <c r="AG2349" s="3"/>
      <c r="AH2349" s="3" t="s">
        <v>56</v>
      </c>
      <c r="AI2349" s="3"/>
      <c r="AJ2349" s="3" t="s">
        <v>10404</v>
      </c>
      <c r="AK2349" s="3" t="str">
        <f>HYPERLINK("https://knigipp.ru/api/getInfo/item/b57a6c00-181c-11e6-b4ab-5cf3fc4a2490")</f>
        <v>https://knigipp.ru/api/getInfo/item/b57a6c00-181c-11e6-b4ab-5cf3fc4a2490</v>
      </c>
      <c r="AL2349" s="3" t="s">
        <v>10405</v>
      </c>
    </row>
    <row r="2350" spans="1:38" ht="21" customHeight="1" outlineLevel="4" x14ac:dyDescent="0.2">
      <c r="A2350" s="39">
        <v>1814</v>
      </c>
      <c r="B2350" s="3" t="s">
        <v>10412</v>
      </c>
      <c r="C2350" s="49" t="s">
        <v>10413</v>
      </c>
      <c r="D2350" s="49"/>
      <c r="E2350" s="49"/>
      <c r="F2350" s="49"/>
      <c r="G2350" s="4" t="s">
        <v>10414</v>
      </c>
      <c r="H2350" s="8"/>
      <c r="I2350" s="9" t="s">
        <v>10415</v>
      </c>
      <c r="J2350" s="10"/>
      <c r="K2350" s="11">
        <v>12</v>
      </c>
      <c r="L2350" s="10"/>
      <c r="M2350" s="10" t="s">
        <v>304</v>
      </c>
      <c r="N2350" s="10"/>
      <c r="O2350" s="2">
        <v>3</v>
      </c>
      <c r="P2350" s="17">
        <f>219*(1-S3/100)</f>
        <v>219</v>
      </c>
      <c r="Q2350" s="18"/>
      <c r="R2350" s="10">
        <f t="shared" si="103"/>
        <v>0</v>
      </c>
      <c r="S2350" s="35">
        <f>0.2*Q2350</f>
        <v>0</v>
      </c>
      <c r="T2350" s="20">
        <f>0.00036*Q2350</f>
        <v>0</v>
      </c>
      <c r="U2350" s="21"/>
      <c r="V2350" s="22" t="s">
        <v>10416</v>
      </c>
      <c r="W2350" s="22" t="s">
        <v>49</v>
      </c>
      <c r="X2350" s="3" t="s">
        <v>10417</v>
      </c>
      <c r="Y2350" s="3" t="s">
        <v>10418</v>
      </c>
      <c r="Z2350" s="3" t="s">
        <v>52</v>
      </c>
      <c r="AA2350" s="3" t="s">
        <v>3262</v>
      </c>
      <c r="AB2350" s="3"/>
      <c r="AC2350" s="3" t="str">
        <f>HYPERLINK("https://knigipp.ru/api/getInfo/image/215f286b-9a97-11e5-b0ae-5cf3fc4a2490")</f>
        <v>https://knigipp.ru/api/getInfo/image/215f286b-9a97-11e5-b0ae-5cf3fc4a2490</v>
      </c>
      <c r="AD2350" s="32">
        <v>32</v>
      </c>
      <c r="AE2350" s="3"/>
      <c r="AF2350" s="3" t="s">
        <v>127</v>
      </c>
      <c r="AG2350" s="3"/>
      <c r="AH2350" s="3" t="s">
        <v>56</v>
      </c>
      <c r="AI2350" s="3"/>
      <c r="AJ2350" s="3" t="s">
        <v>10404</v>
      </c>
      <c r="AK2350" s="3" t="str">
        <f>HYPERLINK("https://knigipp.ru/api/getInfo/item/215f286b-9a97-11e5-b0ae-5cf3fc4a2490")</f>
        <v>https://knigipp.ru/api/getInfo/item/215f286b-9a97-11e5-b0ae-5cf3fc4a2490</v>
      </c>
      <c r="AL2350" s="3" t="s">
        <v>10405</v>
      </c>
    </row>
    <row r="2351" spans="1:38" ht="21" customHeight="1" outlineLevel="4" x14ac:dyDescent="0.2">
      <c r="A2351" s="39">
        <v>1815</v>
      </c>
      <c r="B2351" s="3" t="s">
        <v>10419</v>
      </c>
      <c r="C2351" s="49" t="s">
        <v>10420</v>
      </c>
      <c r="D2351" s="49"/>
      <c r="E2351" s="49"/>
      <c r="F2351" s="49"/>
      <c r="G2351" s="4" t="s">
        <v>10421</v>
      </c>
      <c r="H2351" s="8"/>
      <c r="I2351" s="9" t="s">
        <v>10422</v>
      </c>
      <c r="J2351" s="10"/>
      <c r="K2351" s="11">
        <v>12</v>
      </c>
      <c r="L2351" s="10"/>
      <c r="M2351" s="10" t="s">
        <v>78</v>
      </c>
      <c r="N2351" s="10"/>
      <c r="O2351" s="2">
        <v>3</v>
      </c>
      <c r="P2351" s="17">
        <f>247*(1-S3/100)</f>
        <v>247</v>
      </c>
      <c r="Q2351" s="18"/>
      <c r="R2351" s="10">
        <f t="shared" si="103"/>
        <v>0</v>
      </c>
      <c r="S2351" s="19">
        <f>0.219*Q2351</f>
        <v>0</v>
      </c>
      <c r="T2351" s="20">
        <f>0.00082*Q2351</f>
        <v>0</v>
      </c>
      <c r="U2351" s="21"/>
      <c r="V2351" s="22" t="s">
        <v>10423</v>
      </c>
      <c r="W2351" s="22" t="s">
        <v>49</v>
      </c>
      <c r="X2351" s="3" t="s">
        <v>10245</v>
      </c>
      <c r="Y2351" s="3" t="s">
        <v>10424</v>
      </c>
      <c r="Z2351" s="3" t="s">
        <v>52</v>
      </c>
      <c r="AA2351" s="3" t="s">
        <v>10425</v>
      </c>
      <c r="AB2351" s="3"/>
      <c r="AC2351" s="3" t="str">
        <f>HYPERLINK("https://knigipp.ru/api/getInfo/image/2880e40c-9a97-11e5-b0ae-5cf3fc4a2490")</f>
        <v>https://knigipp.ru/api/getInfo/image/2880e40c-9a97-11e5-b0ae-5cf3fc4a2490</v>
      </c>
      <c r="AD2351" s="32">
        <v>32</v>
      </c>
      <c r="AE2351" s="3"/>
      <c r="AF2351" s="3" t="s">
        <v>127</v>
      </c>
      <c r="AG2351" s="3"/>
      <c r="AH2351" s="3" t="s">
        <v>56</v>
      </c>
      <c r="AI2351" s="3"/>
      <c r="AJ2351" s="3" t="s">
        <v>10404</v>
      </c>
      <c r="AK2351" s="3" t="str">
        <f>HYPERLINK("https://knigipp.ru/api/getInfo/item/2880e40c-9a97-11e5-b0ae-5cf3fc4a2490")</f>
        <v>https://knigipp.ru/api/getInfo/item/2880e40c-9a97-11e5-b0ae-5cf3fc4a2490</v>
      </c>
      <c r="AL2351" s="3" t="s">
        <v>10405</v>
      </c>
    </row>
    <row r="2352" spans="1:38" ht="21" customHeight="1" outlineLevel="4" x14ac:dyDescent="0.2">
      <c r="A2352" s="39">
        <v>1816</v>
      </c>
      <c r="B2352" s="3" t="s">
        <v>10426</v>
      </c>
      <c r="C2352" s="49" t="s">
        <v>10427</v>
      </c>
      <c r="D2352" s="49"/>
      <c r="E2352" s="49"/>
      <c r="F2352" s="49"/>
      <c r="G2352" s="4" t="s">
        <v>10428</v>
      </c>
      <c r="H2352" s="8"/>
      <c r="I2352" s="9" t="s">
        <v>10429</v>
      </c>
      <c r="J2352" s="10"/>
      <c r="K2352" s="11">
        <v>12</v>
      </c>
      <c r="L2352" s="10"/>
      <c r="M2352" s="10" t="s">
        <v>78</v>
      </c>
      <c r="N2352" s="10"/>
      <c r="O2352" s="2">
        <v>3</v>
      </c>
      <c r="P2352" s="17">
        <f>247*(1-S3/100)</f>
        <v>247</v>
      </c>
      <c r="Q2352" s="18"/>
      <c r="R2352" s="10">
        <f t="shared" si="103"/>
        <v>0</v>
      </c>
      <c r="S2352" s="28">
        <f>0.22*Q2352</f>
        <v>0</v>
      </c>
      <c r="T2352" s="20">
        <f>0.00043*Q2352</f>
        <v>0</v>
      </c>
      <c r="U2352" s="21"/>
      <c r="V2352" s="22" t="s">
        <v>10430</v>
      </c>
      <c r="W2352" s="22" t="s">
        <v>49</v>
      </c>
      <c r="X2352" s="3" t="s">
        <v>10431</v>
      </c>
      <c r="Y2352" s="3" t="s">
        <v>10432</v>
      </c>
      <c r="Z2352" s="3" t="s">
        <v>52</v>
      </c>
      <c r="AA2352" s="3" t="s">
        <v>9536</v>
      </c>
      <c r="AB2352" s="3"/>
      <c r="AC2352" s="3" t="str">
        <f>HYPERLINK("https://knigipp.ru/api/getInfo/image/47bee2ec-9a97-11e5-b0ae-5cf3fc4a2490")</f>
        <v>https://knigipp.ru/api/getInfo/image/47bee2ec-9a97-11e5-b0ae-5cf3fc4a2490</v>
      </c>
      <c r="AD2352" s="32">
        <v>32</v>
      </c>
      <c r="AE2352" s="3"/>
      <c r="AF2352" s="3" t="s">
        <v>127</v>
      </c>
      <c r="AG2352" s="3"/>
      <c r="AH2352" s="3" t="s">
        <v>56</v>
      </c>
      <c r="AI2352" s="3"/>
      <c r="AJ2352" s="3" t="s">
        <v>10404</v>
      </c>
      <c r="AK2352" s="3" t="str">
        <f>HYPERLINK("https://knigipp.ru/api/getInfo/item/47bee2ec-9a97-11e5-b0ae-5cf3fc4a2490")</f>
        <v>https://knigipp.ru/api/getInfo/item/47bee2ec-9a97-11e5-b0ae-5cf3fc4a2490</v>
      </c>
      <c r="AL2352" s="3" t="s">
        <v>10405</v>
      </c>
    </row>
    <row r="2353" spans="1:38" ht="21" customHeight="1" outlineLevel="4" x14ac:dyDescent="0.2">
      <c r="A2353" s="39">
        <v>1817</v>
      </c>
      <c r="B2353" s="3" t="s">
        <v>10433</v>
      </c>
      <c r="C2353" s="49" t="s">
        <v>10434</v>
      </c>
      <c r="D2353" s="49"/>
      <c r="E2353" s="49"/>
      <c r="F2353" s="49"/>
      <c r="G2353" s="4" t="s">
        <v>10435</v>
      </c>
      <c r="H2353" s="8"/>
      <c r="I2353" s="9" t="s">
        <v>10436</v>
      </c>
      <c r="J2353" s="10"/>
      <c r="K2353" s="11">
        <v>12</v>
      </c>
      <c r="L2353" s="10"/>
      <c r="M2353" s="10" t="s">
        <v>78</v>
      </c>
      <c r="N2353" s="10"/>
      <c r="O2353" s="2">
        <v>3</v>
      </c>
      <c r="P2353" s="17">
        <f>247*(1-S3/100)</f>
        <v>247</v>
      </c>
      <c r="Q2353" s="18"/>
      <c r="R2353" s="10">
        <f t="shared" si="103"/>
        <v>0</v>
      </c>
      <c r="S2353" s="19">
        <f>0.215*Q2353</f>
        <v>0</v>
      </c>
      <c r="T2353" s="20">
        <f>0.00065*Q2353</f>
        <v>0</v>
      </c>
      <c r="U2353" s="21"/>
      <c r="V2353" s="22" t="s">
        <v>10437</v>
      </c>
      <c r="W2353" s="22" t="s">
        <v>49</v>
      </c>
      <c r="X2353" s="3" t="s">
        <v>9505</v>
      </c>
      <c r="Y2353" s="3" t="s">
        <v>10438</v>
      </c>
      <c r="Z2353" s="3" t="s">
        <v>52</v>
      </c>
      <c r="AA2353" s="3" t="s">
        <v>9536</v>
      </c>
      <c r="AB2353" s="3"/>
      <c r="AC2353" s="3" t="str">
        <f>HYPERLINK("https://knigipp.ru/api/getInfo/image/2fa03e4e-9a97-11e5-b0ae-5cf3fc4a2490")</f>
        <v>https://knigipp.ru/api/getInfo/image/2fa03e4e-9a97-11e5-b0ae-5cf3fc4a2490</v>
      </c>
      <c r="AD2353" s="32">
        <v>32</v>
      </c>
      <c r="AE2353" s="3"/>
      <c r="AF2353" s="3" t="s">
        <v>127</v>
      </c>
      <c r="AG2353" s="3"/>
      <c r="AH2353" s="3" t="s">
        <v>56</v>
      </c>
      <c r="AI2353" s="3"/>
      <c r="AJ2353" s="3" t="s">
        <v>10404</v>
      </c>
      <c r="AK2353" s="3" t="str">
        <f>HYPERLINK("https://knigipp.ru/api/getInfo/item/2fa03e4e-9a97-11e5-b0ae-5cf3fc4a2490")</f>
        <v>https://knigipp.ru/api/getInfo/item/2fa03e4e-9a97-11e5-b0ae-5cf3fc4a2490</v>
      </c>
      <c r="AL2353" s="3" t="s">
        <v>10405</v>
      </c>
    </row>
    <row r="2354" spans="1:38" ht="21" customHeight="1" outlineLevel="4" x14ac:dyDescent="0.2">
      <c r="A2354" s="39">
        <v>1818</v>
      </c>
      <c r="B2354" s="3" t="s">
        <v>10439</v>
      </c>
      <c r="C2354" s="49" t="s">
        <v>10440</v>
      </c>
      <c r="D2354" s="49"/>
      <c r="E2354" s="49"/>
      <c r="F2354" s="49"/>
      <c r="G2354" s="4" t="s">
        <v>10441</v>
      </c>
      <c r="H2354" s="8"/>
      <c r="I2354" s="9" t="s">
        <v>10442</v>
      </c>
      <c r="J2354" s="10"/>
      <c r="K2354" s="11">
        <v>12</v>
      </c>
      <c r="L2354" s="10"/>
      <c r="M2354" s="10" t="s">
        <v>304</v>
      </c>
      <c r="N2354" s="10"/>
      <c r="O2354" s="2">
        <v>3</v>
      </c>
      <c r="P2354" s="17">
        <f>247*(1-S3/100)</f>
        <v>247</v>
      </c>
      <c r="Q2354" s="18"/>
      <c r="R2354" s="10">
        <f t="shared" si="103"/>
        <v>0</v>
      </c>
      <c r="S2354" s="19">
        <f>0.217*Q2354</f>
        <v>0</v>
      </c>
      <c r="T2354" s="20">
        <f>0.00044*Q2354</f>
        <v>0</v>
      </c>
      <c r="U2354" s="21"/>
      <c r="V2354" s="22" t="s">
        <v>10443</v>
      </c>
      <c r="W2354" s="22" t="s">
        <v>49</v>
      </c>
      <c r="X2354" s="3" t="s">
        <v>10444</v>
      </c>
      <c r="Y2354" s="3" t="s">
        <v>10445</v>
      </c>
      <c r="Z2354" s="3" t="s">
        <v>52</v>
      </c>
      <c r="AA2354" s="3" t="s">
        <v>10446</v>
      </c>
      <c r="AB2354" s="3"/>
      <c r="AC2354" s="3" t="str">
        <f>HYPERLINK("https://knigipp.ru/api/getInfo/image/3e3242cf-9a97-11e5-b0ae-5cf3fc4a2490")</f>
        <v>https://knigipp.ru/api/getInfo/image/3e3242cf-9a97-11e5-b0ae-5cf3fc4a2490</v>
      </c>
      <c r="AD2354" s="32">
        <v>32</v>
      </c>
      <c r="AE2354" s="3"/>
      <c r="AF2354" s="3" t="s">
        <v>127</v>
      </c>
      <c r="AG2354" s="3"/>
      <c r="AH2354" s="3" t="s">
        <v>56</v>
      </c>
      <c r="AI2354" s="3"/>
      <c r="AJ2354" s="3" t="s">
        <v>10404</v>
      </c>
      <c r="AK2354" s="3" t="str">
        <f>HYPERLINK("https://knigipp.ru/api/getInfo/item/3e3242cf-9a97-11e5-b0ae-5cf3fc4a2490")</f>
        <v>https://knigipp.ru/api/getInfo/item/3e3242cf-9a97-11e5-b0ae-5cf3fc4a2490</v>
      </c>
      <c r="AL2354" s="3" t="s">
        <v>10405</v>
      </c>
    </row>
    <row r="2355" spans="1:38" ht="21" customHeight="1" outlineLevel="4" x14ac:dyDescent="0.2">
      <c r="A2355" s="39">
        <v>1819</v>
      </c>
      <c r="B2355" s="3" t="s">
        <v>10447</v>
      </c>
      <c r="C2355" s="49" t="s">
        <v>10448</v>
      </c>
      <c r="D2355" s="49"/>
      <c r="E2355" s="49"/>
      <c r="F2355" s="49"/>
      <c r="G2355" s="4" t="s">
        <v>10449</v>
      </c>
      <c r="H2355" s="8"/>
      <c r="I2355" s="9" t="s">
        <v>10450</v>
      </c>
      <c r="J2355" s="10"/>
      <c r="K2355" s="11">
        <v>12</v>
      </c>
      <c r="L2355" s="10"/>
      <c r="M2355" s="10" t="s">
        <v>304</v>
      </c>
      <c r="N2355" s="10"/>
      <c r="O2355" s="2">
        <v>3</v>
      </c>
      <c r="P2355" s="17">
        <f>247*(1-S3/100)</f>
        <v>247</v>
      </c>
      <c r="Q2355" s="18"/>
      <c r="R2355" s="10">
        <f t="shared" si="103"/>
        <v>0</v>
      </c>
      <c r="S2355" s="19">
        <f>0.218*Q2355</f>
        <v>0</v>
      </c>
      <c r="T2355" s="20">
        <f>0.00049*Q2355</f>
        <v>0</v>
      </c>
      <c r="U2355" s="21"/>
      <c r="V2355" s="22" t="s">
        <v>10451</v>
      </c>
      <c r="W2355" s="22" t="s">
        <v>49</v>
      </c>
      <c r="X2355" s="3" t="s">
        <v>9446</v>
      </c>
      <c r="Y2355" s="3" t="s">
        <v>10452</v>
      </c>
      <c r="Z2355" s="3" t="s">
        <v>52</v>
      </c>
      <c r="AA2355" s="3" t="s">
        <v>10036</v>
      </c>
      <c r="AB2355" s="3"/>
      <c r="AC2355" s="3" t="str">
        <f>HYPERLINK("https://knigipp.ru/api/getInfo/image/4f9caade-9a97-11e5-b0ae-5cf3fc4a2490")</f>
        <v>https://knigipp.ru/api/getInfo/image/4f9caade-9a97-11e5-b0ae-5cf3fc4a2490</v>
      </c>
      <c r="AD2355" s="32">
        <v>32</v>
      </c>
      <c r="AE2355" s="3"/>
      <c r="AF2355" s="3" t="s">
        <v>127</v>
      </c>
      <c r="AG2355" s="3"/>
      <c r="AH2355" s="3" t="s">
        <v>56</v>
      </c>
      <c r="AI2355" s="3"/>
      <c r="AJ2355" s="3" t="s">
        <v>10404</v>
      </c>
      <c r="AK2355" s="3" t="str">
        <f>HYPERLINK("https://knigipp.ru/api/getInfo/item/4f9caade-9a97-11e5-b0ae-5cf3fc4a2490")</f>
        <v>https://knigipp.ru/api/getInfo/item/4f9caade-9a97-11e5-b0ae-5cf3fc4a2490</v>
      </c>
      <c r="AL2355" s="3" t="s">
        <v>10405</v>
      </c>
    </row>
    <row r="2356" spans="1:38" ht="21" customHeight="1" outlineLevel="4" x14ac:dyDescent="0.2">
      <c r="A2356" s="39">
        <v>1820</v>
      </c>
      <c r="B2356" s="3" t="s">
        <v>10453</v>
      </c>
      <c r="C2356" s="49" t="s">
        <v>10454</v>
      </c>
      <c r="D2356" s="49"/>
      <c r="E2356" s="49"/>
      <c r="F2356" s="49"/>
      <c r="G2356" s="4" t="s">
        <v>10455</v>
      </c>
      <c r="H2356" s="8"/>
      <c r="I2356" s="9" t="s">
        <v>10456</v>
      </c>
      <c r="J2356" s="10"/>
      <c r="K2356" s="11">
        <v>12</v>
      </c>
      <c r="L2356" s="10"/>
      <c r="M2356" s="10" t="s">
        <v>304</v>
      </c>
      <c r="N2356" s="10"/>
      <c r="O2356" s="2">
        <v>3</v>
      </c>
      <c r="P2356" s="17">
        <f>247*(1-S3/100)</f>
        <v>247</v>
      </c>
      <c r="Q2356" s="18"/>
      <c r="R2356" s="10">
        <f t="shared" si="103"/>
        <v>0</v>
      </c>
      <c r="S2356" s="19">
        <f>0.219*Q2356</f>
        <v>0</v>
      </c>
      <c r="T2356" s="20">
        <f>0.00039*Q2356</f>
        <v>0</v>
      </c>
      <c r="U2356" s="21"/>
      <c r="V2356" s="22" t="s">
        <v>10457</v>
      </c>
      <c r="W2356" s="22" t="s">
        <v>49</v>
      </c>
      <c r="X2356" s="3" t="s">
        <v>10076</v>
      </c>
      <c r="Y2356" s="3" t="s">
        <v>10458</v>
      </c>
      <c r="Z2356" s="3" t="s">
        <v>52</v>
      </c>
      <c r="AA2356" s="3" t="s">
        <v>10446</v>
      </c>
      <c r="AB2356" s="3"/>
      <c r="AC2356" s="3" t="str">
        <f>HYPERLINK("https://knigipp.ru/api/getInfo/image/4f9caae0-9a97-11e5-b0ae-5cf3fc4a2490")</f>
        <v>https://knigipp.ru/api/getInfo/image/4f9caae0-9a97-11e5-b0ae-5cf3fc4a2490</v>
      </c>
      <c r="AD2356" s="32">
        <v>32</v>
      </c>
      <c r="AE2356" s="3"/>
      <c r="AF2356" s="3" t="s">
        <v>127</v>
      </c>
      <c r="AG2356" s="3"/>
      <c r="AH2356" s="3" t="s">
        <v>56</v>
      </c>
      <c r="AI2356" s="3"/>
      <c r="AJ2356" s="3" t="s">
        <v>10404</v>
      </c>
      <c r="AK2356" s="3" t="str">
        <f>HYPERLINK("https://knigipp.ru/api/getInfo/item/4f9caae0-9a97-11e5-b0ae-5cf3fc4a2490")</f>
        <v>https://knigipp.ru/api/getInfo/item/4f9caae0-9a97-11e5-b0ae-5cf3fc4a2490</v>
      </c>
      <c r="AL2356" s="3" t="s">
        <v>10405</v>
      </c>
    </row>
    <row r="2357" spans="1:38" ht="23.1" customHeight="1" outlineLevel="2" x14ac:dyDescent="0.2">
      <c r="A2357" s="47" t="s">
        <v>10459</v>
      </c>
      <c r="B2357" s="47"/>
      <c r="C2357" s="47"/>
      <c r="D2357" s="47"/>
      <c r="E2357" s="47"/>
      <c r="F2357" s="47"/>
    </row>
    <row r="2358" spans="1:38" ht="23.1" customHeight="1" outlineLevel="3" x14ac:dyDescent="0.2">
      <c r="A2358" s="48" t="s">
        <v>10460</v>
      </c>
      <c r="B2358" s="48"/>
      <c r="C2358" s="48"/>
      <c r="D2358" s="48"/>
      <c r="E2358" s="48"/>
      <c r="F2358" s="48"/>
    </row>
    <row r="2359" spans="1:38" ht="21" customHeight="1" outlineLevel="4" x14ac:dyDescent="0.2">
      <c r="A2359" s="40">
        <v>1821</v>
      </c>
      <c r="B2359" s="6" t="s">
        <v>10461</v>
      </c>
      <c r="C2359" s="54" t="s">
        <v>10462</v>
      </c>
      <c r="D2359" s="54"/>
      <c r="E2359" s="54"/>
      <c r="F2359" s="54"/>
      <c r="G2359" s="7" t="s">
        <v>10463</v>
      </c>
      <c r="H2359" s="12"/>
      <c r="I2359" s="13" t="s">
        <v>10464</v>
      </c>
      <c r="J2359" s="14"/>
      <c r="K2359" s="15">
        <v>10</v>
      </c>
      <c r="L2359" s="14"/>
      <c r="M2359" s="14" t="s">
        <v>47</v>
      </c>
      <c r="N2359" s="14"/>
      <c r="O2359" s="5">
        <v>1</v>
      </c>
      <c r="P2359" s="23">
        <f>697*(1-S3/100)</f>
        <v>697</v>
      </c>
      <c r="Q2359" s="18"/>
      <c r="R2359" s="14">
        <f>P2359*Q2359</f>
        <v>0</v>
      </c>
      <c r="S2359" s="24">
        <f>0.335*Q2359</f>
        <v>0</v>
      </c>
      <c r="T2359" s="25">
        <f>0.00085*Q2359</f>
        <v>0</v>
      </c>
      <c r="U2359" s="26" t="s">
        <v>62</v>
      </c>
      <c r="V2359" s="27" t="s">
        <v>10465</v>
      </c>
      <c r="W2359" s="27" t="s">
        <v>191</v>
      </c>
      <c r="X2359" s="6" t="s">
        <v>10466</v>
      </c>
      <c r="Y2359" s="6" t="s">
        <v>10467</v>
      </c>
      <c r="Z2359" s="6" t="s">
        <v>757</v>
      </c>
      <c r="AA2359" s="6"/>
      <c r="AB2359" s="6"/>
      <c r="AC2359" s="6" t="str">
        <f>HYPERLINK("https://knigipp.ru/api/getInfo/image/305995a9-13d8-11f1-a28f-00155d82e908")</f>
        <v>https://knigipp.ru/api/getInfo/image/305995a9-13d8-11f1-a28f-00155d82e908</v>
      </c>
      <c r="AD2359" s="33">
        <v>416</v>
      </c>
      <c r="AE2359" s="6" t="s">
        <v>65</v>
      </c>
      <c r="AF2359" s="6" t="s">
        <v>55</v>
      </c>
      <c r="AG2359" s="6"/>
      <c r="AH2359" s="6" t="s">
        <v>56</v>
      </c>
      <c r="AI2359" s="6"/>
      <c r="AJ2359" s="6"/>
      <c r="AK2359" s="6" t="str">
        <f>HYPERLINK("https://knigipp.ru/api/getInfo/item/305995a9-13d8-11f1-a28f-00155d82e908")</f>
        <v>https://knigipp.ru/api/getInfo/item/305995a9-13d8-11f1-a28f-00155d82e908</v>
      </c>
      <c r="AL2359" s="6" t="s">
        <v>10468</v>
      </c>
    </row>
    <row r="2360" spans="1:38" ht="21" customHeight="1" outlineLevel="4" x14ac:dyDescent="0.2">
      <c r="A2360" s="40">
        <v>1822</v>
      </c>
      <c r="B2360" s="6" t="s">
        <v>10469</v>
      </c>
      <c r="C2360" s="54" t="s">
        <v>10470</v>
      </c>
      <c r="D2360" s="54"/>
      <c r="E2360" s="54"/>
      <c r="F2360" s="54"/>
      <c r="G2360" s="7" t="s">
        <v>10471</v>
      </c>
      <c r="H2360" s="12"/>
      <c r="I2360" s="13" t="s">
        <v>10472</v>
      </c>
      <c r="J2360" s="14"/>
      <c r="K2360" s="15">
        <v>10</v>
      </c>
      <c r="L2360" s="14"/>
      <c r="M2360" s="14" t="s">
        <v>47</v>
      </c>
      <c r="N2360" s="14"/>
      <c r="O2360" s="5">
        <v>1</v>
      </c>
      <c r="P2360" s="23">
        <f>567*(1-S3/100)</f>
        <v>567</v>
      </c>
      <c r="Q2360" s="18"/>
      <c r="R2360" s="14">
        <f>P2360*Q2360</f>
        <v>0</v>
      </c>
      <c r="S2360" s="24">
        <f>0.055*Q2360</f>
        <v>0</v>
      </c>
      <c r="T2360" s="25">
        <f>0.00098*Q2360</f>
        <v>0</v>
      </c>
      <c r="U2360" s="26" t="s">
        <v>62</v>
      </c>
      <c r="V2360" s="27" t="s">
        <v>10473</v>
      </c>
      <c r="W2360" s="27" t="s">
        <v>49</v>
      </c>
      <c r="X2360" s="6" t="s">
        <v>10474</v>
      </c>
      <c r="Y2360" s="6"/>
      <c r="Z2360" s="6" t="s">
        <v>384</v>
      </c>
      <c r="AA2360" s="6"/>
      <c r="AB2360" s="6"/>
      <c r="AC2360" s="6" t="str">
        <f>HYPERLINK("https://knigipp.ru/api/getInfo/image/07c7da03-5b56-11f1-a295-00155d82e908")</f>
        <v>https://knigipp.ru/api/getInfo/image/07c7da03-5b56-11f1-a295-00155d82e908</v>
      </c>
      <c r="AD2360" s="33">
        <v>368</v>
      </c>
      <c r="AE2360" s="6" t="s">
        <v>65</v>
      </c>
      <c r="AF2360" s="6" t="s">
        <v>55</v>
      </c>
      <c r="AG2360" s="6"/>
      <c r="AH2360" s="6" t="s">
        <v>56</v>
      </c>
      <c r="AI2360" s="6"/>
      <c r="AJ2360" s="6"/>
      <c r="AK2360" s="6" t="str">
        <f>HYPERLINK("https://knigipp.ru/api/getInfo/item/07c7da03-5b56-11f1-a295-00155d82e908")</f>
        <v>https://knigipp.ru/api/getInfo/item/07c7da03-5b56-11f1-a295-00155d82e908</v>
      </c>
      <c r="AL2360" s="6" t="s">
        <v>10475</v>
      </c>
    </row>
    <row r="2361" spans="1:38" ht="23.1" customHeight="1" outlineLevel="3" x14ac:dyDescent="0.2">
      <c r="A2361" s="48" t="s">
        <v>10476</v>
      </c>
      <c r="B2361" s="48"/>
      <c r="C2361" s="48"/>
      <c r="D2361" s="48"/>
      <c r="E2361" s="48"/>
      <c r="F2361" s="48"/>
    </row>
    <row r="2362" spans="1:38" ht="21" customHeight="1" outlineLevel="4" x14ac:dyDescent="0.2">
      <c r="A2362" s="40">
        <v>1823</v>
      </c>
      <c r="B2362" s="6" t="s">
        <v>10477</v>
      </c>
      <c r="C2362" s="54" t="s">
        <v>10478</v>
      </c>
      <c r="D2362" s="54"/>
      <c r="E2362" s="54"/>
      <c r="F2362" s="54"/>
      <c r="G2362" s="7" t="s">
        <v>10479</v>
      </c>
      <c r="H2362" s="12"/>
      <c r="I2362" s="13" t="s">
        <v>10480</v>
      </c>
      <c r="J2362" s="14"/>
      <c r="K2362" s="15">
        <v>12</v>
      </c>
      <c r="L2362" s="14"/>
      <c r="M2362" s="14" t="s">
        <v>47</v>
      </c>
      <c r="N2362" s="14"/>
      <c r="O2362" s="5">
        <v>1</v>
      </c>
      <c r="P2362" s="23">
        <f>657*(1-S3/100)</f>
        <v>657</v>
      </c>
      <c r="Q2362" s="18"/>
      <c r="R2362" s="14">
        <f>P2362*Q2362</f>
        <v>0</v>
      </c>
      <c r="S2362" s="24">
        <f>0.447*Q2362</f>
        <v>0</v>
      </c>
      <c r="T2362" s="25">
        <f>0.00057*Q2362</f>
        <v>0</v>
      </c>
      <c r="U2362" s="26" t="s">
        <v>62</v>
      </c>
      <c r="V2362" s="27" t="s">
        <v>10481</v>
      </c>
      <c r="W2362" s="27" t="s">
        <v>191</v>
      </c>
      <c r="X2362" s="6" t="s">
        <v>9230</v>
      </c>
      <c r="Y2362" s="6"/>
      <c r="Z2362" s="6" t="s">
        <v>3329</v>
      </c>
      <c r="AA2362" s="6"/>
      <c r="AB2362" s="6"/>
      <c r="AC2362" s="6" t="str">
        <f>HYPERLINK("https://knigipp.ru/api/getInfo/image/d91c3455-8c24-11f1-a29a-00155d82e908")</f>
        <v>https://knigipp.ru/api/getInfo/image/d91c3455-8c24-11f1-a29a-00155d82e908</v>
      </c>
      <c r="AD2362" s="33">
        <v>272</v>
      </c>
      <c r="AE2362" s="6" t="s">
        <v>355</v>
      </c>
      <c r="AF2362" s="6" t="s">
        <v>127</v>
      </c>
      <c r="AG2362" s="6"/>
      <c r="AH2362" s="6"/>
      <c r="AI2362" s="6"/>
      <c r="AJ2362" s="6"/>
      <c r="AK2362" s="6" t="str">
        <f>HYPERLINK("https://knigipp.ru/api/getInfo/item/d91c3455-8c24-11f1-a29a-00155d82e908")</f>
        <v>https://knigipp.ru/api/getInfo/item/d91c3455-8c24-11f1-a29a-00155d82e908</v>
      </c>
      <c r="AL2362" s="6" t="s">
        <v>10482</v>
      </c>
    </row>
    <row r="2363" spans="1:38" ht="23.1" customHeight="1" outlineLevel="3" x14ac:dyDescent="0.2">
      <c r="A2363" s="48" t="s">
        <v>10483</v>
      </c>
      <c r="B2363" s="48"/>
      <c r="C2363" s="48"/>
      <c r="D2363" s="48"/>
      <c r="E2363" s="48"/>
      <c r="F2363" s="48"/>
    </row>
    <row r="2364" spans="1:38" ht="21" customHeight="1" outlineLevel="4" x14ac:dyDescent="0.2">
      <c r="A2364" s="40">
        <v>1824</v>
      </c>
      <c r="B2364" s="6" t="s">
        <v>10484</v>
      </c>
      <c r="C2364" s="54" t="s">
        <v>10485</v>
      </c>
      <c r="D2364" s="54"/>
      <c r="E2364" s="54"/>
      <c r="F2364" s="54"/>
      <c r="G2364" s="7" t="s">
        <v>10486</v>
      </c>
      <c r="H2364" s="12"/>
      <c r="I2364" s="13" t="s">
        <v>10464</v>
      </c>
      <c r="J2364" s="14"/>
      <c r="K2364" s="15">
        <v>10</v>
      </c>
      <c r="L2364" s="14"/>
      <c r="M2364" s="14" t="s">
        <v>47</v>
      </c>
      <c r="N2364" s="14"/>
      <c r="O2364" s="5">
        <v>1</v>
      </c>
      <c r="P2364" s="23">
        <f>947*(1-S3/100)</f>
        <v>947</v>
      </c>
      <c r="Q2364" s="18"/>
      <c r="R2364" s="14">
        <f>P2364*Q2364</f>
        <v>0</v>
      </c>
      <c r="S2364" s="36">
        <f>0.54*Q2364</f>
        <v>0</v>
      </c>
      <c r="T2364" s="25">
        <f>0.00078*Q2364</f>
        <v>0</v>
      </c>
      <c r="U2364" s="26" t="s">
        <v>62</v>
      </c>
      <c r="V2364" s="27" t="s">
        <v>10487</v>
      </c>
      <c r="W2364" s="27" t="s">
        <v>191</v>
      </c>
      <c r="X2364" s="6" t="s">
        <v>10466</v>
      </c>
      <c r="Y2364" s="6" t="s">
        <v>10488</v>
      </c>
      <c r="Z2364" s="6" t="s">
        <v>757</v>
      </c>
      <c r="AA2364" s="6"/>
      <c r="AB2364" s="6"/>
      <c r="AC2364" s="6" t="str">
        <f>HYPERLINK("https://knigipp.ru/api/getInfo/image/7ebc4c7c-4490-11f1-a294-00155d82e908")</f>
        <v>https://knigipp.ru/api/getInfo/image/7ebc4c7c-4490-11f1-a294-00155d82e908</v>
      </c>
      <c r="AD2364" s="33">
        <v>416</v>
      </c>
      <c r="AE2364" s="6" t="s">
        <v>65</v>
      </c>
      <c r="AF2364" s="6" t="s">
        <v>127</v>
      </c>
      <c r="AG2364" s="6"/>
      <c r="AH2364" s="6" t="s">
        <v>56</v>
      </c>
      <c r="AI2364" s="6"/>
      <c r="AJ2364" s="6"/>
      <c r="AK2364" s="6" t="str">
        <f>HYPERLINK("https://knigipp.ru/api/getInfo/item/7ebc4c7c-4490-11f1-a294-00155d82e908")</f>
        <v>https://knigipp.ru/api/getInfo/item/7ebc4c7c-4490-11f1-a294-00155d82e908</v>
      </c>
      <c r="AL2364" s="6" t="s">
        <v>10489</v>
      </c>
    </row>
    <row r="2365" spans="1:38" ht="21" customHeight="1" outlineLevel="4" x14ac:dyDescent="0.2">
      <c r="A2365" s="40">
        <v>1825</v>
      </c>
      <c r="B2365" s="6" t="s">
        <v>10490</v>
      </c>
      <c r="C2365" s="54" t="s">
        <v>10491</v>
      </c>
      <c r="D2365" s="54"/>
      <c r="E2365" s="54"/>
      <c r="F2365" s="54"/>
      <c r="G2365" s="7" t="s">
        <v>10492</v>
      </c>
      <c r="H2365" s="12"/>
      <c r="I2365" s="13" t="s">
        <v>10493</v>
      </c>
      <c r="J2365" s="14"/>
      <c r="K2365" s="15">
        <v>10</v>
      </c>
      <c r="L2365" s="14"/>
      <c r="M2365" s="14" t="s">
        <v>47</v>
      </c>
      <c r="N2365" s="14"/>
      <c r="O2365" s="5">
        <v>1</v>
      </c>
      <c r="P2365" s="23">
        <f>947*(1-S3/100)</f>
        <v>947</v>
      </c>
      <c r="Q2365" s="18"/>
      <c r="R2365" s="14">
        <f>P2365*Q2365</f>
        <v>0</v>
      </c>
      <c r="S2365" s="24">
        <f>0.619*Q2365</f>
        <v>0</v>
      </c>
      <c r="T2365" s="25">
        <f>0.00085*Q2365</f>
        <v>0</v>
      </c>
      <c r="U2365" s="26" t="s">
        <v>62</v>
      </c>
      <c r="V2365" s="27" t="s">
        <v>10494</v>
      </c>
      <c r="W2365" s="27" t="s">
        <v>191</v>
      </c>
      <c r="X2365" s="6" t="s">
        <v>10495</v>
      </c>
      <c r="Y2365" s="6" t="s">
        <v>10496</v>
      </c>
      <c r="Z2365" s="6" t="s">
        <v>757</v>
      </c>
      <c r="AA2365" s="6"/>
      <c r="AB2365" s="6"/>
      <c r="AC2365" s="6" t="str">
        <f>HYPERLINK("https://knigipp.ru/api/getInfo/image/ee79416a-e558-11f0-a28c-00155d82e908")</f>
        <v>https://knigipp.ru/api/getInfo/image/ee79416a-e558-11f0-a28c-00155d82e908</v>
      </c>
      <c r="AD2365" s="33">
        <v>480</v>
      </c>
      <c r="AE2365" s="6" t="s">
        <v>65</v>
      </c>
      <c r="AF2365" s="6" t="s">
        <v>127</v>
      </c>
      <c r="AG2365" s="6"/>
      <c r="AH2365" s="6" t="s">
        <v>56</v>
      </c>
      <c r="AI2365" s="6"/>
      <c r="AJ2365" s="6"/>
      <c r="AK2365" s="6" t="str">
        <f>HYPERLINK("https://knigipp.ru/api/getInfo/item/ee79416a-e558-11f0-a28c-00155d82e908")</f>
        <v>https://knigipp.ru/api/getInfo/item/ee79416a-e558-11f0-a28c-00155d82e908</v>
      </c>
      <c r="AL2365" s="6" t="s">
        <v>9280</v>
      </c>
    </row>
    <row r="2366" spans="1:38" ht="23.1" customHeight="1" outlineLevel="2" x14ac:dyDescent="0.2">
      <c r="A2366" s="47" t="s">
        <v>10497</v>
      </c>
      <c r="B2366" s="47"/>
      <c r="C2366" s="47"/>
      <c r="D2366" s="47"/>
      <c r="E2366" s="47"/>
      <c r="F2366" s="47"/>
    </row>
    <row r="2367" spans="1:38" ht="23.1" customHeight="1" outlineLevel="3" x14ac:dyDescent="0.2">
      <c r="A2367" s="48" t="s">
        <v>10498</v>
      </c>
      <c r="B2367" s="48"/>
      <c r="C2367" s="48"/>
      <c r="D2367" s="48"/>
      <c r="E2367" s="48"/>
      <c r="F2367" s="48"/>
    </row>
    <row r="2368" spans="1:38" ht="21" customHeight="1" outlineLevel="4" x14ac:dyDescent="0.2">
      <c r="A2368" s="39">
        <v>1826</v>
      </c>
      <c r="B2368" s="3" t="s">
        <v>10499</v>
      </c>
      <c r="C2368" s="49" t="s">
        <v>10500</v>
      </c>
      <c r="D2368" s="49"/>
      <c r="E2368" s="49"/>
      <c r="F2368" s="49"/>
      <c r="G2368" s="4" t="s">
        <v>10501</v>
      </c>
      <c r="H2368" s="8"/>
      <c r="I2368" s="9" t="s">
        <v>10502</v>
      </c>
      <c r="J2368" s="10"/>
      <c r="K2368" s="11">
        <v>10</v>
      </c>
      <c r="L2368" s="10"/>
      <c r="M2368" s="10" t="s">
        <v>47</v>
      </c>
      <c r="N2368" s="10"/>
      <c r="O2368" s="2">
        <v>1</v>
      </c>
      <c r="P2368" s="17">
        <f>947*(1-S3/100)</f>
        <v>947</v>
      </c>
      <c r="Q2368" s="18"/>
      <c r="R2368" s="10">
        <f>P2368*Q2368</f>
        <v>0</v>
      </c>
      <c r="S2368" s="19">
        <f>0.586*Q2368</f>
        <v>0</v>
      </c>
      <c r="T2368" s="30">
        <f>0.0008*Q2368</f>
        <v>0</v>
      </c>
      <c r="U2368" s="21"/>
      <c r="V2368" s="22" t="s">
        <v>10503</v>
      </c>
      <c r="W2368" s="22" t="s">
        <v>49</v>
      </c>
      <c r="X2368" s="3" t="s">
        <v>10504</v>
      </c>
      <c r="Y2368" s="3"/>
      <c r="Z2368" s="3" t="s">
        <v>3329</v>
      </c>
      <c r="AA2368" s="3"/>
      <c r="AB2368" s="3"/>
      <c r="AC2368" s="3" t="str">
        <f>HYPERLINK("https://knigipp.ru/api/getInfo/image/6fe0b073-13db-11f1-a28f-00155d82e908")</f>
        <v>https://knigipp.ru/api/getInfo/image/6fe0b073-13db-11f1-a28f-00155d82e908</v>
      </c>
      <c r="AD2368" s="32">
        <v>496</v>
      </c>
      <c r="AE2368" s="3" t="s">
        <v>54</v>
      </c>
      <c r="AF2368" s="3" t="s">
        <v>127</v>
      </c>
      <c r="AG2368" s="3"/>
      <c r="AH2368" s="3" t="s">
        <v>56</v>
      </c>
      <c r="AI2368" s="3"/>
      <c r="AJ2368" s="3"/>
      <c r="AK2368" s="3" t="str">
        <f>HYPERLINK("https://knigipp.ru/api/getInfo/item/6fe0b073-13db-11f1-a28f-00155d82e908")</f>
        <v>https://knigipp.ru/api/getInfo/item/6fe0b073-13db-11f1-a28f-00155d82e908</v>
      </c>
      <c r="AL2368" s="3" t="s">
        <v>10505</v>
      </c>
    </row>
    <row r="2369" spans="1:38" ht="23.1" customHeight="1" outlineLevel="3" x14ac:dyDescent="0.2">
      <c r="A2369" s="48" t="s">
        <v>10506</v>
      </c>
      <c r="B2369" s="48"/>
      <c r="C2369" s="48"/>
      <c r="D2369" s="48"/>
      <c r="E2369" s="48"/>
      <c r="F2369" s="48"/>
    </row>
    <row r="2370" spans="1:38" ht="21" customHeight="1" outlineLevel="4" x14ac:dyDescent="0.2">
      <c r="A2370" s="39">
        <v>1827</v>
      </c>
      <c r="B2370" s="3" t="s">
        <v>10507</v>
      </c>
      <c r="C2370" s="49" t="s">
        <v>10508</v>
      </c>
      <c r="D2370" s="49"/>
      <c r="E2370" s="49"/>
      <c r="F2370" s="49"/>
      <c r="G2370" s="4" t="s">
        <v>10509</v>
      </c>
      <c r="H2370" s="8"/>
      <c r="I2370" s="9" t="s">
        <v>10510</v>
      </c>
      <c r="J2370" s="10"/>
      <c r="K2370" s="11">
        <v>20</v>
      </c>
      <c r="L2370" s="10"/>
      <c r="M2370" s="10" t="s">
        <v>47</v>
      </c>
      <c r="N2370" s="10"/>
      <c r="O2370" s="2">
        <v>2</v>
      </c>
      <c r="P2370" s="17">
        <f>399*(1-S3/100)</f>
        <v>399</v>
      </c>
      <c r="Q2370" s="18"/>
      <c r="R2370" s="10">
        <f t="shared" ref="R2370:R2381" si="104">P2370*Q2370</f>
        <v>0</v>
      </c>
      <c r="S2370" s="28">
        <f>0.19*Q2370</f>
        <v>0</v>
      </c>
      <c r="T2370" s="20">
        <f>0.00017*Q2370</f>
        <v>0</v>
      </c>
      <c r="U2370" s="21"/>
      <c r="V2370" s="22" t="s">
        <v>10511</v>
      </c>
      <c r="W2370" s="22" t="s">
        <v>49</v>
      </c>
      <c r="X2370" s="3" t="s">
        <v>10056</v>
      </c>
      <c r="Y2370" s="3"/>
      <c r="Z2370" s="3" t="s">
        <v>384</v>
      </c>
      <c r="AA2370" s="3"/>
      <c r="AB2370" s="3"/>
      <c r="AC2370" s="3" t="str">
        <f>HYPERLINK("https://knigipp.ru/api/getInfo/image/de88e41c-23c0-11e9-a21d-ac1f6b442184")</f>
        <v>https://knigipp.ru/api/getInfo/image/de88e41c-23c0-11e9-a21d-ac1f6b442184</v>
      </c>
      <c r="AD2370" s="32">
        <v>128</v>
      </c>
      <c r="AE2370" s="3"/>
      <c r="AF2370" s="3" t="s">
        <v>127</v>
      </c>
      <c r="AG2370" s="3"/>
      <c r="AH2370" s="3" t="s">
        <v>56</v>
      </c>
      <c r="AI2370" s="3"/>
      <c r="AJ2370" s="3" t="s">
        <v>10512</v>
      </c>
      <c r="AK2370" s="3" t="str">
        <f>HYPERLINK("https://knigipp.ru/api/getInfo/item/de88e41c-23c0-11e9-a21d-ac1f6b442184")</f>
        <v>https://knigipp.ru/api/getInfo/item/de88e41c-23c0-11e9-a21d-ac1f6b442184</v>
      </c>
      <c r="AL2370" s="3" t="s">
        <v>10513</v>
      </c>
    </row>
    <row r="2371" spans="1:38" ht="21" customHeight="1" outlineLevel="4" x14ac:dyDescent="0.2">
      <c r="A2371" s="39">
        <v>1828</v>
      </c>
      <c r="B2371" s="3" t="s">
        <v>10514</v>
      </c>
      <c r="C2371" s="49" t="s">
        <v>10515</v>
      </c>
      <c r="D2371" s="49"/>
      <c r="E2371" s="49"/>
      <c r="F2371" s="49"/>
      <c r="G2371" s="4" t="s">
        <v>10516</v>
      </c>
      <c r="H2371" s="8"/>
      <c r="I2371" s="9" t="s">
        <v>10517</v>
      </c>
      <c r="J2371" s="10"/>
      <c r="K2371" s="11">
        <v>20</v>
      </c>
      <c r="L2371" s="10"/>
      <c r="M2371" s="10" t="s">
        <v>47</v>
      </c>
      <c r="N2371" s="10"/>
      <c r="O2371" s="2">
        <v>2</v>
      </c>
      <c r="P2371" s="17">
        <f>399*(1-S3/100)</f>
        <v>399</v>
      </c>
      <c r="Q2371" s="18"/>
      <c r="R2371" s="10">
        <f t="shared" si="104"/>
        <v>0</v>
      </c>
      <c r="S2371" s="19">
        <f>0.183*Q2371</f>
        <v>0</v>
      </c>
      <c r="T2371" s="20">
        <f>0.00015*Q2371</f>
        <v>0</v>
      </c>
      <c r="U2371" s="21"/>
      <c r="V2371" s="22" t="s">
        <v>10518</v>
      </c>
      <c r="W2371" s="22" t="s">
        <v>49</v>
      </c>
      <c r="X2371" s="3" t="s">
        <v>10519</v>
      </c>
      <c r="Y2371" s="3" t="s">
        <v>10520</v>
      </c>
      <c r="Z2371" s="3" t="s">
        <v>384</v>
      </c>
      <c r="AA2371" s="3"/>
      <c r="AB2371" s="3"/>
      <c r="AC2371" s="3" t="str">
        <f>HYPERLINK("https://knigipp.ru/api/getInfo/image/b25c4f41-e4bd-11ed-a233-00155d82e902")</f>
        <v>https://knigipp.ru/api/getInfo/image/b25c4f41-e4bd-11ed-a233-00155d82e902</v>
      </c>
      <c r="AD2371" s="32">
        <v>144</v>
      </c>
      <c r="AE2371" s="3"/>
      <c r="AF2371" s="3" t="s">
        <v>127</v>
      </c>
      <c r="AG2371" s="3"/>
      <c r="AH2371" s="3" t="s">
        <v>56</v>
      </c>
      <c r="AI2371" s="3"/>
      <c r="AJ2371" s="3" t="s">
        <v>10512</v>
      </c>
      <c r="AK2371" s="3" t="str">
        <f>HYPERLINK("https://knigipp.ru/api/getInfo/item/b25c4f41-e4bd-11ed-a233-00155d82e902")</f>
        <v>https://knigipp.ru/api/getInfo/item/b25c4f41-e4bd-11ed-a233-00155d82e902</v>
      </c>
      <c r="AL2371" s="3" t="s">
        <v>10521</v>
      </c>
    </row>
    <row r="2372" spans="1:38" ht="21" customHeight="1" outlineLevel="4" x14ac:dyDescent="0.2">
      <c r="A2372" s="39">
        <v>1829</v>
      </c>
      <c r="B2372" s="3" t="s">
        <v>10522</v>
      </c>
      <c r="C2372" s="49" t="s">
        <v>10523</v>
      </c>
      <c r="D2372" s="49"/>
      <c r="E2372" s="49"/>
      <c r="F2372" s="49"/>
      <c r="G2372" s="4" t="s">
        <v>10524</v>
      </c>
      <c r="H2372" s="8"/>
      <c r="I2372" s="9" t="s">
        <v>10525</v>
      </c>
      <c r="J2372" s="10"/>
      <c r="K2372" s="11">
        <v>20</v>
      </c>
      <c r="L2372" s="10"/>
      <c r="M2372" s="10" t="s">
        <v>47</v>
      </c>
      <c r="N2372" s="10"/>
      <c r="O2372" s="2">
        <v>2</v>
      </c>
      <c r="P2372" s="17">
        <f>399*(1-S3/100)</f>
        <v>399</v>
      </c>
      <c r="Q2372" s="18"/>
      <c r="R2372" s="10">
        <f t="shared" si="104"/>
        <v>0</v>
      </c>
      <c r="S2372" s="19">
        <f>0.171*Q2372</f>
        <v>0</v>
      </c>
      <c r="T2372" s="20">
        <f>0.00025*Q2372</f>
        <v>0</v>
      </c>
      <c r="U2372" s="21"/>
      <c r="V2372" s="22" t="s">
        <v>10526</v>
      </c>
      <c r="W2372" s="22" t="s">
        <v>49</v>
      </c>
      <c r="X2372" s="3" t="s">
        <v>10527</v>
      </c>
      <c r="Y2372" s="3"/>
      <c r="Z2372" s="3" t="s">
        <v>384</v>
      </c>
      <c r="AA2372" s="3"/>
      <c r="AB2372" s="3"/>
      <c r="AC2372" s="3" t="str">
        <f>HYPERLINK("https://knigipp.ru/api/getInfo/image/757d8b58-23c0-11e9-a21d-ac1f6b442184")</f>
        <v>https://knigipp.ru/api/getInfo/image/757d8b58-23c0-11e9-a21d-ac1f6b442184</v>
      </c>
      <c r="AD2372" s="32">
        <v>112</v>
      </c>
      <c r="AE2372" s="3"/>
      <c r="AF2372" s="3" t="s">
        <v>127</v>
      </c>
      <c r="AG2372" s="3"/>
      <c r="AH2372" s="3" t="s">
        <v>56</v>
      </c>
      <c r="AI2372" s="3"/>
      <c r="AJ2372" s="3"/>
      <c r="AK2372" s="3" t="str">
        <f>HYPERLINK("https://knigipp.ru/api/getInfo/item/757d8b58-23c0-11e9-a21d-ac1f6b442184")</f>
        <v>https://knigipp.ru/api/getInfo/item/757d8b58-23c0-11e9-a21d-ac1f6b442184</v>
      </c>
      <c r="AL2372" s="3" t="s">
        <v>10513</v>
      </c>
    </row>
    <row r="2373" spans="1:38" ht="21" customHeight="1" outlineLevel="4" x14ac:dyDescent="0.2">
      <c r="A2373" s="39">
        <v>1830</v>
      </c>
      <c r="B2373" s="3" t="s">
        <v>10528</v>
      </c>
      <c r="C2373" s="49" t="s">
        <v>10529</v>
      </c>
      <c r="D2373" s="49"/>
      <c r="E2373" s="49"/>
      <c r="F2373" s="49"/>
      <c r="G2373" s="4" t="s">
        <v>10530</v>
      </c>
      <c r="H2373" s="8"/>
      <c r="I2373" s="9" t="s">
        <v>10531</v>
      </c>
      <c r="J2373" s="10"/>
      <c r="K2373" s="11">
        <v>20</v>
      </c>
      <c r="L2373" s="10"/>
      <c r="M2373" s="10" t="s">
        <v>47</v>
      </c>
      <c r="N2373" s="10"/>
      <c r="O2373" s="2">
        <v>2</v>
      </c>
      <c r="P2373" s="17">
        <f>399*(1-S3/100)</f>
        <v>399</v>
      </c>
      <c r="Q2373" s="18"/>
      <c r="R2373" s="10">
        <f t="shared" si="104"/>
        <v>0</v>
      </c>
      <c r="S2373" s="19">
        <f>0.163*Q2373</f>
        <v>0</v>
      </c>
      <c r="T2373" s="20">
        <f>0.00037*Q2373</f>
        <v>0</v>
      </c>
      <c r="U2373" s="21"/>
      <c r="V2373" s="22" t="s">
        <v>10532</v>
      </c>
      <c r="W2373" s="22" t="s">
        <v>49</v>
      </c>
      <c r="X2373" s="3" t="s">
        <v>10110</v>
      </c>
      <c r="Y2373" s="3"/>
      <c r="Z2373" s="3" t="s">
        <v>384</v>
      </c>
      <c r="AA2373" s="3"/>
      <c r="AB2373" s="3"/>
      <c r="AC2373" s="3" t="str">
        <f>HYPERLINK("https://knigipp.ru/api/getInfo/image/8f6b2fed-23c0-11e9-a21d-ac1f6b442184")</f>
        <v>https://knigipp.ru/api/getInfo/image/8f6b2fed-23c0-11e9-a21d-ac1f6b442184</v>
      </c>
      <c r="AD2373" s="32">
        <v>112</v>
      </c>
      <c r="AE2373" s="3"/>
      <c r="AF2373" s="3" t="s">
        <v>127</v>
      </c>
      <c r="AG2373" s="3"/>
      <c r="AH2373" s="3" t="s">
        <v>56</v>
      </c>
      <c r="AI2373" s="3"/>
      <c r="AJ2373" s="3" t="s">
        <v>10512</v>
      </c>
      <c r="AK2373" s="3" t="str">
        <f>HYPERLINK("https://knigipp.ru/api/getInfo/item/8f6b2fed-23c0-11e9-a21d-ac1f6b442184")</f>
        <v>https://knigipp.ru/api/getInfo/item/8f6b2fed-23c0-11e9-a21d-ac1f6b442184</v>
      </c>
      <c r="AL2373" s="3" t="s">
        <v>10513</v>
      </c>
    </row>
    <row r="2374" spans="1:38" ht="21" customHeight="1" outlineLevel="4" x14ac:dyDescent="0.2">
      <c r="A2374" s="39">
        <v>1831</v>
      </c>
      <c r="B2374" s="3" t="s">
        <v>10533</v>
      </c>
      <c r="C2374" s="49" t="s">
        <v>10534</v>
      </c>
      <c r="D2374" s="49"/>
      <c r="E2374" s="49"/>
      <c r="F2374" s="49"/>
      <c r="G2374" s="4" t="s">
        <v>10535</v>
      </c>
      <c r="H2374" s="8"/>
      <c r="I2374" s="9" t="s">
        <v>10536</v>
      </c>
      <c r="J2374" s="10"/>
      <c r="K2374" s="11">
        <v>20</v>
      </c>
      <c r="L2374" s="10"/>
      <c r="M2374" s="10" t="s">
        <v>304</v>
      </c>
      <c r="N2374" s="10"/>
      <c r="O2374" s="2">
        <v>2</v>
      </c>
      <c r="P2374" s="17">
        <f>399*(1-S3/100)</f>
        <v>399</v>
      </c>
      <c r="Q2374" s="18"/>
      <c r="R2374" s="10">
        <f t="shared" si="104"/>
        <v>0</v>
      </c>
      <c r="S2374" s="19">
        <f>0.195*Q2374</f>
        <v>0</v>
      </c>
      <c r="T2374" s="30">
        <f>0.0003*Q2374</f>
        <v>0</v>
      </c>
      <c r="U2374" s="21"/>
      <c r="V2374" s="22" t="s">
        <v>10537</v>
      </c>
      <c r="W2374" s="22" t="s">
        <v>49</v>
      </c>
      <c r="X2374" s="3" t="s">
        <v>10538</v>
      </c>
      <c r="Y2374" s="3"/>
      <c r="Z2374" s="3" t="s">
        <v>384</v>
      </c>
      <c r="AA2374" s="3"/>
      <c r="AB2374" s="3"/>
      <c r="AC2374" s="3" t="str">
        <f>HYPERLINK("https://knigipp.ru/api/getInfo/image/9953b678-f4c6-11e9-a235-ac1f6b442184")</f>
        <v>https://knigipp.ru/api/getInfo/image/9953b678-f4c6-11e9-a235-ac1f6b442184</v>
      </c>
      <c r="AD2374" s="32">
        <v>112</v>
      </c>
      <c r="AE2374" s="3"/>
      <c r="AF2374" s="3" t="s">
        <v>127</v>
      </c>
      <c r="AG2374" s="3"/>
      <c r="AH2374" s="3" t="s">
        <v>56</v>
      </c>
      <c r="AI2374" s="3"/>
      <c r="AJ2374" s="3" t="s">
        <v>10512</v>
      </c>
      <c r="AK2374" s="3" t="str">
        <f>HYPERLINK("https://knigipp.ru/api/getInfo/item/9953b678-f4c6-11e9-a235-ac1f6b442184")</f>
        <v>https://knigipp.ru/api/getInfo/item/9953b678-f4c6-11e9-a235-ac1f6b442184</v>
      </c>
      <c r="AL2374" s="3" t="s">
        <v>10513</v>
      </c>
    </row>
    <row r="2375" spans="1:38" ht="21" customHeight="1" outlineLevel="4" x14ac:dyDescent="0.2">
      <c r="A2375" s="39">
        <v>1832</v>
      </c>
      <c r="B2375" s="3" t="s">
        <v>10539</v>
      </c>
      <c r="C2375" s="49" t="s">
        <v>10540</v>
      </c>
      <c r="D2375" s="49"/>
      <c r="E2375" s="49"/>
      <c r="F2375" s="49"/>
      <c r="G2375" s="4" t="s">
        <v>10541</v>
      </c>
      <c r="H2375" s="8"/>
      <c r="I2375" s="9" t="s">
        <v>10542</v>
      </c>
      <c r="J2375" s="10"/>
      <c r="K2375" s="11">
        <v>20</v>
      </c>
      <c r="L2375" s="10"/>
      <c r="M2375" s="10" t="s">
        <v>47</v>
      </c>
      <c r="N2375" s="10"/>
      <c r="O2375" s="2">
        <v>2</v>
      </c>
      <c r="P2375" s="17">
        <f>399*(1-S3/100)</f>
        <v>399</v>
      </c>
      <c r="Q2375" s="18"/>
      <c r="R2375" s="10">
        <f t="shared" si="104"/>
        <v>0</v>
      </c>
      <c r="S2375" s="19">
        <f>0.183*Q2375</f>
        <v>0</v>
      </c>
      <c r="T2375" s="20">
        <f>0.00015*Q2375</f>
        <v>0</v>
      </c>
      <c r="U2375" s="21"/>
      <c r="V2375" s="22" t="s">
        <v>10543</v>
      </c>
      <c r="W2375" s="22" t="s">
        <v>49</v>
      </c>
      <c r="X2375" s="3" t="s">
        <v>9446</v>
      </c>
      <c r="Y2375" s="3" t="s">
        <v>10544</v>
      </c>
      <c r="Z2375" s="3" t="s">
        <v>384</v>
      </c>
      <c r="AA2375" s="3"/>
      <c r="AB2375" s="3"/>
      <c r="AC2375" s="3" t="str">
        <f>HYPERLINK("https://knigipp.ru/api/getInfo/image/d77b544f-e4bc-11ed-a233-00155d82e902")</f>
        <v>https://knigipp.ru/api/getInfo/image/d77b544f-e4bc-11ed-a233-00155d82e902</v>
      </c>
      <c r="AD2375" s="32">
        <v>128</v>
      </c>
      <c r="AE2375" s="3"/>
      <c r="AF2375" s="3" t="s">
        <v>127</v>
      </c>
      <c r="AG2375" s="3"/>
      <c r="AH2375" s="3" t="s">
        <v>56</v>
      </c>
      <c r="AI2375" s="3"/>
      <c r="AJ2375" s="3" t="s">
        <v>10512</v>
      </c>
      <c r="AK2375" s="3" t="str">
        <f>HYPERLINK("https://knigipp.ru/api/getInfo/item/d77b544f-e4bc-11ed-a233-00155d82e902")</f>
        <v>https://knigipp.ru/api/getInfo/item/d77b544f-e4bc-11ed-a233-00155d82e902</v>
      </c>
      <c r="AL2375" s="3" t="s">
        <v>10545</v>
      </c>
    </row>
    <row r="2376" spans="1:38" ht="21" customHeight="1" outlineLevel="4" x14ac:dyDescent="0.2">
      <c r="A2376" s="39">
        <v>1833</v>
      </c>
      <c r="B2376" s="3" t="s">
        <v>10546</v>
      </c>
      <c r="C2376" s="49" t="s">
        <v>10547</v>
      </c>
      <c r="D2376" s="49"/>
      <c r="E2376" s="49"/>
      <c r="F2376" s="49"/>
      <c r="G2376" s="4" t="s">
        <v>10548</v>
      </c>
      <c r="H2376" s="8"/>
      <c r="I2376" s="9" t="s">
        <v>10549</v>
      </c>
      <c r="J2376" s="10"/>
      <c r="K2376" s="11">
        <v>20</v>
      </c>
      <c r="L2376" s="10"/>
      <c r="M2376" s="10" t="s">
        <v>47</v>
      </c>
      <c r="N2376" s="10"/>
      <c r="O2376" s="2">
        <v>2</v>
      </c>
      <c r="P2376" s="17">
        <f>399*(1-S3/100)</f>
        <v>399</v>
      </c>
      <c r="Q2376" s="18"/>
      <c r="R2376" s="10">
        <f t="shared" si="104"/>
        <v>0</v>
      </c>
      <c r="S2376" s="19">
        <f>0.186*Q2376</f>
        <v>0</v>
      </c>
      <c r="T2376" s="20">
        <f>0.00018*Q2376</f>
        <v>0</v>
      </c>
      <c r="U2376" s="21"/>
      <c r="V2376" s="22" t="s">
        <v>10550</v>
      </c>
      <c r="W2376" s="22" t="s">
        <v>49</v>
      </c>
      <c r="X2376" s="3" t="s">
        <v>10258</v>
      </c>
      <c r="Y2376" s="3"/>
      <c r="Z2376" s="3" t="s">
        <v>384</v>
      </c>
      <c r="AA2376" s="3"/>
      <c r="AB2376" s="3"/>
      <c r="AC2376" s="3" t="str">
        <f>HYPERLINK("https://knigipp.ru/api/getInfo/image/25afdddd-e4be-11ed-a233-00155d82e902")</f>
        <v>https://knigipp.ru/api/getInfo/image/25afdddd-e4be-11ed-a233-00155d82e902</v>
      </c>
      <c r="AD2376" s="32">
        <v>128</v>
      </c>
      <c r="AE2376" s="3"/>
      <c r="AF2376" s="3" t="s">
        <v>127</v>
      </c>
      <c r="AG2376" s="3"/>
      <c r="AH2376" s="3" t="s">
        <v>56</v>
      </c>
      <c r="AI2376" s="3"/>
      <c r="AJ2376" s="3" t="s">
        <v>10512</v>
      </c>
      <c r="AK2376" s="3" t="str">
        <f>HYPERLINK("https://knigipp.ru/api/getInfo/item/25afdddd-e4be-11ed-a233-00155d82e902")</f>
        <v>https://knigipp.ru/api/getInfo/item/25afdddd-e4be-11ed-a233-00155d82e902</v>
      </c>
      <c r="AL2376" s="3" t="s">
        <v>10513</v>
      </c>
    </row>
    <row r="2377" spans="1:38" ht="21" customHeight="1" outlineLevel="4" x14ac:dyDescent="0.2">
      <c r="A2377" s="39">
        <v>1834</v>
      </c>
      <c r="B2377" s="3" t="s">
        <v>10551</v>
      </c>
      <c r="C2377" s="49" t="s">
        <v>10552</v>
      </c>
      <c r="D2377" s="49"/>
      <c r="E2377" s="49"/>
      <c r="F2377" s="49"/>
      <c r="G2377" s="4" t="s">
        <v>10553</v>
      </c>
      <c r="H2377" s="8"/>
      <c r="I2377" s="9" t="s">
        <v>10554</v>
      </c>
      <c r="J2377" s="10"/>
      <c r="K2377" s="11">
        <v>20</v>
      </c>
      <c r="L2377" s="10"/>
      <c r="M2377" s="10" t="s">
        <v>47</v>
      </c>
      <c r="N2377" s="10"/>
      <c r="O2377" s="2">
        <v>2</v>
      </c>
      <c r="P2377" s="17">
        <f>399*(1-S3/100)</f>
        <v>399</v>
      </c>
      <c r="Q2377" s="18"/>
      <c r="R2377" s="10">
        <f t="shared" si="104"/>
        <v>0</v>
      </c>
      <c r="S2377" s="19">
        <f>0.191*Q2377</f>
        <v>0</v>
      </c>
      <c r="T2377" s="20">
        <f>0.00036*Q2377</f>
        <v>0</v>
      </c>
      <c r="U2377" s="21"/>
      <c r="V2377" s="22" t="s">
        <v>10555</v>
      </c>
      <c r="W2377" s="22" t="s">
        <v>49</v>
      </c>
      <c r="X2377" s="3" t="s">
        <v>10245</v>
      </c>
      <c r="Y2377" s="3" t="s">
        <v>10556</v>
      </c>
      <c r="Z2377" s="3" t="s">
        <v>384</v>
      </c>
      <c r="AA2377" s="3"/>
      <c r="AB2377" s="3"/>
      <c r="AC2377" s="3" t="str">
        <f>HYPERLINK("https://knigipp.ru/api/getInfo/image/299f1c98-bf24-11ed-a230-00155d82e902")</f>
        <v>https://knigipp.ru/api/getInfo/image/299f1c98-bf24-11ed-a230-00155d82e902</v>
      </c>
      <c r="AD2377" s="32">
        <v>128</v>
      </c>
      <c r="AE2377" s="3"/>
      <c r="AF2377" s="3" t="s">
        <v>127</v>
      </c>
      <c r="AG2377" s="3"/>
      <c r="AH2377" s="3" t="s">
        <v>56</v>
      </c>
      <c r="AI2377" s="3"/>
      <c r="AJ2377" s="3" t="s">
        <v>10512</v>
      </c>
      <c r="AK2377" s="3" t="str">
        <f>HYPERLINK("https://knigipp.ru/api/getInfo/item/299f1c98-bf24-11ed-a230-00155d82e902")</f>
        <v>https://knigipp.ru/api/getInfo/item/299f1c98-bf24-11ed-a230-00155d82e902</v>
      </c>
      <c r="AL2377" s="3" t="s">
        <v>10513</v>
      </c>
    </row>
    <row r="2378" spans="1:38" ht="21" customHeight="1" outlineLevel="4" x14ac:dyDescent="0.2">
      <c r="A2378" s="39">
        <v>1835</v>
      </c>
      <c r="B2378" s="3" t="s">
        <v>10557</v>
      </c>
      <c r="C2378" s="49" t="s">
        <v>10558</v>
      </c>
      <c r="D2378" s="49"/>
      <c r="E2378" s="49"/>
      <c r="F2378" s="49"/>
      <c r="G2378" s="4" t="s">
        <v>10559</v>
      </c>
      <c r="H2378" s="8"/>
      <c r="I2378" s="9" t="s">
        <v>10560</v>
      </c>
      <c r="J2378" s="10"/>
      <c r="K2378" s="11">
        <v>20</v>
      </c>
      <c r="L2378" s="10"/>
      <c r="M2378" s="10" t="s">
        <v>47</v>
      </c>
      <c r="N2378" s="10"/>
      <c r="O2378" s="2">
        <v>2</v>
      </c>
      <c r="P2378" s="17">
        <f>399*(1-S3/100)</f>
        <v>399</v>
      </c>
      <c r="Q2378" s="18"/>
      <c r="R2378" s="10">
        <f t="shared" si="104"/>
        <v>0</v>
      </c>
      <c r="S2378" s="28">
        <f>0.18*Q2378</f>
        <v>0</v>
      </c>
      <c r="T2378" s="20">
        <f>0.00034*Q2378</f>
        <v>0</v>
      </c>
      <c r="U2378" s="21"/>
      <c r="V2378" s="22" t="s">
        <v>10561</v>
      </c>
      <c r="W2378" s="22" t="s">
        <v>49</v>
      </c>
      <c r="X2378" s="3" t="s">
        <v>10562</v>
      </c>
      <c r="Y2378" s="3"/>
      <c r="Z2378" s="3" t="s">
        <v>384</v>
      </c>
      <c r="AA2378" s="3"/>
      <c r="AB2378" s="3"/>
      <c r="AC2378" s="3" t="str">
        <f>HYPERLINK("https://knigipp.ru/api/getInfo/image/c7478e73-23c0-11e9-a21d-ac1f6b442184")</f>
        <v>https://knigipp.ru/api/getInfo/image/c7478e73-23c0-11e9-a21d-ac1f6b442184</v>
      </c>
      <c r="AD2378" s="32">
        <v>128</v>
      </c>
      <c r="AE2378" s="3"/>
      <c r="AF2378" s="3" t="s">
        <v>127</v>
      </c>
      <c r="AG2378" s="3"/>
      <c r="AH2378" s="3" t="s">
        <v>56</v>
      </c>
      <c r="AI2378" s="3"/>
      <c r="AJ2378" s="3" t="s">
        <v>10512</v>
      </c>
      <c r="AK2378" s="3" t="str">
        <f>HYPERLINK("https://knigipp.ru/api/getInfo/item/c7478e73-23c0-11e9-a21d-ac1f6b442184")</f>
        <v>https://knigipp.ru/api/getInfo/item/c7478e73-23c0-11e9-a21d-ac1f6b442184</v>
      </c>
      <c r="AL2378" s="3" t="s">
        <v>10513</v>
      </c>
    </row>
    <row r="2379" spans="1:38" ht="21" customHeight="1" outlineLevel="4" x14ac:dyDescent="0.2">
      <c r="A2379" s="39">
        <v>1836</v>
      </c>
      <c r="B2379" s="3" t="s">
        <v>10563</v>
      </c>
      <c r="C2379" s="49" t="s">
        <v>10564</v>
      </c>
      <c r="D2379" s="49"/>
      <c r="E2379" s="49"/>
      <c r="F2379" s="49"/>
      <c r="G2379" s="4" t="s">
        <v>10565</v>
      </c>
      <c r="H2379" s="8"/>
      <c r="I2379" s="9" t="s">
        <v>10566</v>
      </c>
      <c r="J2379" s="10"/>
      <c r="K2379" s="11">
        <v>20</v>
      </c>
      <c r="L2379" s="10"/>
      <c r="M2379" s="10" t="s">
        <v>47</v>
      </c>
      <c r="N2379" s="10"/>
      <c r="O2379" s="2">
        <v>2</v>
      </c>
      <c r="P2379" s="17">
        <f>399*(1-S3/100)</f>
        <v>399</v>
      </c>
      <c r="Q2379" s="18"/>
      <c r="R2379" s="10">
        <f t="shared" si="104"/>
        <v>0</v>
      </c>
      <c r="S2379" s="19">
        <f>0.183*Q2379</f>
        <v>0</v>
      </c>
      <c r="T2379" s="20">
        <f>0.00015*Q2379</f>
        <v>0</v>
      </c>
      <c r="U2379" s="21"/>
      <c r="V2379" s="22" t="s">
        <v>10567</v>
      </c>
      <c r="W2379" s="22" t="s">
        <v>49</v>
      </c>
      <c r="X2379" s="3" t="s">
        <v>10568</v>
      </c>
      <c r="Y2379" s="3" t="s">
        <v>10569</v>
      </c>
      <c r="Z2379" s="3" t="s">
        <v>52</v>
      </c>
      <c r="AA2379" s="3"/>
      <c r="AB2379" s="3"/>
      <c r="AC2379" s="3" t="str">
        <f>HYPERLINK("https://knigipp.ru/api/getInfo/image/1b0b922c-25bc-11f0-a279-00155d82e908")</f>
        <v>https://knigipp.ru/api/getInfo/image/1b0b922c-25bc-11f0-a279-00155d82e908</v>
      </c>
      <c r="AD2379" s="32">
        <v>128</v>
      </c>
      <c r="AE2379" s="3" t="s">
        <v>54</v>
      </c>
      <c r="AF2379" s="3" t="s">
        <v>127</v>
      </c>
      <c r="AG2379" s="3"/>
      <c r="AH2379" s="3" t="s">
        <v>56</v>
      </c>
      <c r="AI2379" s="3"/>
      <c r="AJ2379" s="3"/>
      <c r="AK2379" s="3" t="str">
        <f>HYPERLINK("https://knigipp.ru/api/getInfo/item/1b0b922c-25bc-11f0-a279-00155d82e908")</f>
        <v>https://knigipp.ru/api/getInfo/item/1b0b922c-25bc-11f0-a279-00155d82e908</v>
      </c>
      <c r="AL2379" s="3" t="s">
        <v>9499</v>
      </c>
    </row>
    <row r="2380" spans="1:38" ht="21" customHeight="1" outlineLevel="4" x14ac:dyDescent="0.2">
      <c r="A2380" s="39">
        <v>1837</v>
      </c>
      <c r="B2380" s="3" t="s">
        <v>10570</v>
      </c>
      <c r="C2380" s="49" t="s">
        <v>10571</v>
      </c>
      <c r="D2380" s="49"/>
      <c r="E2380" s="49"/>
      <c r="F2380" s="49"/>
      <c r="G2380" s="4" t="s">
        <v>10572</v>
      </c>
      <c r="H2380" s="8"/>
      <c r="I2380" s="9" t="s">
        <v>10573</v>
      </c>
      <c r="J2380" s="10"/>
      <c r="K2380" s="11">
        <v>20</v>
      </c>
      <c r="L2380" s="10"/>
      <c r="M2380" s="10" t="s">
        <v>47</v>
      </c>
      <c r="N2380" s="10"/>
      <c r="O2380" s="2">
        <v>2</v>
      </c>
      <c r="P2380" s="17">
        <f>399*(1-S3/100)</f>
        <v>399</v>
      </c>
      <c r="Q2380" s="18"/>
      <c r="R2380" s="10">
        <f t="shared" si="104"/>
        <v>0</v>
      </c>
      <c r="S2380" s="19">
        <f>0.195*Q2380</f>
        <v>0</v>
      </c>
      <c r="T2380" s="30">
        <f>0.0003*Q2380</f>
        <v>0</v>
      </c>
      <c r="U2380" s="21"/>
      <c r="V2380" s="22" t="s">
        <v>10574</v>
      </c>
      <c r="W2380" s="22" t="s">
        <v>49</v>
      </c>
      <c r="X2380" s="3" t="s">
        <v>10575</v>
      </c>
      <c r="Y2380" s="3" t="s">
        <v>10576</v>
      </c>
      <c r="Z2380" s="3" t="s">
        <v>384</v>
      </c>
      <c r="AA2380" s="3"/>
      <c r="AB2380" s="3"/>
      <c r="AC2380" s="3" t="str">
        <f>HYPERLINK("https://knigipp.ru/api/getInfo/image/d57fe71a-f4c6-11e9-a235-ac1f6b442184")</f>
        <v>https://knigipp.ru/api/getInfo/image/d57fe71a-f4c6-11e9-a235-ac1f6b442184</v>
      </c>
      <c r="AD2380" s="32">
        <v>112</v>
      </c>
      <c r="AE2380" s="3"/>
      <c r="AF2380" s="3" t="s">
        <v>127</v>
      </c>
      <c r="AG2380" s="3"/>
      <c r="AH2380" s="3" t="s">
        <v>56</v>
      </c>
      <c r="AI2380" s="3"/>
      <c r="AJ2380" s="3" t="s">
        <v>10512</v>
      </c>
      <c r="AK2380" s="3" t="str">
        <f>HYPERLINK("https://knigipp.ru/api/getInfo/item/d57fe71a-f4c6-11e9-a235-ac1f6b442184")</f>
        <v>https://knigipp.ru/api/getInfo/item/d57fe71a-f4c6-11e9-a235-ac1f6b442184</v>
      </c>
      <c r="AL2380" s="3" t="s">
        <v>10577</v>
      </c>
    </row>
    <row r="2381" spans="1:38" ht="21" customHeight="1" outlineLevel="4" x14ac:dyDescent="0.2">
      <c r="A2381" s="39">
        <v>1838</v>
      </c>
      <c r="B2381" s="3" t="s">
        <v>10578</v>
      </c>
      <c r="C2381" s="49" t="s">
        <v>10579</v>
      </c>
      <c r="D2381" s="49"/>
      <c r="E2381" s="49"/>
      <c r="F2381" s="49"/>
      <c r="G2381" s="4" t="s">
        <v>10580</v>
      </c>
      <c r="H2381" s="8"/>
      <c r="I2381" s="9" t="s">
        <v>10581</v>
      </c>
      <c r="J2381" s="10"/>
      <c r="K2381" s="11">
        <v>20</v>
      </c>
      <c r="L2381" s="10"/>
      <c r="M2381" s="10" t="s">
        <v>78</v>
      </c>
      <c r="N2381" s="10"/>
      <c r="O2381" s="2">
        <v>2</v>
      </c>
      <c r="P2381" s="17">
        <f>399*(1-S3/100)</f>
        <v>399</v>
      </c>
      <c r="Q2381" s="18"/>
      <c r="R2381" s="10">
        <f t="shared" si="104"/>
        <v>0</v>
      </c>
      <c r="S2381" s="10">
        <v>0</v>
      </c>
      <c r="T2381" s="10">
        <v>0</v>
      </c>
      <c r="U2381" s="21"/>
      <c r="V2381" s="22" t="s">
        <v>10582</v>
      </c>
      <c r="W2381" s="22" t="s">
        <v>49</v>
      </c>
      <c r="X2381" s="3" t="s">
        <v>10583</v>
      </c>
      <c r="Y2381" s="3" t="s">
        <v>10584</v>
      </c>
      <c r="Z2381" s="3" t="s">
        <v>384</v>
      </c>
      <c r="AA2381" s="3"/>
      <c r="AB2381" s="3"/>
      <c r="AC2381" s="3" t="str">
        <f>HYPERLINK("https://knigipp.ru/api/getInfo/image/7aaba441-1f16-11ee-a23c-00155d82e902")</f>
        <v>https://knigipp.ru/api/getInfo/image/7aaba441-1f16-11ee-a23c-00155d82e902</v>
      </c>
      <c r="AD2381" s="32">
        <v>128</v>
      </c>
      <c r="AE2381" s="3" t="s">
        <v>54</v>
      </c>
      <c r="AF2381" s="3" t="s">
        <v>127</v>
      </c>
      <c r="AG2381" s="3"/>
      <c r="AH2381" s="3" t="s">
        <v>56</v>
      </c>
      <c r="AI2381" s="3"/>
      <c r="AJ2381" s="3" t="s">
        <v>10512</v>
      </c>
      <c r="AK2381" s="3" t="str">
        <f>HYPERLINK("https://knigipp.ru/api/getInfo/item/7aaba441-1f16-11ee-a23c-00155d82e902")</f>
        <v>https://knigipp.ru/api/getInfo/item/7aaba441-1f16-11ee-a23c-00155d82e902</v>
      </c>
      <c r="AL2381" s="3" t="s">
        <v>10513</v>
      </c>
    </row>
    <row r="2382" spans="1:38" ht="23.1" customHeight="1" outlineLevel="3" x14ac:dyDescent="0.2">
      <c r="A2382" s="48" t="s">
        <v>10585</v>
      </c>
      <c r="B2382" s="48"/>
      <c r="C2382" s="48"/>
      <c r="D2382" s="48"/>
      <c r="E2382" s="48"/>
      <c r="F2382" s="48"/>
    </row>
    <row r="2383" spans="1:38" ht="21" customHeight="1" outlineLevel="4" x14ac:dyDescent="0.2">
      <c r="A2383" s="39">
        <v>1839</v>
      </c>
      <c r="B2383" s="3" t="s">
        <v>10586</v>
      </c>
      <c r="C2383" s="49" t="s">
        <v>10587</v>
      </c>
      <c r="D2383" s="49"/>
      <c r="E2383" s="49"/>
      <c r="F2383" s="49"/>
      <c r="G2383" s="4" t="s">
        <v>10588</v>
      </c>
      <c r="H2383" s="8"/>
      <c r="I2383" s="9" t="s">
        <v>10589</v>
      </c>
      <c r="J2383" s="10"/>
      <c r="K2383" s="11">
        <v>10</v>
      </c>
      <c r="L2383" s="10"/>
      <c r="M2383" s="10" t="s">
        <v>47</v>
      </c>
      <c r="N2383" s="10"/>
      <c r="O2383" s="2">
        <v>2</v>
      </c>
      <c r="P2383" s="17">
        <f>377*(1-S3/100)</f>
        <v>377</v>
      </c>
      <c r="Q2383" s="18"/>
      <c r="R2383" s="10">
        <f t="shared" ref="R2383:R2400" si="105">P2383*Q2383</f>
        <v>0</v>
      </c>
      <c r="S2383" s="19">
        <f>0.338*Q2383</f>
        <v>0</v>
      </c>
      <c r="T2383" s="20">
        <f>0.02065*Q2383</f>
        <v>0</v>
      </c>
      <c r="U2383" s="21"/>
      <c r="V2383" s="22" t="s">
        <v>10590</v>
      </c>
      <c r="W2383" s="22" t="s">
        <v>49</v>
      </c>
      <c r="X2383" s="3" t="s">
        <v>10591</v>
      </c>
      <c r="Y2383" s="3" t="s">
        <v>10592</v>
      </c>
      <c r="Z2383" s="3" t="s">
        <v>3329</v>
      </c>
      <c r="AA2383" s="3"/>
      <c r="AB2383" s="3"/>
      <c r="AC2383" s="3" t="str">
        <f>HYPERLINK("https://knigipp.ru/api/getInfo/image/292db67e-9780-11ef-a267-00155d82e908")</f>
        <v>https://knigipp.ru/api/getInfo/image/292db67e-9780-11ef-a267-00155d82e908</v>
      </c>
      <c r="AD2383" s="32">
        <v>176</v>
      </c>
      <c r="AE2383" s="3" t="s">
        <v>1406</v>
      </c>
      <c r="AF2383" s="3" t="s">
        <v>127</v>
      </c>
      <c r="AG2383" s="3"/>
      <c r="AH2383" s="3" t="s">
        <v>56</v>
      </c>
      <c r="AI2383" s="3"/>
      <c r="AJ2383" s="3"/>
      <c r="AK2383" s="3" t="str">
        <f>HYPERLINK("https://knigipp.ru/api/getInfo/item/292db67e-9780-11ef-a267-00155d82e908")</f>
        <v>https://knigipp.ru/api/getInfo/item/292db67e-9780-11ef-a267-00155d82e908</v>
      </c>
      <c r="AL2383" s="3" t="s">
        <v>10593</v>
      </c>
    </row>
    <row r="2384" spans="1:38" ht="21" customHeight="1" outlineLevel="4" x14ac:dyDescent="0.2">
      <c r="A2384" s="39">
        <v>1840</v>
      </c>
      <c r="B2384" s="3" t="s">
        <v>10594</v>
      </c>
      <c r="C2384" s="49" t="s">
        <v>10595</v>
      </c>
      <c r="D2384" s="49"/>
      <c r="E2384" s="49"/>
      <c r="F2384" s="49"/>
      <c r="G2384" s="4" t="s">
        <v>10596</v>
      </c>
      <c r="H2384" s="8"/>
      <c r="I2384" s="9" t="s">
        <v>10597</v>
      </c>
      <c r="J2384" s="10"/>
      <c r="K2384" s="11">
        <v>6</v>
      </c>
      <c r="L2384" s="10"/>
      <c r="M2384" s="10" t="s">
        <v>47</v>
      </c>
      <c r="N2384" s="10"/>
      <c r="O2384" s="2">
        <v>1</v>
      </c>
      <c r="P2384" s="17">
        <f>687*(1-S3/100)</f>
        <v>687</v>
      </c>
      <c r="Q2384" s="18"/>
      <c r="R2384" s="10">
        <f t="shared" si="105"/>
        <v>0</v>
      </c>
      <c r="S2384" s="19">
        <f>0.626*Q2384</f>
        <v>0</v>
      </c>
      <c r="T2384" s="20">
        <f>0.00094*Q2384</f>
        <v>0</v>
      </c>
      <c r="U2384" s="21"/>
      <c r="V2384" s="22" t="s">
        <v>10598</v>
      </c>
      <c r="W2384" s="22" t="s">
        <v>49</v>
      </c>
      <c r="X2384" s="3" t="s">
        <v>10599</v>
      </c>
      <c r="Y2384" s="3" t="s">
        <v>10600</v>
      </c>
      <c r="Z2384" s="3" t="s">
        <v>3329</v>
      </c>
      <c r="AA2384" s="3"/>
      <c r="AB2384" s="3"/>
      <c r="AC2384" s="3" t="str">
        <f>HYPERLINK("https://knigipp.ru/api/getInfo/image/783c328c-2511-11ec-a20f-ac1f6b442185")</f>
        <v>https://knigipp.ru/api/getInfo/image/783c328c-2511-11ec-a20f-ac1f6b442185</v>
      </c>
      <c r="AD2384" s="32">
        <v>384</v>
      </c>
      <c r="AE2384" s="3" t="s">
        <v>1406</v>
      </c>
      <c r="AF2384" s="3" t="s">
        <v>127</v>
      </c>
      <c r="AG2384" s="3"/>
      <c r="AH2384" s="3" t="s">
        <v>56</v>
      </c>
      <c r="AI2384" s="3"/>
      <c r="AJ2384" s="3"/>
      <c r="AK2384" s="3" t="str">
        <f>HYPERLINK("https://knigipp.ru/api/getInfo/item/783c328c-2511-11ec-a20f-ac1f6b442185")</f>
        <v>https://knigipp.ru/api/getInfo/item/783c328c-2511-11ec-a20f-ac1f6b442185</v>
      </c>
      <c r="AL2384" s="3" t="s">
        <v>9321</v>
      </c>
    </row>
    <row r="2385" spans="1:38" ht="21" customHeight="1" outlineLevel="4" x14ac:dyDescent="0.2">
      <c r="A2385" s="39">
        <v>1841</v>
      </c>
      <c r="B2385" s="3" t="s">
        <v>10601</v>
      </c>
      <c r="C2385" s="49" t="s">
        <v>10602</v>
      </c>
      <c r="D2385" s="49"/>
      <c r="E2385" s="49"/>
      <c r="F2385" s="49"/>
      <c r="G2385" s="4" t="s">
        <v>10603</v>
      </c>
      <c r="H2385" s="8"/>
      <c r="I2385" s="9" t="s">
        <v>10604</v>
      </c>
      <c r="J2385" s="10"/>
      <c r="K2385" s="11">
        <v>10</v>
      </c>
      <c r="L2385" s="10"/>
      <c r="M2385" s="10" t="s">
        <v>47</v>
      </c>
      <c r="N2385" s="10"/>
      <c r="O2385" s="2">
        <v>2</v>
      </c>
      <c r="P2385" s="17">
        <f>377*(1-S3/100)</f>
        <v>377</v>
      </c>
      <c r="Q2385" s="18"/>
      <c r="R2385" s="10">
        <f t="shared" si="105"/>
        <v>0</v>
      </c>
      <c r="S2385" s="19">
        <f>0.333*Q2385</f>
        <v>0</v>
      </c>
      <c r="T2385" s="20">
        <f>0.00044*Q2385</f>
        <v>0</v>
      </c>
      <c r="U2385" s="21"/>
      <c r="V2385" s="22" t="s">
        <v>10605</v>
      </c>
      <c r="W2385" s="22" t="s">
        <v>49</v>
      </c>
      <c r="X2385" s="3" t="s">
        <v>10606</v>
      </c>
      <c r="Y2385" s="3" t="s">
        <v>10607</v>
      </c>
      <c r="Z2385" s="3" t="s">
        <v>3329</v>
      </c>
      <c r="AA2385" s="3"/>
      <c r="AB2385" s="3"/>
      <c r="AC2385" s="3" t="str">
        <f>HYPERLINK("https://knigipp.ru/api/getInfo/image/59972404-2510-11ec-a20f-ac1f6b442185")</f>
        <v>https://knigipp.ru/api/getInfo/image/59972404-2510-11ec-a20f-ac1f6b442185</v>
      </c>
      <c r="AD2385" s="32">
        <v>176</v>
      </c>
      <c r="AE2385" s="3" t="s">
        <v>1406</v>
      </c>
      <c r="AF2385" s="3" t="s">
        <v>127</v>
      </c>
      <c r="AG2385" s="3"/>
      <c r="AH2385" s="3" t="s">
        <v>56</v>
      </c>
      <c r="AI2385" s="3"/>
      <c r="AJ2385" s="3"/>
      <c r="AK2385" s="3" t="str">
        <f>HYPERLINK("https://knigipp.ru/api/getInfo/item/59972404-2510-11ec-a20f-ac1f6b442185")</f>
        <v>https://knigipp.ru/api/getInfo/item/59972404-2510-11ec-a20f-ac1f6b442185</v>
      </c>
      <c r="AL2385" s="3" t="s">
        <v>10608</v>
      </c>
    </row>
    <row r="2386" spans="1:38" ht="21" customHeight="1" outlineLevel="4" x14ac:dyDescent="0.2">
      <c r="A2386" s="39">
        <v>1842</v>
      </c>
      <c r="B2386" s="3" t="s">
        <v>10609</v>
      </c>
      <c r="C2386" s="49" t="s">
        <v>10610</v>
      </c>
      <c r="D2386" s="49"/>
      <c r="E2386" s="49"/>
      <c r="F2386" s="49"/>
      <c r="G2386" s="4" t="s">
        <v>10611</v>
      </c>
      <c r="H2386" s="8"/>
      <c r="I2386" s="9" t="s">
        <v>10612</v>
      </c>
      <c r="J2386" s="10"/>
      <c r="K2386" s="11">
        <v>10</v>
      </c>
      <c r="L2386" s="10"/>
      <c r="M2386" s="10" t="s">
        <v>47</v>
      </c>
      <c r="N2386" s="10"/>
      <c r="O2386" s="2">
        <v>2</v>
      </c>
      <c r="P2386" s="17">
        <f>457*(1-S3/100)</f>
        <v>457</v>
      </c>
      <c r="Q2386" s="18"/>
      <c r="R2386" s="10">
        <f t="shared" si="105"/>
        <v>0</v>
      </c>
      <c r="S2386" s="19">
        <f>0.378*Q2386</f>
        <v>0</v>
      </c>
      <c r="T2386" s="20">
        <f>0.00053*Q2386</f>
        <v>0</v>
      </c>
      <c r="U2386" s="21"/>
      <c r="V2386" s="22" t="s">
        <v>10613</v>
      </c>
      <c r="W2386" s="22" t="s">
        <v>49</v>
      </c>
      <c r="X2386" s="3" t="s">
        <v>10614</v>
      </c>
      <c r="Y2386" s="3" t="s">
        <v>10615</v>
      </c>
      <c r="Z2386" s="3" t="s">
        <v>3329</v>
      </c>
      <c r="AA2386" s="3"/>
      <c r="AB2386" s="3"/>
      <c r="AC2386" s="3" t="str">
        <f>HYPERLINK("https://knigipp.ru/api/getInfo/image/8af3740a-977f-11ef-a267-00155d82e908")</f>
        <v>https://knigipp.ru/api/getInfo/image/8af3740a-977f-11ef-a267-00155d82e908</v>
      </c>
      <c r="AD2386" s="32">
        <v>208</v>
      </c>
      <c r="AE2386" s="3" t="s">
        <v>1406</v>
      </c>
      <c r="AF2386" s="3" t="s">
        <v>127</v>
      </c>
      <c r="AG2386" s="3"/>
      <c r="AH2386" s="3" t="s">
        <v>56</v>
      </c>
      <c r="AI2386" s="3"/>
      <c r="AJ2386" s="3"/>
      <c r="AK2386" s="3" t="str">
        <f>HYPERLINK("https://knigipp.ru/api/getInfo/item/8af3740a-977f-11ef-a267-00155d82e908")</f>
        <v>https://knigipp.ru/api/getInfo/item/8af3740a-977f-11ef-a267-00155d82e908</v>
      </c>
      <c r="AL2386" s="3" t="s">
        <v>10616</v>
      </c>
    </row>
    <row r="2387" spans="1:38" ht="21" customHeight="1" outlineLevel="4" x14ac:dyDescent="0.2">
      <c r="A2387" s="39">
        <v>1843</v>
      </c>
      <c r="B2387" s="3" t="s">
        <v>10617</v>
      </c>
      <c r="C2387" s="49" t="s">
        <v>10618</v>
      </c>
      <c r="D2387" s="49"/>
      <c r="E2387" s="49"/>
      <c r="F2387" s="49"/>
      <c r="G2387" s="4" t="s">
        <v>10619</v>
      </c>
      <c r="H2387" s="8"/>
      <c r="I2387" s="9" t="s">
        <v>10620</v>
      </c>
      <c r="J2387" s="10"/>
      <c r="K2387" s="11">
        <v>10</v>
      </c>
      <c r="L2387" s="10"/>
      <c r="M2387" s="10" t="s">
        <v>78</v>
      </c>
      <c r="N2387" s="10"/>
      <c r="O2387" s="2">
        <v>2</v>
      </c>
      <c r="P2387" s="17">
        <f>457*(1-S3/100)</f>
        <v>457</v>
      </c>
      <c r="Q2387" s="18"/>
      <c r="R2387" s="10">
        <f t="shared" si="105"/>
        <v>0</v>
      </c>
      <c r="S2387" s="19">
        <f>0.359*Q2387</f>
        <v>0</v>
      </c>
      <c r="T2387" s="20">
        <f>0.00057*Q2387</f>
        <v>0</v>
      </c>
      <c r="U2387" s="21"/>
      <c r="V2387" s="22" t="s">
        <v>10621</v>
      </c>
      <c r="W2387" s="22" t="s">
        <v>49</v>
      </c>
      <c r="X2387" s="3" t="s">
        <v>10056</v>
      </c>
      <c r="Y2387" s="3" t="s">
        <v>10622</v>
      </c>
      <c r="Z2387" s="3" t="s">
        <v>3329</v>
      </c>
      <c r="AA2387" s="3"/>
      <c r="AB2387" s="3"/>
      <c r="AC2387" s="3" t="str">
        <f>HYPERLINK("https://knigipp.ru/api/getInfo/image/5e0008aa-250f-11ec-a20f-ac1f6b442185")</f>
        <v>https://knigipp.ru/api/getInfo/image/5e0008aa-250f-11ec-a20f-ac1f6b442185</v>
      </c>
      <c r="AD2387" s="32">
        <v>192</v>
      </c>
      <c r="AE2387" s="3" t="s">
        <v>1406</v>
      </c>
      <c r="AF2387" s="3" t="s">
        <v>127</v>
      </c>
      <c r="AG2387" s="3"/>
      <c r="AH2387" s="3" t="s">
        <v>56</v>
      </c>
      <c r="AI2387" s="3"/>
      <c r="AJ2387" s="3"/>
      <c r="AK2387" s="3" t="str">
        <f>HYPERLINK("https://knigipp.ru/api/getInfo/item/5e0008aa-250f-11ec-a20f-ac1f6b442185")</f>
        <v>https://knigipp.ru/api/getInfo/item/5e0008aa-250f-11ec-a20f-ac1f6b442185</v>
      </c>
      <c r="AL2387" s="3" t="s">
        <v>10608</v>
      </c>
    </row>
    <row r="2388" spans="1:38" ht="21" customHeight="1" outlineLevel="4" x14ac:dyDescent="0.2">
      <c r="A2388" s="39">
        <v>1844</v>
      </c>
      <c r="B2388" s="3" t="s">
        <v>10623</v>
      </c>
      <c r="C2388" s="49" t="s">
        <v>10624</v>
      </c>
      <c r="D2388" s="49"/>
      <c r="E2388" s="49"/>
      <c r="F2388" s="49"/>
      <c r="G2388" s="4" t="s">
        <v>10625</v>
      </c>
      <c r="H2388" s="8"/>
      <c r="I2388" s="9" t="s">
        <v>10626</v>
      </c>
      <c r="J2388" s="10"/>
      <c r="K2388" s="11">
        <v>10</v>
      </c>
      <c r="L2388" s="10"/>
      <c r="M2388" s="10" t="s">
        <v>47</v>
      </c>
      <c r="N2388" s="10"/>
      <c r="O2388" s="2">
        <v>2</v>
      </c>
      <c r="P2388" s="17">
        <f>547*(1-S3/100)</f>
        <v>547</v>
      </c>
      <c r="Q2388" s="18"/>
      <c r="R2388" s="10">
        <f t="shared" si="105"/>
        <v>0</v>
      </c>
      <c r="S2388" s="19">
        <f>0.421*Q2388</f>
        <v>0</v>
      </c>
      <c r="T2388" s="20">
        <f>0.00063*Q2388</f>
        <v>0</v>
      </c>
      <c r="U2388" s="21"/>
      <c r="V2388" s="22" t="s">
        <v>10627</v>
      </c>
      <c r="W2388" s="22" t="s">
        <v>49</v>
      </c>
      <c r="X2388" s="3" t="s">
        <v>10056</v>
      </c>
      <c r="Y2388" s="3" t="s">
        <v>10628</v>
      </c>
      <c r="Z2388" s="3" t="s">
        <v>3329</v>
      </c>
      <c r="AA2388" s="3"/>
      <c r="AB2388" s="3"/>
      <c r="AC2388" s="3" t="str">
        <f>HYPERLINK("https://knigipp.ru/api/getInfo/image/ec9fd740-250f-11ec-a20f-ac1f6b442185")</f>
        <v>https://knigipp.ru/api/getInfo/image/ec9fd740-250f-11ec-a20f-ac1f6b442185</v>
      </c>
      <c r="AD2388" s="32">
        <v>240</v>
      </c>
      <c r="AE2388" s="3" t="s">
        <v>1406</v>
      </c>
      <c r="AF2388" s="3" t="s">
        <v>127</v>
      </c>
      <c r="AG2388" s="3"/>
      <c r="AH2388" s="3" t="s">
        <v>56</v>
      </c>
      <c r="AI2388" s="3"/>
      <c r="AJ2388" s="3"/>
      <c r="AK2388" s="3" t="str">
        <f>HYPERLINK("https://knigipp.ru/api/getInfo/item/ec9fd740-250f-11ec-a20f-ac1f6b442185")</f>
        <v>https://knigipp.ru/api/getInfo/item/ec9fd740-250f-11ec-a20f-ac1f6b442185</v>
      </c>
      <c r="AL2388" s="3" t="s">
        <v>10629</v>
      </c>
    </row>
    <row r="2389" spans="1:38" ht="21" customHeight="1" outlineLevel="4" x14ac:dyDescent="0.2">
      <c r="A2389" s="39">
        <v>1845</v>
      </c>
      <c r="B2389" s="3" t="s">
        <v>10630</v>
      </c>
      <c r="C2389" s="49" t="s">
        <v>10631</v>
      </c>
      <c r="D2389" s="49"/>
      <c r="E2389" s="49"/>
      <c r="F2389" s="49"/>
      <c r="G2389" s="4" t="s">
        <v>10632</v>
      </c>
      <c r="H2389" s="8"/>
      <c r="I2389" s="9" t="s">
        <v>10633</v>
      </c>
      <c r="J2389" s="10"/>
      <c r="K2389" s="11">
        <v>10</v>
      </c>
      <c r="L2389" s="10"/>
      <c r="M2389" s="10" t="s">
        <v>47</v>
      </c>
      <c r="N2389" s="10"/>
      <c r="O2389" s="2">
        <v>2</v>
      </c>
      <c r="P2389" s="17">
        <f>377*(1-S3/100)</f>
        <v>377</v>
      </c>
      <c r="Q2389" s="18"/>
      <c r="R2389" s="10">
        <f t="shared" si="105"/>
        <v>0</v>
      </c>
      <c r="S2389" s="19">
        <f>0.336*Q2389</f>
        <v>0</v>
      </c>
      <c r="T2389" s="20">
        <f>0.00047*Q2389</f>
        <v>0</v>
      </c>
      <c r="U2389" s="21"/>
      <c r="V2389" s="22" t="s">
        <v>10634</v>
      </c>
      <c r="W2389" s="22" t="s">
        <v>49</v>
      </c>
      <c r="X2389" s="3" t="s">
        <v>10056</v>
      </c>
      <c r="Y2389" s="3" t="s">
        <v>10635</v>
      </c>
      <c r="Z2389" s="3" t="s">
        <v>3329</v>
      </c>
      <c r="AA2389" s="3"/>
      <c r="AB2389" s="3"/>
      <c r="AC2389" s="3" t="str">
        <f>HYPERLINK("https://knigipp.ru/api/getInfo/image/185d49dd-250f-11ec-a20f-ac1f6b442185")</f>
        <v>https://knigipp.ru/api/getInfo/image/185d49dd-250f-11ec-a20f-ac1f6b442185</v>
      </c>
      <c r="AD2389" s="32">
        <v>176</v>
      </c>
      <c r="AE2389" s="3" t="s">
        <v>1406</v>
      </c>
      <c r="AF2389" s="3" t="s">
        <v>127</v>
      </c>
      <c r="AG2389" s="3"/>
      <c r="AH2389" s="3" t="s">
        <v>56</v>
      </c>
      <c r="AI2389" s="3"/>
      <c r="AJ2389" s="3"/>
      <c r="AK2389" s="3" t="str">
        <f>HYPERLINK("https://knigipp.ru/api/getInfo/item/185d49dd-250f-11ec-a20f-ac1f6b442185")</f>
        <v>https://knigipp.ru/api/getInfo/item/185d49dd-250f-11ec-a20f-ac1f6b442185</v>
      </c>
      <c r="AL2389" s="3" t="s">
        <v>356</v>
      </c>
    </row>
    <row r="2390" spans="1:38" ht="21" customHeight="1" outlineLevel="4" x14ac:dyDescent="0.2">
      <c r="A2390" s="39">
        <v>1846</v>
      </c>
      <c r="B2390" s="3" t="s">
        <v>10636</v>
      </c>
      <c r="C2390" s="49" t="s">
        <v>10637</v>
      </c>
      <c r="D2390" s="49"/>
      <c r="E2390" s="49"/>
      <c r="F2390" s="49"/>
      <c r="G2390" s="4" t="s">
        <v>10638</v>
      </c>
      <c r="H2390" s="8"/>
      <c r="I2390" s="9" t="s">
        <v>10639</v>
      </c>
      <c r="J2390" s="10"/>
      <c r="K2390" s="11">
        <v>10</v>
      </c>
      <c r="L2390" s="10"/>
      <c r="M2390" s="10" t="s">
        <v>47</v>
      </c>
      <c r="N2390" s="10"/>
      <c r="O2390" s="2">
        <v>2</v>
      </c>
      <c r="P2390" s="17">
        <f>547*(1-S3/100)</f>
        <v>547</v>
      </c>
      <c r="Q2390" s="18"/>
      <c r="R2390" s="10">
        <f t="shared" si="105"/>
        <v>0</v>
      </c>
      <c r="S2390" s="19">
        <f>0.333*Q2390</f>
        <v>0</v>
      </c>
      <c r="T2390" s="20">
        <f>0.00044*Q2390</f>
        <v>0</v>
      </c>
      <c r="U2390" s="21"/>
      <c r="V2390" s="22" t="s">
        <v>10640</v>
      </c>
      <c r="W2390" s="22" t="s">
        <v>49</v>
      </c>
      <c r="X2390" s="3" t="s">
        <v>10641</v>
      </c>
      <c r="Y2390" s="3" t="s">
        <v>10642</v>
      </c>
      <c r="Z2390" s="3" t="s">
        <v>3329</v>
      </c>
      <c r="AA2390" s="3"/>
      <c r="AB2390" s="3"/>
      <c r="AC2390" s="3" t="str">
        <f>HYPERLINK("https://knigipp.ru/api/getInfo/image/d9362845-2510-11ec-a20f-ac1f6b442185")</f>
        <v>https://knigipp.ru/api/getInfo/image/d9362845-2510-11ec-a20f-ac1f6b442185</v>
      </c>
      <c r="AD2390" s="32">
        <v>256</v>
      </c>
      <c r="AE2390" s="3" t="s">
        <v>1406</v>
      </c>
      <c r="AF2390" s="3" t="s">
        <v>127</v>
      </c>
      <c r="AG2390" s="3"/>
      <c r="AH2390" s="3" t="s">
        <v>56</v>
      </c>
      <c r="AI2390" s="3"/>
      <c r="AJ2390" s="3"/>
      <c r="AK2390" s="3" t="str">
        <f>HYPERLINK("https://knigipp.ru/api/getInfo/item/d9362845-2510-11ec-a20f-ac1f6b442185")</f>
        <v>https://knigipp.ru/api/getInfo/item/d9362845-2510-11ec-a20f-ac1f6b442185</v>
      </c>
      <c r="AL2390" s="3" t="s">
        <v>10643</v>
      </c>
    </row>
    <row r="2391" spans="1:38" ht="21" customHeight="1" outlineLevel="4" x14ac:dyDescent="0.2">
      <c r="A2391" s="39">
        <v>1847</v>
      </c>
      <c r="B2391" s="3" t="s">
        <v>10644</v>
      </c>
      <c r="C2391" s="49" t="s">
        <v>10645</v>
      </c>
      <c r="D2391" s="49"/>
      <c r="E2391" s="49"/>
      <c r="F2391" s="49"/>
      <c r="G2391" s="4" t="s">
        <v>10646</v>
      </c>
      <c r="H2391" s="8"/>
      <c r="I2391" s="9" t="s">
        <v>10647</v>
      </c>
      <c r="J2391" s="10"/>
      <c r="K2391" s="11">
        <v>4</v>
      </c>
      <c r="L2391" s="10"/>
      <c r="M2391" s="10" t="s">
        <v>47</v>
      </c>
      <c r="N2391" s="10"/>
      <c r="O2391" s="2">
        <v>1</v>
      </c>
      <c r="P2391" s="29">
        <f>1077*(1-S3/100)</f>
        <v>1077</v>
      </c>
      <c r="Q2391" s="18"/>
      <c r="R2391" s="10">
        <f t="shared" si="105"/>
        <v>0</v>
      </c>
      <c r="S2391" s="19">
        <f>1.021*Q2391</f>
        <v>0</v>
      </c>
      <c r="T2391" s="20">
        <f>0.00165*Q2391</f>
        <v>0</v>
      </c>
      <c r="U2391" s="21"/>
      <c r="V2391" s="22" t="s">
        <v>10648</v>
      </c>
      <c r="W2391" s="22" t="s">
        <v>49</v>
      </c>
      <c r="X2391" s="3" t="s">
        <v>10649</v>
      </c>
      <c r="Y2391" s="3" t="s">
        <v>10650</v>
      </c>
      <c r="Z2391" s="3" t="s">
        <v>3329</v>
      </c>
      <c r="AA2391" s="3"/>
      <c r="AB2391" s="3"/>
      <c r="AC2391" s="3" t="str">
        <f>HYPERLINK("https://knigipp.ru/api/getInfo/image/c7e35785-250e-11ec-a20f-ac1f6b442185")</f>
        <v>https://knigipp.ru/api/getInfo/image/c7e35785-250e-11ec-a20f-ac1f6b442185</v>
      </c>
      <c r="AD2391" s="32">
        <v>672</v>
      </c>
      <c r="AE2391" s="3" t="s">
        <v>1406</v>
      </c>
      <c r="AF2391" s="3" t="s">
        <v>127</v>
      </c>
      <c r="AG2391" s="3"/>
      <c r="AH2391" s="3" t="s">
        <v>56</v>
      </c>
      <c r="AI2391" s="3"/>
      <c r="AJ2391" s="3"/>
      <c r="AK2391" s="3" t="str">
        <f>HYPERLINK("https://knigipp.ru/api/getInfo/item/c7e35785-250e-11ec-a20f-ac1f6b442185")</f>
        <v>https://knigipp.ru/api/getInfo/item/c7e35785-250e-11ec-a20f-ac1f6b442185</v>
      </c>
      <c r="AL2391" s="3" t="s">
        <v>10651</v>
      </c>
    </row>
    <row r="2392" spans="1:38" ht="21" customHeight="1" outlineLevel="4" x14ac:dyDescent="0.2">
      <c r="A2392" s="39">
        <v>1848</v>
      </c>
      <c r="B2392" s="3" t="s">
        <v>10652</v>
      </c>
      <c r="C2392" s="49" t="s">
        <v>10653</v>
      </c>
      <c r="D2392" s="49"/>
      <c r="E2392" s="49"/>
      <c r="F2392" s="49"/>
      <c r="G2392" s="4" t="s">
        <v>10654</v>
      </c>
      <c r="H2392" s="8"/>
      <c r="I2392" s="9" t="s">
        <v>10655</v>
      </c>
      <c r="J2392" s="10"/>
      <c r="K2392" s="11">
        <v>10</v>
      </c>
      <c r="L2392" s="10"/>
      <c r="M2392" s="10" t="s">
        <v>47</v>
      </c>
      <c r="N2392" s="10"/>
      <c r="O2392" s="2">
        <v>2</v>
      </c>
      <c r="P2392" s="17">
        <f>547*(1-S3/100)</f>
        <v>547</v>
      </c>
      <c r="Q2392" s="18"/>
      <c r="R2392" s="10">
        <f t="shared" si="105"/>
        <v>0</v>
      </c>
      <c r="S2392" s="19">
        <f>0.446*Q2392</f>
        <v>0</v>
      </c>
      <c r="T2392" s="20">
        <f>0.00077*Q2392</f>
        <v>0</v>
      </c>
      <c r="U2392" s="21"/>
      <c r="V2392" s="22" t="s">
        <v>10656</v>
      </c>
      <c r="W2392" s="22" t="s">
        <v>49</v>
      </c>
      <c r="X2392" s="3" t="s">
        <v>10657</v>
      </c>
      <c r="Y2392" s="3" t="s">
        <v>10658</v>
      </c>
      <c r="Z2392" s="3" t="s">
        <v>3329</v>
      </c>
      <c r="AA2392" s="3"/>
      <c r="AB2392" s="3"/>
      <c r="AC2392" s="3" t="str">
        <f>HYPERLINK("https://knigipp.ru/api/getInfo/image/ad3bda64-2510-11ec-a20f-ac1f6b442185")</f>
        <v>https://knigipp.ru/api/getInfo/image/ad3bda64-2510-11ec-a20f-ac1f6b442185</v>
      </c>
      <c r="AD2392" s="32">
        <v>256</v>
      </c>
      <c r="AE2392" s="3" t="s">
        <v>1406</v>
      </c>
      <c r="AF2392" s="3" t="s">
        <v>127</v>
      </c>
      <c r="AG2392" s="3"/>
      <c r="AH2392" s="3" t="s">
        <v>56</v>
      </c>
      <c r="AI2392" s="3"/>
      <c r="AJ2392" s="3"/>
      <c r="AK2392" s="3" t="str">
        <f>HYPERLINK("https://knigipp.ru/api/getInfo/item/ad3bda64-2510-11ec-a20f-ac1f6b442185")</f>
        <v>https://knigipp.ru/api/getInfo/item/ad3bda64-2510-11ec-a20f-ac1f6b442185</v>
      </c>
      <c r="AL2392" s="3" t="s">
        <v>10643</v>
      </c>
    </row>
    <row r="2393" spans="1:38" ht="21" customHeight="1" outlineLevel="4" x14ac:dyDescent="0.2">
      <c r="A2393" s="39">
        <v>1849</v>
      </c>
      <c r="B2393" s="3" t="s">
        <v>10659</v>
      </c>
      <c r="C2393" s="49" t="s">
        <v>10660</v>
      </c>
      <c r="D2393" s="49"/>
      <c r="E2393" s="49"/>
      <c r="F2393" s="49"/>
      <c r="G2393" s="4" t="s">
        <v>10661</v>
      </c>
      <c r="H2393" s="8"/>
      <c r="I2393" s="9" t="s">
        <v>10662</v>
      </c>
      <c r="J2393" s="10"/>
      <c r="K2393" s="11">
        <v>10</v>
      </c>
      <c r="L2393" s="10"/>
      <c r="M2393" s="10" t="s">
        <v>47</v>
      </c>
      <c r="N2393" s="10"/>
      <c r="O2393" s="2">
        <v>2</v>
      </c>
      <c r="P2393" s="17">
        <f>547*(1-S3/100)</f>
        <v>547</v>
      </c>
      <c r="Q2393" s="18"/>
      <c r="R2393" s="10">
        <f t="shared" si="105"/>
        <v>0</v>
      </c>
      <c r="S2393" s="19">
        <f>0.448*Q2393</f>
        <v>0</v>
      </c>
      <c r="T2393" s="20">
        <f>0.00061*Q2393</f>
        <v>0</v>
      </c>
      <c r="U2393" s="21"/>
      <c r="V2393" s="22" t="s">
        <v>10663</v>
      </c>
      <c r="W2393" s="22" t="s">
        <v>49</v>
      </c>
      <c r="X2393" s="3" t="s">
        <v>10664</v>
      </c>
      <c r="Y2393" s="3" t="s">
        <v>10665</v>
      </c>
      <c r="Z2393" s="3" t="s">
        <v>3329</v>
      </c>
      <c r="AA2393" s="3"/>
      <c r="AB2393" s="3"/>
      <c r="AC2393" s="3" t="str">
        <f>HYPERLINK("https://knigipp.ru/api/getInfo/image/21ac3501-25cb-11f0-a279-00155d82e908")</f>
        <v>https://knigipp.ru/api/getInfo/image/21ac3501-25cb-11f0-a279-00155d82e908</v>
      </c>
      <c r="AD2393" s="32">
        <v>256</v>
      </c>
      <c r="AE2393" s="3" t="s">
        <v>1406</v>
      </c>
      <c r="AF2393" s="3" t="s">
        <v>127</v>
      </c>
      <c r="AG2393" s="3"/>
      <c r="AH2393" s="3" t="s">
        <v>56</v>
      </c>
      <c r="AI2393" s="3"/>
      <c r="AJ2393" s="3"/>
      <c r="AK2393" s="3" t="str">
        <f>HYPERLINK("https://knigipp.ru/api/getInfo/item/21ac3501-25cb-11f0-a279-00155d82e908")</f>
        <v>https://knigipp.ru/api/getInfo/item/21ac3501-25cb-11f0-a279-00155d82e908</v>
      </c>
      <c r="AL2393" s="3" t="s">
        <v>10666</v>
      </c>
    </row>
    <row r="2394" spans="1:38" ht="21" customHeight="1" outlineLevel="4" x14ac:dyDescent="0.2">
      <c r="A2394" s="39">
        <v>1850</v>
      </c>
      <c r="B2394" s="3" t="s">
        <v>10667</v>
      </c>
      <c r="C2394" s="49" t="s">
        <v>10668</v>
      </c>
      <c r="D2394" s="49"/>
      <c r="E2394" s="49"/>
      <c r="F2394" s="49"/>
      <c r="G2394" s="4" t="s">
        <v>10669</v>
      </c>
      <c r="H2394" s="8"/>
      <c r="I2394" s="9" t="s">
        <v>10670</v>
      </c>
      <c r="J2394" s="10"/>
      <c r="K2394" s="11">
        <v>10</v>
      </c>
      <c r="L2394" s="10"/>
      <c r="M2394" s="10" t="s">
        <v>47</v>
      </c>
      <c r="N2394" s="10"/>
      <c r="O2394" s="2">
        <v>2</v>
      </c>
      <c r="P2394" s="17">
        <f>547*(1-S3/100)</f>
        <v>547</v>
      </c>
      <c r="Q2394" s="18"/>
      <c r="R2394" s="10">
        <f t="shared" si="105"/>
        <v>0</v>
      </c>
      <c r="S2394" s="19">
        <f>0.414*Q2394</f>
        <v>0</v>
      </c>
      <c r="T2394" s="20">
        <f>0.00068*Q2394</f>
        <v>0</v>
      </c>
      <c r="U2394" s="21"/>
      <c r="V2394" s="22" t="s">
        <v>10671</v>
      </c>
      <c r="W2394" s="22" t="s">
        <v>49</v>
      </c>
      <c r="X2394" s="3" t="s">
        <v>10672</v>
      </c>
      <c r="Y2394" s="3" t="s">
        <v>10673</v>
      </c>
      <c r="Z2394" s="3" t="s">
        <v>3329</v>
      </c>
      <c r="AA2394" s="3"/>
      <c r="AB2394" s="3"/>
      <c r="AC2394" s="3" t="str">
        <f>HYPERLINK("https://knigipp.ru/api/getInfo/image/b70ddbe9-250f-11ec-a20f-ac1f6b442185")</f>
        <v>https://knigipp.ru/api/getInfo/image/b70ddbe9-250f-11ec-a20f-ac1f6b442185</v>
      </c>
      <c r="AD2394" s="32">
        <v>256</v>
      </c>
      <c r="AE2394" s="3" t="s">
        <v>1406</v>
      </c>
      <c r="AF2394" s="3" t="s">
        <v>127</v>
      </c>
      <c r="AG2394" s="3"/>
      <c r="AH2394" s="3" t="s">
        <v>56</v>
      </c>
      <c r="AI2394" s="3"/>
      <c r="AJ2394" s="3"/>
      <c r="AK2394" s="3" t="str">
        <f>HYPERLINK("https://knigipp.ru/api/getInfo/item/b70ddbe9-250f-11ec-a20f-ac1f6b442185")</f>
        <v>https://knigipp.ru/api/getInfo/item/b70ddbe9-250f-11ec-a20f-ac1f6b442185</v>
      </c>
      <c r="AL2394" s="3" t="s">
        <v>10643</v>
      </c>
    </row>
    <row r="2395" spans="1:38" ht="21" customHeight="1" outlineLevel="4" x14ac:dyDescent="0.2">
      <c r="A2395" s="39">
        <v>1851</v>
      </c>
      <c r="B2395" s="3" t="s">
        <v>10674</v>
      </c>
      <c r="C2395" s="49" t="s">
        <v>10675</v>
      </c>
      <c r="D2395" s="49"/>
      <c r="E2395" s="49"/>
      <c r="F2395" s="49"/>
      <c r="G2395" s="4" t="s">
        <v>10676</v>
      </c>
      <c r="H2395" s="8"/>
      <c r="I2395" s="9" t="s">
        <v>10677</v>
      </c>
      <c r="J2395" s="10"/>
      <c r="K2395" s="11">
        <v>10</v>
      </c>
      <c r="L2395" s="10"/>
      <c r="M2395" s="10" t="s">
        <v>47</v>
      </c>
      <c r="N2395" s="10"/>
      <c r="O2395" s="2">
        <v>2</v>
      </c>
      <c r="P2395" s="17">
        <f>457*(1-S3/100)</f>
        <v>457</v>
      </c>
      <c r="Q2395" s="18"/>
      <c r="R2395" s="10">
        <f t="shared" si="105"/>
        <v>0</v>
      </c>
      <c r="S2395" s="19">
        <f>0.335*Q2395</f>
        <v>0</v>
      </c>
      <c r="T2395" s="20">
        <f>0.00049*Q2395</f>
        <v>0</v>
      </c>
      <c r="U2395" s="21"/>
      <c r="V2395" s="22" t="s">
        <v>10678</v>
      </c>
      <c r="W2395" s="22" t="s">
        <v>49</v>
      </c>
      <c r="X2395" s="3" t="s">
        <v>10679</v>
      </c>
      <c r="Y2395" s="3" t="s">
        <v>10680</v>
      </c>
      <c r="Z2395" s="3" t="s">
        <v>3329</v>
      </c>
      <c r="AA2395" s="3"/>
      <c r="AB2395" s="3"/>
      <c r="AC2395" s="3" t="str">
        <f>HYPERLINK("https://knigipp.ru/api/getInfo/image/c76d5f3a-977f-11ef-a267-00155d82e908")</f>
        <v>https://knigipp.ru/api/getInfo/image/c76d5f3a-977f-11ef-a267-00155d82e908</v>
      </c>
      <c r="AD2395" s="32">
        <v>192</v>
      </c>
      <c r="AE2395" s="3" t="s">
        <v>1406</v>
      </c>
      <c r="AF2395" s="3" t="s">
        <v>127</v>
      </c>
      <c r="AG2395" s="3"/>
      <c r="AH2395" s="3" t="s">
        <v>56</v>
      </c>
      <c r="AI2395" s="3"/>
      <c r="AJ2395" s="3"/>
      <c r="AK2395" s="3" t="str">
        <f>HYPERLINK("https://knigipp.ru/api/getInfo/item/c76d5f3a-977f-11ef-a267-00155d82e908")</f>
        <v>https://knigipp.ru/api/getInfo/item/c76d5f3a-977f-11ef-a267-00155d82e908</v>
      </c>
      <c r="AL2395" s="3" t="s">
        <v>10593</v>
      </c>
    </row>
    <row r="2396" spans="1:38" ht="21" customHeight="1" outlineLevel="4" x14ac:dyDescent="0.2">
      <c r="A2396" s="39">
        <v>1852</v>
      </c>
      <c r="B2396" s="3" t="s">
        <v>10681</v>
      </c>
      <c r="C2396" s="49" t="s">
        <v>10682</v>
      </c>
      <c r="D2396" s="49"/>
      <c r="E2396" s="49"/>
      <c r="F2396" s="49"/>
      <c r="G2396" s="4" t="s">
        <v>10683</v>
      </c>
      <c r="H2396" s="8"/>
      <c r="I2396" s="9" t="s">
        <v>10684</v>
      </c>
      <c r="J2396" s="10"/>
      <c r="K2396" s="11">
        <v>10</v>
      </c>
      <c r="L2396" s="10"/>
      <c r="M2396" s="10" t="s">
        <v>47</v>
      </c>
      <c r="N2396" s="10"/>
      <c r="O2396" s="2">
        <v>2</v>
      </c>
      <c r="P2396" s="17">
        <f>457*(1-S3/100)</f>
        <v>457</v>
      </c>
      <c r="Q2396" s="18"/>
      <c r="R2396" s="10">
        <f t="shared" si="105"/>
        <v>0</v>
      </c>
      <c r="S2396" s="19">
        <f>0.358*Q2396</f>
        <v>0</v>
      </c>
      <c r="T2396" s="20">
        <f>0.00049*Q2396</f>
        <v>0</v>
      </c>
      <c r="U2396" s="21"/>
      <c r="V2396" s="22" t="s">
        <v>10685</v>
      </c>
      <c r="W2396" s="22" t="s">
        <v>49</v>
      </c>
      <c r="X2396" s="3" t="s">
        <v>9438</v>
      </c>
      <c r="Y2396" s="3" t="s">
        <v>10686</v>
      </c>
      <c r="Z2396" s="3" t="s">
        <v>3329</v>
      </c>
      <c r="AA2396" s="3"/>
      <c r="AB2396" s="3"/>
      <c r="AC2396" s="3" t="str">
        <f>HYPERLINK("https://knigipp.ru/api/getInfo/image/77b716ca-0e34-11f0-a279-00155d82e908")</f>
        <v>https://knigipp.ru/api/getInfo/image/77b716ca-0e34-11f0-a279-00155d82e908</v>
      </c>
      <c r="AD2396" s="32">
        <v>192</v>
      </c>
      <c r="AE2396" s="3" t="s">
        <v>1406</v>
      </c>
      <c r="AF2396" s="3" t="s">
        <v>127</v>
      </c>
      <c r="AG2396" s="3"/>
      <c r="AH2396" s="3" t="s">
        <v>56</v>
      </c>
      <c r="AI2396" s="3"/>
      <c r="AJ2396" s="3"/>
      <c r="AK2396" s="3" t="str">
        <f>HYPERLINK("https://knigipp.ru/api/getInfo/item/77b716ca-0e34-11f0-a279-00155d82e908")</f>
        <v>https://knigipp.ru/api/getInfo/item/77b716ca-0e34-11f0-a279-00155d82e908</v>
      </c>
      <c r="AL2396" s="3" t="s">
        <v>10666</v>
      </c>
    </row>
    <row r="2397" spans="1:38" ht="21" customHeight="1" outlineLevel="4" x14ac:dyDescent="0.2">
      <c r="A2397" s="39">
        <v>1853</v>
      </c>
      <c r="B2397" s="3" t="s">
        <v>10687</v>
      </c>
      <c r="C2397" s="49" t="s">
        <v>10688</v>
      </c>
      <c r="D2397" s="49"/>
      <c r="E2397" s="49"/>
      <c r="F2397" s="49"/>
      <c r="G2397" s="4" t="s">
        <v>10689</v>
      </c>
      <c r="H2397" s="8"/>
      <c r="I2397" s="9" t="s">
        <v>10690</v>
      </c>
      <c r="J2397" s="10"/>
      <c r="K2397" s="11">
        <v>6</v>
      </c>
      <c r="L2397" s="10"/>
      <c r="M2397" s="10" t="s">
        <v>47</v>
      </c>
      <c r="N2397" s="10"/>
      <c r="O2397" s="2">
        <v>1</v>
      </c>
      <c r="P2397" s="17">
        <f>867*(1-S3/100)</f>
        <v>867</v>
      </c>
      <c r="Q2397" s="18"/>
      <c r="R2397" s="10">
        <f t="shared" si="105"/>
        <v>0</v>
      </c>
      <c r="S2397" s="19">
        <f>0.804*Q2397</f>
        <v>0</v>
      </c>
      <c r="T2397" s="20">
        <f>0.00115*Q2397</f>
        <v>0</v>
      </c>
      <c r="U2397" s="21"/>
      <c r="V2397" s="22" t="s">
        <v>10691</v>
      </c>
      <c r="W2397" s="22" t="s">
        <v>49</v>
      </c>
      <c r="X2397" s="3" t="s">
        <v>9438</v>
      </c>
      <c r="Y2397" s="3" t="s">
        <v>10692</v>
      </c>
      <c r="Z2397" s="3" t="s">
        <v>3329</v>
      </c>
      <c r="AA2397" s="3"/>
      <c r="AB2397" s="3"/>
      <c r="AC2397" s="3" t="str">
        <f>HYPERLINK("https://knigipp.ru/api/getInfo/image/4da677f7-250e-11ec-a20f-ac1f6b442185")</f>
        <v>https://knigipp.ru/api/getInfo/image/4da677f7-250e-11ec-a20f-ac1f6b442185</v>
      </c>
      <c r="AD2397" s="32">
        <v>512</v>
      </c>
      <c r="AE2397" s="3" t="s">
        <v>1406</v>
      </c>
      <c r="AF2397" s="3" t="s">
        <v>127</v>
      </c>
      <c r="AG2397" s="3"/>
      <c r="AH2397" s="3" t="s">
        <v>56</v>
      </c>
      <c r="AI2397" s="3"/>
      <c r="AJ2397" s="3"/>
      <c r="AK2397" s="3" t="str">
        <f>HYPERLINK("https://knigipp.ru/api/getInfo/item/4da677f7-250e-11ec-a20f-ac1f6b442185")</f>
        <v>https://knigipp.ru/api/getInfo/item/4da677f7-250e-11ec-a20f-ac1f6b442185</v>
      </c>
      <c r="AL2397" s="3" t="s">
        <v>10666</v>
      </c>
    </row>
    <row r="2398" spans="1:38" ht="21" customHeight="1" outlineLevel="4" x14ac:dyDescent="0.2">
      <c r="A2398" s="40">
        <v>1854</v>
      </c>
      <c r="B2398" s="6" t="s">
        <v>10693</v>
      </c>
      <c r="C2398" s="54" t="s">
        <v>10694</v>
      </c>
      <c r="D2398" s="54"/>
      <c r="E2398" s="54"/>
      <c r="F2398" s="54"/>
      <c r="G2398" s="7" t="s">
        <v>10695</v>
      </c>
      <c r="H2398" s="12"/>
      <c r="I2398" s="13" t="s">
        <v>10696</v>
      </c>
      <c r="J2398" s="14"/>
      <c r="K2398" s="15">
        <v>10</v>
      </c>
      <c r="L2398" s="14"/>
      <c r="M2398" s="14" t="s">
        <v>47</v>
      </c>
      <c r="N2398" s="14"/>
      <c r="O2398" s="5">
        <v>1</v>
      </c>
      <c r="P2398" s="23">
        <f>577*(1-S3/100)</f>
        <v>577</v>
      </c>
      <c r="Q2398" s="18"/>
      <c r="R2398" s="14">
        <f t="shared" si="105"/>
        <v>0</v>
      </c>
      <c r="S2398" s="24">
        <f>0.416*Q2398</f>
        <v>0</v>
      </c>
      <c r="T2398" s="25">
        <f>0.00051*Q2398</f>
        <v>0</v>
      </c>
      <c r="U2398" s="26" t="s">
        <v>62</v>
      </c>
      <c r="V2398" s="27" t="s">
        <v>10697</v>
      </c>
      <c r="W2398" s="27" t="s">
        <v>49</v>
      </c>
      <c r="X2398" s="6" t="s">
        <v>10698</v>
      </c>
      <c r="Y2398" s="6"/>
      <c r="Z2398" s="6" t="s">
        <v>3329</v>
      </c>
      <c r="AA2398" s="6"/>
      <c r="AB2398" s="6"/>
      <c r="AC2398" s="6" t="str">
        <f>HYPERLINK("https://knigipp.ru/api/getInfo/image/b9daab42-5b50-11f1-a295-00155d82e908")</f>
        <v>https://knigipp.ru/api/getInfo/image/b9daab42-5b50-11f1-a295-00155d82e908</v>
      </c>
      <c r="AD2398" s="33">
        <v>304</v>
      </c>
      <c r="AE2398" s="6" t="s">
        <v>1406</v>
      </c>
      <c r="AF2398" s="6" t="s">
        <v>127</v>
      </c>
      <c r="AG2398" s="6"/>
      <c r="AH2398" s="6" t="s">
        <v>56</v>
      </c>
      <c r="AI2398" s="6"/>
      <c r="AJ2398" s="6"/>
      <c r="AK2398" s="6" t="str">
        <f>HYPERLINK("https://knigipp.ru/api/getInfo/item/b9daab42-5b50-11f1-a295-00155d82e908")</f>
        <v>https://knigipp.ru/api/getInfo/item/b9daab42-5b50-11f1-a295-00155d82e908</v>
      </c>
      <c r="AL2398" s="6"/>
    </row>
    <row r="2399" spans="1:38" ht="21" customHeight="1" outlineLevel="4" x14ac:dyDescent="0.2">
      <c r="A2399" s="39">
        <v>1855</v>
      </c>
      <c r="B2399" s="3" t="s">
        <v>10699</v>
      </c>
      <c r="C2399" s="49" t="s">
        <v>10700</v>
      </c>
      <c r="D2399" s="49"/>
      <c r="E2399" s="49"/>
      <c r="F2399" s="49"/>
      <c r="G2399" s="4" t="s">
        <v>10701</v>
      </c>
      <c r="H2399" s="8"/>
      <c r="I2399" s="9" t="s">
        <v>10702</v>
      </c>
      <c r="J2399" s="10"/>
      <c r="K2399" s="11">
        <v>10</v>
      </c>
      <c r="L2399" s="10"/>
      <c r="M2399" s="10" t="s">
        <v>47</v>
      </c>
      <c r="N2399" s="10"/>
      <c r="O2399" s="2">
        <v>2</v>
      </c>
      <c r="P2399" s="17">
        <f>377*(1-S3/100)</f>
        <v>377</v>
      </c>
      <c r="Q2399" s="18"/>
      <c r="R2399" s="10">
        <f t="shared" si="105"/>
        <v>0</v>
      </c>
      <c r="S2399" s="19">
        <f>0.291*Q2399</f>
        <v>0</v>
      </c>
      <c r="T2399" s="20">
        <f>0.00062*Q2399</f>
        <v>0</v>
      </c>
      <c r="U2399" s="21"/>
      <c r="V2399" s="22" t="s">
        <v>10703</v>
      </c>
      <c r="W2399" s="22" t="s">
        <v>49</v>
      </c>
      <c r="X2399" s="3" t="s">
        <v>10704</v>
      </c>
      <c r="Y2399" s="3" t="s">
        <v>10705</v>
      </c>
      <c r="Z2399" s="3" t="s">
        <v>3329</v>
      </c>
      <c r="AA2399" s="3"/>
      <c r="AB2399" s="3"/>
      <c r="AC2399" s="3" t="str">
        <f>HYPERLINK("https://knigipp.ru/api/getInfo/image/8272bbbe-2510-11ec-a20f-ac1f6b442185")</f>
        <v>https://knigipp.ru/api/getInfo/image/8272bbbe-2510-11ec-a20f-ac1f6b442185</v>
      </c>
      <c r="AD2399" s="32">
        <v>176</v>
      </c>
      <c r="AE2399" s="3" t="s">
        <v>1406</v>
      </c>
      <c r="AF2399" s="3" t="s">
        <v>127</v>
      </c>
      <c r="AG2399" s="3"/>
      <c r="AH2399" s="3" t="s">
        <v>56</v>
      </c>
      <c r="AI2399" s="3"/>
      <c r="AJ2399" s="3"/>
      <c r="AK2399" s="3" t="str">
        <f>HYPERLINK("https://knigipp.ru/api/getInfo/item/8272bbbe-2510-11ec-a20f-ac1f6b442185")</f>
        <v>https://knigipp.ru/api/getInfo/item/8272bbbe-2510-11ec-a20f-ac1f6b442185</v>
      </c>
      <c r="AL2399" s="3" t="s">
        <v>10608</v>
      </c>
    </row>
    <row r="2400" spans="1:38" ht="21" customHeight="1" outlineLevel="4" x14ac:dyDescent="0.2">
      <c r="A2400" s="39">
        <v>1856</v>
      </c>
      <c r="B2400" s="3" t="s">
        <v>10706</v>
      </c>
      <c r="C2400" s="49" t="s">
        <v>10707</v>
      </c>
      <c r="D2400" s="49"/>
      <c r="E2400" s="49"/>
      <c r="F2400" s="49"/>
      <c r="G2400" s="4" t="s">
        <v>10708</v>
      </c>
      <c r="H2400" s="8"/>
      <c r="I2400" s="9" t="s">
        <v>10709</v>
      </c>
      <c r="J2400" s="10"/>
      <c r="K2400" s="11">
        <v>4</v>
      </c>
      <c r="L2400" s="10"/>
      <c r="M2400" s="10" t="s">
        <v>47</v>
      </c>
      <c r="N2400" s="10"/>
      <c r="O2400" s="2">
        <v>1</v>
      </c>
      <c r="P2400" s="29">
        <f>1177*(1-S3/100)</f>
        <v>1177</v>
      </c>
      <c r="Q2400" s="18"/>
      <c r="R2400" s="10">
        <f t="shared" si="105"/>
        <v>0</v>
      </c>
      <c r="S2400" s="19">
        <f>1.087*Q2400</f>
        <v>0</v>
      </c>
      <c r="T2400" s="20">
        <f>0.00184*Q2400</f>
        <v>0</v>
      </c>
      <c r="U2400" s="21"/>
      <c r="V2400" s="22" t="s">
        <v>10710</v>
      </c>
      <c r="W2400" s="22" t="s">
        <v>49</v>
      </c>
      <c r="X2400" s="3" t="s">
        <v>10711</v>
      </c>
      <c r="Y2400" s="3" t="s">
        <v>10712</v>
      </c>
      <c r="Z2400" s="3" t="s">
        <v>757</v>
      </c>
      <c r="AA2400" s="3"/>
      <c r="AB2400" s="3"/>
      <c r="AC2400" s="3" t="str">
        <f>HYPERLINK("https://knigipp.ru/api/getInfo/image/7dcfe2bc-9781-11ef-a267-00155d82e908")</f>
        <v>https://knigipp.ru/api/getInfo/image/7dcfe2bc-9781-11ef-a267-00155d82e908</v>
      </c>
      <c r="AD2400" s="32">
        <v>736</v>
      </c>
      <c r="AE2400" s="3" t="s">
        <v>1406</v>
      </c>
      <c r="AF2400" s="3" t="s">
        <v>127</v>
      </c>
      <c r="AG2400" s="3"/>
      <c r="AH2400" s="3" t="s">
        <v>56</v>
      </c>
      <c r="AI2400" s="3"/>
      <c r="AJ2400" s="3"/>
      <c r="AK2400" s="3" t="str">
        <f>HYPERLINK("https://knigipp.ru/api/getInfo/item/7dcfe2bc-9781-11ef-a267-00155d82e908")</f>
        <v>https://knigipp.ru/api/getInfo/item/7dcfe2bc-9781-11ef-a267-00155d82e908</v>
      </c>
      <c r="AL2400" s="3" t="s">
        <v>10713</v>
      </c>
    </row>
    <row r="2401" spans="1:38" ht="23.1" customHeight="1" outlineLevel="3" x14ac:dyDescent="0.2">
      <c r="A2401" s="48" t="s">
        <v>10714</v>
      </c>
      <c r="B2401" s="48"/>
      <c r="C2401" s="48"/>
      <c r="D2401" s="48"/>
      <c r="E2401" s="48"/>
      <c r="F2401" s="48"/>
    </row>
    <row r="2402" spans="1:38" ht="21" customHeight="1" outlineLevel="4" x14ac:dyDescent="0.2">
      <c r="A2402" s="39">
        <v>1857</v>
      </c>
      <c r="B2402" s="3" t="s">
        <v>10715</v>
      </c>
      <c r="C2402" s="49" t="s">
        <v>10716</v>
      </c>
      <c r="D2402" s="49"/>
      <c r="E2402" s="49"/>
      <c r="F2402" s="49"/>
      <c r="G2402" s="4" t="s">
        <v>10717</v>
      </c>
      <c r="H2402" s="8"/>
      <c r="I2402" s="9" t="s">
        <v>10718</v>
      </c>
      <c r="J2402" s="10"/>
      <c r="K2402" s="11">
        <v>20</v>
      </c>
      <c r="L2402" s="10"/>
      <c r="M2402" s="10" t="s">
        <v>47</v>
      </c>
      <c r="N2402" s="10"/>
      <c r="O2402" s="2">
        <v>2</v>
      </c>
      <c r="P2402" s="17">
        <f>547*(1-S3/100)</f>
        <v>547</v>
      </c>
      <c r="Q2402" s="18"/>
      <c r="R2402" s="10">
        <f>P2402*Q2402</f>
        <v>0</v>
      </c>
      <c r="S2402" s="19">
        <f>0.354*Q2402</f>
        <v>0</v>
      </c>
      <c r="T2402" s="20">
        <f>0.00059*Q2402</f>
        <v>0</v>
      </c>
      <c r="U2402" s="21"/>
      <c r="V2402" s="22" t="s">
        <v>10719</v>
      </c>
      <c r="W2402" s="22" t="s">
        <v>49</v>
      </c>
      <c r="X2402" s="3"/>
      <c r="Y2402" s="3" t="s">
        <v>10720</v>
      </c>
      <c r="Z2402" s="3" t="s">
        <v>52</v>
      </c>
      <c r="AA2402" s="3"/>
      <c r="AB2402" s="3"/>
      <c r="AC2402" s="3" t="str">
        <f>HYPERLINK("https://knigipp.ru/api/getInfo/image/03547318-f3dc-11ed-a237-00155d82e902")</f>
        <v>https://knigipp.ru/api/getInfo/image/03547318-f3dc-11ed-a237-00155d82e902</v>
      </c>
      <c r="AD2402" s="32">
        <v>240</v>
      </c>
      <c r="AE2402" s="3" t="s">
        <v>355</v>
      </c>
      <c r="AF2402" s="3" t="s">
        <v>127</v>
      </c>
      <c r="AG2402" s="3"/>
      <c r="AH2402" s="3" t="s">
        <v>56</v>
      </c>
      <c r="AI2402" s="3"/>
      <c r="AJ2402" s="3"/>
      <c r="AK2402" s="3" t="str">
        <f>HYPERLINK("https://knigipp.ru/api/getInfo/item/03547318-f3dc-11ed-a237-00155d82e902")</f>
        <v>https://knigipp.ru/api/getInfo/item/03547318-f3dc-11ed-a237-00155d82e902</v>
      </c>
      <c r="AL2402" s="3" t="s">
        <v>356</v>
      </c>
    </row>
    <row r="2403" spans="1:38" ht="21" customHeight="1" outlineLevel="4" x14ac:dyDescent="0.2">
      <c r="A2403" s="39">
        <v>1858</v>
      </c>
      <c r="B2403" s="3" t="s">
        <v>10721</v>
      </c>
      <c r="C2403" s="49" t="s">
        <v>10722</v>
      </c>
      <c r="D2403" s="49"/>
      <c r="E2403" s="49"/>
      <c r="F2403" s="49"/>
      <c r="G2403" s="4" t="s">
        <v>10723</v>
      </c>
      <c r="H2403" s="8"/>
      <c r="I2403" s="9" t="s">
        <v>10724</v>
      </c>
      <c r="J2403" s="10"/>
      <c r="K2403" s="11">
        <v>20</v>
      </c>
      <c r="L2403" s="10"/>
      <c r="M2403" s="10" t="s">
        <v>47</v>
      </c>
      <c r="N2403" s="10"/>
      <c r="O2403" s="2">
        <v>2</v>
      </c>
      <c r="P2403" s="17">
        <f>547*(1-S3/100)</f>
        <v>547</v>
      </c>
      <c r="Q2403" s="18"/>
      <c r="R2403" s="10">
        <f>P2403*Q2403</f>
        <v>0</v>
      </c>
      <c r="S2403" s="19">
        <f>0.344*Q2403</f>
        <v>0</v>
      </c>
      <c r="T2403" s="20">
        <f>0.00053*Q2403</f>
        <v>0</v>
      </c>
      <c r="U2403" s="21"/>
      <c r="V2403" s="22" t="s">
        <v>10725</v>
      </c>
      <c r="W2403" s="22" t="s">
        <v>49</v>
      </c>
      <c r="X2403" s="3"/>
      <c r="Y2403" s="3" t="s">
        <v>10726</v>
      </c>
      <c r="Z2403" s="3" t="s">
        <v>52</v>
      </c>
      <c r="AA2403" s="3"/>
      <c r="AB2403" s="3"/>
      <c r="AC2403" s="3" t="str">
        <f>HYPERLINK("https://knigipp.ru/api/getInfo/image/c38acb5b-f3db-11ed-a237-00155d82e902")</f>
        <v>https://knigipp.ru/api/getInfo/image/c38acb5b-f3db-11ed-a237-00155d82e902</v>
      </c>
      <c r="AD2403" s="32">
        <v>240</v>
      </c>
      <c r="AE2403" s="3" t="s">
        <v>355</v>
      </c>
      <c r="AF2403" s="3" t="s">
        <v>127</v>
      </c>
      <c r="AG2403" s="3"/>
      <c r="AH2403" s="3" t="s">
        <v>56</v>
      </c>
      <c r="AI2403" s="3"/>
      <c r="AJ2403" s="3"/>
      <c r="AK2403" s="3" t="str">
        <f>HYPERLINK("https://knigipp.ru/api/getInfo/item/c38acb5b-f3db-11ed-a237-00155d82e902")</f>
        <v>https://knigipp.ru/api/getInfo/item/c38acb5b-f3db-11ed-a237-00155d82e902</v>
      </c>
      <c r="AL2403" s="3" t="s">
        <v>356</v>
      </c>
    </row>
    <row r="2404" spans="1:38" ht="23.1" customHeight="1" outlineLevel="3" x14ac:dyDescent="0.2">
      <c r="A2404" s="48" t="s">
        <v>10727</v>
      </c>
      <c r="B2404" s="48"/>
      <c r="C2404" s="48"/>
      <c r="D2404" s="48"/>
      <c r="E2404" s="48"/>
      <c r="F2404" s="48"/>
    </row>
    <row r="2405" spans="1:38" ht="21" customHeight="1" outlineLevel="4" x14ac:dyDescent="0.2">
      <c r="A2405" s="39">
        <v>1859</v>
      </c>
      <c r="B2405" s="3" t="s">
        <v>10728</v>
      </c>
      <c r="C2405" s="49" t="s">
        <v>10729</v>
      </c>
      <c r="D2405" s="49"/>
      <c r="E2405" s="49"/>
      <c r="F2405" s="49"/>
      <c r="G2405" s="4" t="s">
        <v>10730</v>
      </c>
      <c r="H2405" s="8"/>
      <c r="I2405" s="9" t="s">
        <v>10731</v>
      </c>
      <c r="J2405" s="10"/>
      <c r="K2405" s="11">
        <v>20</v>
      </c>
      <c r="L2405" s="10"/>
      <c r="M2405" s="10" t="s">
        <v>78</v>
      </c>
      <c r="N2405" s="10"/>
      <c r="O2405" s="2">
        <v>2</v>
      </c>
      <c r="P2405" s="17">
        <f>369*(1-S3/100)</f>
        <v>369</v>
      </c>
      <c r="Q2405" s="18"/>
      <c r="R2405" s="10">
        <f>P2405*Q2405</f>
        <v>0</v>
      </c>
      <c r="S2405" s="19">
        <f>0.422*Q2405</f>
        <v>0</v>
      </c>
      <c r="T2405" s="20">
        <f>0.00064*Q2405</f>
        <v>0</v>
      </c>
      <c r="U2405" s="21"/>
      <c r="V2405" s="22" t="s">
        <v>10732</v>
      </c>
      <c r="W2405" s="22" t="s">
        <v>49</v>
      </c>
      <c r="X2405" s="3" t="s">
        <v>10733</v>
      </c>
      <c r="Y2405" s="3" t="s">
        <v>10734</v>
      </c>
      <c r="Z2405" s="3" t="s">
        <v>52</v>
      </c>
      <c r="AA2405" s="3"/>
      <c r="AB2405" s="3"/>
      <c r="AC2405" s="3" t="str">
        <f>HYPERLINK("https://knigipp.ru/api/getInfo/image/a6e34ed8-b581-11ec-a211-ac1f6b442185")</f>
        <v>https://knigipp.ru/api/getInfo/image/a6e34ed8-b581-11ec-a211-ac1f6b442185</v>
      </c>
      <c r="AD2405" s="32">
        <v>272</v>
      </c>
      <c r="AE2405" s="3"/>
      <c r="AF2405" s="3" t="s">
        <v>127</v>
      </c>
      <c r="AG2405" s="3"/>
      <c r="AH2405" s="3" t="s">
        <v>56</v>
      </c>
      <c r="AI2405" s="3"/>
      <c r="AJ2405" s="3"/>
      <c r="AK2405" s="3" t="str">
        <f>HYPERLINK("https://knigipp.ru/api/getInfo/item/a6e34ed8-b581-11ec-a211-ac1f6b442185")</f>
        <v>https://knigipp.ru/api/getInfo/item/a6e34ed8-b581-11ec-a211-ac1f6b442185</v>
      </c>
      <c r="AL2405" s="3" t="s">
        <v>10735</v>
      </c>
    </row>
    <row r="2406" spans="1:38" ht="21" customHeight="1" outlineLevel="4" x14ac:dyDescent="0.2">
      <c r="A2406" s="39">
        <v>1860</v>
      </c>
      <c r="B2406" s="3" t="s">
        <v>10736</v>
      </c>
      <c r="C2406" s="49" t="s">
        <v>10737</v>
      </c>
      <c r="D2406" s="49"/>
      <c r="E2406" s="49"/>
      <c r="F2406" s="49"/>
      <c r="G2406" s="4" t="s">
        <v>10738</v>
      </c>
      <c r="H2406" s="8"/>
      <c r="I2406" s="9" t="s">
        <v>10731</v>
      </c>
      <c r="J2406" s="10"/>
      <c r="K2406" s="11">
        <v>20</v>
      </c>
      <c r="L2406" s="10"/>
      <c r="M2406" s="10" t="s">
        <v>47</v>
      </c>
      <c r="N2406" s="10"/>
      <c r="O2406" s="2">
        <v>2</v>
      </c>
      <c r="P2406" s="17">
        <f>369*(1-S3/100)</f>
        <v>369</v>
      </c>
      <c r="Q2406" s="18"/>
      <c r="R2406" s="10">
        <f>P2406*Q2406</f>
        <v>0</v>
      </c>
      <c r="S2406" s="19">
        <f>0.422*Q2406</f>
        <v>0</v>
      </c>
      <c r="T2406" s="20">
        <f>0.00064*Q2406</f>
        <v>0</v>
      </c>
      <c r="U2406" s="21"/>
      <c r="V2406" s="22" t="s">
        <v>10739</v>
      </c>
      <c r="W2406" s="22" t="s">
        <v>49</v>
      </c>
      <c r="X2406" s="3" t="s">
        <v>10740</v>
      </c>
      <c r="Y2406" s="3" t="s">
        <v>10741</v>
      </c>
      <c r="Z2406" s="3" t="s">
        <v>52</v>
      </c>
      <c r="AA2406" s="3"/>
      <c r="AB2406" s="3"/>
      <c r="AC2406" s="3" t="str">
        <f>HYPERLINK("https://knigipp.ru/api/getInfo/image/f4d8ceb1-b581-11ec-a211-ac1f6b442185")</f>
        <v>https://knigipp.ru/api/getInfo/image/f4d8ceb1-b581-11ec-a211-ac1f6b442185</v>
      </c>
      <c r="AD2406" s="32">
        <v>272</v>
      </c>
      <c r="AE2406" s="3"/>
      <c r="AF2406" s="3" t="s">
        <v>127</v>
      </c>
      <c r="AG2406" s="3"/>
      <c r="AH2406" s="3" t="s">
        <v>56</v>
      </c>
      <c r="AI2406" s="3"/>
      <c r="AJ2406" s="3"/>
      <c r="AK2406" s="3" t="str">
        <f>HYPERLINK("https://knigipp.ru/api/getInfo/item/f4d8ceb1-b581-11ec-a211-ac1f6b442185")</f>
        <v>https://knigipp.ru/api/getInfo/item/f4d8ceb1-b581-11ec-a211-ac1f6b442185</v>
      </c>
      <c r="AL2406" s="3" t="s">
        <v>10735</v>
      </c>
    </row>
    <row r="2407" spans="1:38" ht="21" customHeight="1" outlineLevel="4" x14ac:dyDescent="0.2">
      <c r="A2407" s="39">
        <v>1861</v>
      </c>
      <c r="B2407" s="3" t="s">
        <v>10742</v>
      </c>
      <c r="C2407" s="49" t="s">
        <v>10743</v>
      </c>
      <c r="D2407" s="49"/>
      <c r="E2407" s="49"/>
      <c r="F2407" s="49"/>
      <c r="G2407" s="4" t="s">
        <v>10744</v>
      </c>
      <c r="H2407" s="8"/>
      <c r="I2407" s="9" t="s">
        <v>10731</v>
      </c>
      <c r="J2407" s="10"/>
      <c r="K2407" s="11">
        <v>20</v>
      </c>
      <c r="L2407" s="10"/>
      <c r="M2407" s="10" t="s">
        <v>47</v>
      </c>
      <c r="N2407" s="10"/>
      <c r="O2407" s="2">
        <v>2</v>
      </c>
      <c r="P2407" s="17">
        <f>369*(1-S3/100)</f>
        <v>369</v>
      </c>
      <c r="Q2407" s="18"/>
      <c r="R2407" s="10">
        <f>P2407*Q2407</f>
        <v>0</v>
      </c>
      <c r="S2407" s="19">
        <f>0.422*Q2407</f>
        <v>0</v>
      </c>
      <c r="T2407" s="20">
        <f>0.00064*Q2407</f>
        <v>0</v>
      </c>
      <c r="U2407" s="21"/>
      <c r="V2407" s="22" t="s">
        <v>10745</v>
      </c>
      <c r="W2407" s="22" t="s">
        <v>49</v>
      </c>
      <c r="X2407" s="3" t="s">
        <v>10746</v>
      </c>
      <c r="Y2407" s="3" t="s">
        <v>10747</v>
      </c>
      <c r="Z2407" s="3" t="s">
        <v>52</v>
      </c>
      <c r="AA2407" s="3"/>
      <c r="AB2407" s="3"/>
      <c r="AC2407" s="3" t="str">
        <f>HYPERLINK("https://knigipp.ru/api/getInfo/image/222db958-b582-11ec-a211-ac1f6b442185")</f>
        <v>https://knigipp.ru/api/getInfo/image/222db958-b582-11ec-a211-ac1f6b442185</v>
      </c>
      <c r="AD2407" s="32">
        <v>288</v>
      </c>
      <c r="AE2407" s="3"/>
      <c r="AF2407" s="3" t="s">
        <v>127</v>
      </c>
      <c r="AG2407" s="3"/>
      <c r="AH2407" s="3" t="s">
        <v>56</v>
      </c>
      <c r="AI2407" s="3"/>
      <c r="AJ2407" s="3"/>
      <c r="AK2407" s="3" t="str">
        <f>HYPERLINK("https://knigipp.ru/api/getInfo/item/222db958-b582-11ec-a211-ac1f6b442185")</f>
        <v>https://knigipp.ru/api/getInfo/item/222db958-b582-11ec-a211-ac1f6b442185</v>
      </c>
      <c r="AL2407" s="3" t="s">
        <v>10735</v>
      </c>
    </row>
    <row r="2408" spans="1:38" ht="21" customHeight="1" outlineLevel="4" x14ac:dyDescent="0.2">
      <c r="A2408" s="39">
        <v>1862</v>
      </c>
      <c r="B2408" s="3" t="s">
        <v>10748</v>
      </c>
      <c r="C2408" s="49" t="s">
        <v>10749</v>
      </c>
      <c r="D2408" s="49"/>
      <c r="E2408" s="49"/>
      <c r="F2408" s="49"/>
      <c r="G2408" s="4" t="s">
        <v>10750</v>
      </c>
      <c r="H2408" s="8"/>
      <c r="I2408" s="9" t="s">
        <v>10751</v>
      </c>
      <c r="J2408" s="10"/>
      <c r="K2408" s="11">
        <v>20</v>
      </c>
      <c r="L2408" s="10"/>
      <c r="M2408" s="10" t="s">
        <v>47</v>
      </c>
      <c r="N2408" s="10"/>
      <c r="O2408" s="2">
        <v>2</v>
      </c>
      <c r="P2408" s="17">
        <f>389*(1-S3/100)</f>
        <v>389</v>
      </c>
      <c r="Q2408" s="18"/>
      <c r="R2408" s="10">
        <f>P2408*Q2408</f>
        <v>0</v>
      </c>
      <c r="S2408" s="19">
        <f>0.422*Q2408</f>
        <v>0</v>
      </c>
      <c r="T2408" s="20">
        <f>0.00064*Q2408</f>
        <v>0</v>
      </c>
      <c r="U2408" s="21"/>
      <c r="V2408" s="22" t="s">
        <v>10752</v>
      </c>
      <c r="W2408" s="22" t="s">
        <v>49</v>
      </c>
      <c r="X2408" s="3" t="s">
        <v>10753</v>
      </c>
      <c r="Y2408" s="3" t="s">
        <v>10754</v>
      </c>
      <c r="Z2408" s="3" t="s">
        <v>52</v>
      </c>
      <c r="AA2408" s="3"/>
      <c r="AB2408" s="3"/>
      <c r="AC2408" s="3" t="str">
        <f>HYPERLINK("https://knigipp.ru/api/getInfo/image/53a2ef04-b582-11ec-a211-ac1f6b442185")</f>
        <v>https://knigipp.ru/api/getInfo/image/53a2ef04-b582-11ec-a211-ac1f6b442185</v>
      </c>
      <c r="AD2408" s="32">
        <v>320</v>
      </c>
      <c r="AE2408" s="3"/>
      <c r="AF2408" s="3" t="s">
        <v>127</v>
      </c>
      <c r="AG2408" s="3"/>
      <c r="AH2408" s="3" t="s">
        <v>56</v>
      </c>
      <c r="AI2408" s="3"/>
      <c r="AJ2408" s="3"/>
      <c r="AK2408" s="3" t="str">
        <f>HYPERLINK("https://knigipp.ru/api/getInfo/item/53a2ef04-b582-11ec-a211-ac1f6b442185")</f>
        <v>https://knigipp.ru/api/getInfo/item/53a2ef04-b582-11ec-a211-ac1f6b442185</v>
      </c>
      <c r="AL2408" s="3" t="s">
        <v>10735</v>
      </c>
    </row>
    <row r="2409" spans="1:38" ht="23.1" customHeight="1" outlineLevel="3" x14ac:dyDescent="0.2">
      <c r="A2409" s="48" t="s">
        <v>10755</v>
      </c>
      <c r="B2409" s="48"/>
      <c r="C2409" s="48"/>
      <c r="D2409" s="48"/>
      <c r="E2409" s="48"/>
      <c r="F2409" s="48"/>
    </row>
    <row r="2410" spans="1:38" ht="21" customHeight="1" outlineLevel="4" x14ac:dyDescent="0.2">
      <c r="A2410" s="39">
        <v>1863</v>
      </c>
      <c r="B2410" s="3" t="s">
        <v>10756</v>
      </c>
      <c r="C2410" s="49" t="s">
        <v>10757</v>
      </c>
      <c r="D2410" s="49"/>
      <c r="E2410" s="49"/>
      <c r="F2410" s="49"/>
      <c r="G2410" s="4" t="s">
        <v>10758</v>
      </c>
      <c r="H2410" s="8"/>
      <c r="I2410" s="9" t="s">
        <v>10759</v>
      </c>
      <c r="J2410" s="10"/>
      <c r="K2410" s="11">
        <v>10</v>
      </c>
      <c r="L2410" s="10"/>
      <c r="M2410" s="10" t="s">
        <v>78</v>
      </c>
      <c r="N2410" s="10"/>
      <c r="O2410" s="2">
        <v>2</v>
      </c>
      <c r="P2410" s="17">
        <f>397*(1-S3/100)</f>
        <v>397</v>
      </c>
      <c r="Q2410" s="18"/>
      <c r="R2410" s="10">
        <f>P2410*Q2410</f>
        <v>0</v>
      </c>
      <c r="S2410" s="19">
        <f>0.394*Q2410</f>
        <v>0</v>
      </c>
      <c r="T2410" s="20">
        <f>0.00085*Q2410</f>
        <v>0</v>
      </c>
      <c r="U2410" s="21"/>
      <c r="V2410" s="22" t="s">
        <v>10760</v>
      </c>
      <c r="W2410" s="22" t="s">
        <v>49</v>
      </c>
      <c r="X2410" s="3" t="s">
        <v>10761</v>
      </c>
      <c r="Y2410" s="3" t="s">
        <v>10762</v>
      </c>
      <c r="Z2410" s="3" t="s">
        <v>52</v>
      </c>
      <c r="AA2410" s="3"/>
      <c r="AB2410" s="3"/>
      <c r="AC2410" s="3" t="str">
        <f>HYPERLINK("https://knigipp.ru/api/getInfo/image/e946ddf8-dfd2-11ef-a273-00155d82e908")</f>
        <v>https://knigipp.ru/api/getInfo/image/e946ddf8-dfd2-11ef-a273-00155d82e908</v>
      </c>
      <c r="AD2410" s="32">
        <v>320</v>
      </c>
      <c r="AE2410" s="3" t="s">
        <v>54</v>
      </c>
      <c r="AF2410" s="3" t="s">
        <v>127</v>
      </c>
      <c r="AG2410" s="3"/>
      <c r="AH2410" s="3" t="s">
        <v>56</v>
      </c>
      <c r="AI2410" s="3"/>
      <c r="AJ2410" s="3"/>
      <c r="AK2410" s="3" t="str">
        <f>HYPERLINK("https://knigipp.ru/api/getInfo/item/e946ddf8-dfd2-11ef-a273-00155d82e908")</f>
        <v>https://knigipp.ru/api/getInfo/item/e946ddf8-dfd2-11ef-a273-00155d82e908</v>
      </c>
      <c r="AL2410" s="3" t="s">
        <v>10763</v>
      </c>
    </row>
    <row r="2411" spans="1:38" ht="21" customHeight="1" outlineLevel="4" x14ac:dyDescent="0.2">
      <c r="A2411" s="39">
        <v>1864</v>
      </c>
      <c r="B2411" s="3" t="s">
        <v>10764</v>
      </c>
      <c r="C2411" s="49" t="s">
        <v>10765</v>
      </c>
      <c r="D2411" s="49"/>
      <c r="E2411" s="49"/>
      <c r="F2411" s="49"/>
      <c r="G2411" s="4" t="s">
        <v>10766</v>
      </c>
      <c r="H2411" s="8"/>
      <c r="I2411" s="9" t="s">
        <v>10767</v>
      </c>
      <c r="J2411" s="10"/>
      <c r="K2411" s="11">
        <v>10</v>
      </c>
      <c r="L2411" s="10"/>
      <c r="M2411" s="10" t="s">
        <v>78</v>
      </c>
      <c r="N2411" s="10"/>
      <c r="O2411" s="2">
        <v>2</v>
      </c>
      <c r="P2411" s="17">
        <f>427*(1-S3/100)</f>
        <v>427</v>
      </c>
      <c r="Q2411" s="18"/>
      <c r="R2411" s="10">
        <f>P2411*Q2411</f>
        <v>0</v>
      </c>
      <c r="S2411" s="19">
        <f>0.402*Q2411</f>
        <v>0</v>
      </c>
      <c r="T2411" s="20">
        <f>0.00067*Q2411</f>
        <v>0</v>
      </c>
      <c r="U2411" s="21"/>
      <c r="V2411" s="22" t="s">
        <v>10768</v>
      </c>
      <c r="W2411" s="22" t="s">
        <v>49</v>
      </c>
      <c r="X2411" s="3" t="s">
        <v>10769</v>
      </c>
      <c r="Y2411" s="3" t="s">
        <v>10770</v>
      </c>
      <c r="Z2411" s="3" t="s">
        <v>52</v>
      </c>
      <c r="AA2411" s="3"/>
      <c r="AB2411" s="3"/>
      <c r="AC2411" s="3" t="str">
        <f>HYPERLINK("https://knigipp.ru/api/getInfo/image/2076dcca-dfd3-11ef-a273-00155d82e908")</f>
        <v>https://knigipp.ru/api/getInfo/image/2076dcca-dfd3-11ef-a273-00155d82e908</v>
      </c>
      <c r="AD2411" s="32">
        <v>336</v>
      </c>
      <c r="AE2411" s="3" t="s">
        <v>54</v>
      </c>
      <c r="AF2411" s="3" t="s">
        <v>127</v>
      </c>
      <c r="AG2411" s="3"/>
      <c r="AH2411" s="3" t="s">
        <v>56</v>
      </c>
      <c r="AI2411" s="3"/>
      <c r="AJ2411" s="3"/>
      <c r="AK2411" s="3" t="str">
        <f>HYPERLINK("https://knigipp.ru/api/getInfo/item/2076dcca-dfd3-11ef-a273-00155d82e908")</f>
        <v>https://knigipp.ru/api/getInfo/item/2076dcca-dfd3-11ef-a273-00155d82e908</v>
      </c>
      <c r="AL2411" s="3" t="s">
        <v>10763</v>
      </c>
    </row>
    <row r="2412" spans="1:38" ht="21" customHeight="1" outlineLevel="4" x14ac:dyDescent="0.2">
      <c r="A2412" s="39">
        <v>1865</v>
      </c>
      <c r="B2412" s="3" t="s">
        <v>10771</v>
      </c>
      <c r="C2412" s="49" t="s">
        <v>10772</v>
      </c>
      <c r="D2412" s="49"/>
      <c r="E2412" s="49"/>
      <c r="F2412" s="49"/>
      <c r="G2412" s="4" t="s">
        <v>10773</v>
      </c>
      <c r="H2412" s="8"/>
      <c r="I2412" s="9" t="s">
        <v>10774</v>
      </c>
      <c r="J2412" s="10"/>
      <c r="K2412" s="11">
        <v>10</v>
      </c>
      <c r="L2412" s="10"/>
      <c r="M2412" s="10" t="s">
        <v>47</v>
      </c>
      <c r="N2412" s="10"/>
      <c r="O2412" s="2">
        <v>2</v>
      </c>
      <c r="P2412" s="17">
        <f>397*(1-S3/100)</f>
        <v>397</v>
      </c>
      <c r="Q2412" s="18"/>
      <c r="R2412" s="10">
        <f>P2412*Q2412</f>
        <v>0</v>
      </c>
      <c r="S2412" s="19">
        <f>0.393*Q2412</f>
        <v>0</v>
      </c>
      <c r="T2412" s="20">
        <f>0.00066*Q2412</f>
        <v>0</v>
      </c>
      <c r="U2412" s="21"/>
      <c r="V2412" s="22" t="s">
        <v>10775</v>
      </c>
      <c r="W2412" s="22" t="s">
        <v>49</v>
      </c>
      <c r="X2412" s="3" t="s">
        <v>10776</v>
      </c>
      <c r="Y2412" s="3" t="s">
        <v>10777</v>
      </c>
      <c r="Z2412" s="3" t="s">
        <v>52</v>
      </c>
      <c r="AA2412" s="3"/>
      <c r="AB2412" s="3"/>
      <c r="AC2412" s="3" t="str">
        <f>HYPERLINK("https://knigipp.ru/api/getInfo/image/522a09c7-dfd3-11ef-a273-00155d82e908")</f>
        <v>https://knigipp.ru/api/getInfo/image/522a09c7-dfd3-11ef-a273-00155d82e908</v>
      </c>
      <c r="AD2412" s="32">
        <v>320</v>
      </c>
      <c r="AE2412" s="3" t="s">
        <v>54</v>
      </c>
      <c r="AF2412" s="3" t="s">
        <v>127</v>
      </c>
      <c r="AG2412" s="3"/>
      <c r="AH2412" s="3" t="s">
        <v>56</v>
      </c>
      <c r="AI2412" s="3"/>
      <c r="AJ2412" s="3"/>
      <c r="AK2412" s="3" t="str">
        <f>HYPERLINK("https://knigipp.ru/api/getInfo/item/522a09c7-dfd3-11ef-a273-00155d82e908")</f>
        <v>https://knigipp.ru/api/getInfo/item/522a09c7-dfd3-11ef-a273-00155d82e908</v>
      </c>
      <c r="AL2412" s="3" t="s">
        <v>10763</v>
      </c>
    </row>
    <row r="2413" spans="1:38" ht="21" customHeight="1" outlineLevel="4" x14ac:dyDescent="0.2">
      <c r="A2413" s="39">
        <v>1866</v>
      </c>
      <c r="B2413" s="3" t="s">
        <v>10778</v>
      </c>
      <c r="C2413" s="49" t="s">
        <v>10779</v>
      </c>
      <c r="D2413" s="49"/>
      <c r="E2413" s="49"/>
      <c r="F2413" s="49"/>
      <c r="G2413" s="4" t="s">
        <v>10780</v>
      </c>
      <c r="H2413" s="8"/>
      <c r="I2413" s="9" t="s">
        <v>10781</v>
      </c>
      <c r="J2413" s="10"/>
      <c r="K2413" s="11">
        <v>10</v>
      </c>
      <c r="L2413" s="10"/>
      <c r="M2413" s="10" t="s">
        <v>47</v>
      </c>
      <c r="N2413" s="10"/>
      <c r="O2413" s="2">
        <v>2</v>
      </c>
      <c r="P2413" s="17">
        <f>347*(1-S3/100)</f>
        <v>347</v>
      </c>
      <c r="Q2413" s="18"/>
      <c r="R2413" s="10">
        <f>P2413*Q2413</f>
        <v>0</v>
      </c>
      <c r="S2413" s="19">
        <f>0.356*Q2413</f>
        <v>0</v>
      </c>
      <c r="T2413" s="20">
        <f>0.00054*Q2413</f>
        <v>0</v>
      </c>
      <c r="U2413" s="21"/>
      <c r="V2413" s="22" t="s">
        <v>10782</v>
      </c>
      <c r="W2413" s="22" t="s">
        <v>49</v>
      </c>
      <c r="X2413" s="3" t="s">
        <v>10783</v>
      </c>
      <c r="Y2413" s="3" t="s">
        <v>10784</v>
      </c>
      <c r="Z2413" s="3" t="s">
        <v>52</v>
      </c>
      <c r="AA2413" s="3"/>
      <c r="AB2413" s="3"/>
      <c r="AC2413" s="3" t="str">
        <f>HYPERLINK("https://knigipp.ru/api/getInfo/image/9a79c236-dfd2-11ef-a273-00155d82e908")</f>
        <v>https://knigipp.ru/api/getInfo/image/9a79c236-dfd2-11ef-a273-00155d82e908</v>
      </c>
      <c r="AD2413" s="32">
        <v>224</v>
      </c>
      <c r="AE2413" s="3" t="s">
        <v>54</v>
      </c>
      <c r="AF2413" s="3" t="s">
        <v>127</v>
      </c>
      <c r="AG2413" s="3"/>
      <c r="AH2413" s="3" t="s">
        <v>56</v>
      </c>
      <c r="AI2413" s="3"/>
      <c r="AJ2413" s="3"/>
      <c r="AK2413" s="3" t="str">
        <f>HYPERLINK("https://knigipp.ru/api/getInfo/item/9a79c236-dfd2-11ef-a273-00155d82e908")</f>
        <v>https://knigipp.ru/api/getInfo/item/9a79c236-dfd2-11ef-a273-00155d82e908</v>
      </c>
      <c r="AL2413" s="3" t="s">
        <v>985</v>
      </c>
    </row>
    <row r="2414" spans="1:38" ht="23.1" customHeight="1" outlineLevel="3" x14ac:dyDescent="0.2">
      <c r="A2414" s="48" t="s">
        <v>10785</v>
      </c>
      <c r="B2414" s="48"/>
      <c r="C2414" s="48"/>
      <c r="D2414" s="48"/>
      <c r="E2414" s="48"/>
      <c r="F2414" s="48"/>
    </row>
    <row r="2415" spans="1:38" ht="21" customHeight="1" outlineLevel="4" x14ac:dyDescent="0.2">
      <c r="A2415" s="39">
        <v>1867</v>
      </c>
      <c r="B2415" s="3" t="s">
        <v>10786</v>
      </c>
      <c r="C2415" s="49" t="s">
        <v>10787</v>
      </c>
      <c r="D2415" s="49"/>
      <c r="E2415" s="49"/>
      <c r="F2415" s="49"/>
      <c r="G2415" s="4" t="s">
        <v>10788</v>
      </c>
      <c r="H2415" s="8"/>
      <c r="I2415" s="9" t="s">
        <v>10789</v>
      </c>
      <c r="J2415" s="10"/>
      <c r="K2415" s="11">
        <v>20</v>
      </c>
      <c r="L2415" s="10"/>
      <c r="M2415" s="10" t="s">
        <v>78</v>
      </c>
      <c r="N2415" s="10"/>
      <c r="O2415" s="2">
        <v>4</v>
      </c>
      <c r="P2415" s="17">
        <f>179*(1-S3/100)</f>
        <v>179</v>
      </c>
      <c r="Q2415" s="18"/>
      <c r="R2415" s="10">
        <f t="shared" ref="R2415:R2452" si="106">P2415*Q2415</f>
        <v>0</v>
      </c>
      <c r="S2415" s="19">
        <f>0.218*Q2415</f>
        <v>0</v>
      </c>
      <c r="T2415" s="20">
        <f>0.00037*Q2415</f>
        <v>0</v>
      </c>
      <c r="U2415" s="21"/>
      <c r="V2415" s="22" t="s">
        <v>10790</v>
      </c>
      <c r="W2415" s="22" t="s">
        <v>49</v>
      </c>
      <c r="X2415" s="3" t="s">
        <v>10791</v>
      </c>
      <c r="Y2415" s="3" t="s">
        <v>10792</v>
      </c>
      <c r="Z2415" s="3" t="s">
        <v>384</v>
      </c>
      <c r="AA2415" s="3" t="s">
        <v>6561</v>
      </c>
      <c r="AB2415" s="3"/>
      <c r="AC2415" s="3" t="str">
        <f>HYPERLINK("https://knigipp.ru/api/getInfo/image/51d557f2-4ec5-11e8-b825-5cf3fc4a2490")</f>
        <v>https://knigipp.ru/api/getInfo/image/51d557f2-4ec5-11e8-b825-5cf3fc4a2490</v>
      </c>
      <c r="AD2415" s="32">
        <v>96</v>
      </c>
      <c r="AE2415" s="3"/>
      <c r="AF2415" s="3" t="s">
        <v>127</v>
      </c>
      <c r="AG2415" s="3"/>
      <c r="AH2415" s="3" t="s">
        <v>56</v>
      </c>
      <c r="AI2415" s="3"/>
      <c r="AJ2415" s="3" t="s">
        <v>10793</v>
      </c>
      <c r="AK2415" s="3" t="str">
        <f>HYPERLINK("https://knigipp.ru/api/getInfo/item/51d557f2-4ec5-11e8-b825-5cf3fc4a2490")</f>
        <v>https://knigipp.ru/api/getInfo/item/51d557f2-4ec5-11e8-b825-5cf3fc4a2490</v>
      </c>
      <c r="AL2415" s="3" t="s">
        <v>10794</v>
      </c>
    </row>
    <row r="2416" spans="1:38" ht="21" customHeight="1" outlineLevel="4" x14ac:dyDescent="0.2">
      <c r="A2416" s="39">
        <v>1868</v>
      </c>
      <c r="B2416" s="3" t="s">
        <v>10795</v>
      </c>
      <c r="C2416" s="49" t="s">
        <v>10796</v>
      </c>
      <c r="D2416" s="49"/>
      <c r="E2416" s="49"/>
      <c r="F2416" s="49"/>
      <c r="G2416" s="4" t="s">
        <v>10797</v>
      </c>
      <c r="H2416" s="8"/>
      <c r="I2416" s="9" t="s">
        <v>10798</v>
      </c>
      <c r="J2416" s="10"/>
      <c r="K2416" s="11">
        <v>20</v>
      </c>
      <c r="L2416" s="10"/>
      <c r="M2416" s="10" t="s">
        <v>47</v>
      </c>
      <c r="N2416" s="10"/>
      <c r="O2416" s="2">
        <v>4</v>
      </c>
      <c r="P2416" s="17">
        <f>179*(1-S3/100)</f>
        <v>179</v>
      </c>
      <c r="Q2416" s="18"/>
      <c r="R2416" s="10">
        <f t="shared" si="106"/>
        <v>0</v>
      </c>
      <c r="S2416" s="19">
        <f>0.207*Q2416</f>
        <v>0</v>
      </c>
      <c r="T2416" s="20">
        <f>0.00044*Q2416</f>
        <v>0</v>
      </c>
      <c r="U2416" s="21"/>
      <c r="V2416" s="22" t="s">
        <v>10799</v>
      </c>
      <c r="W2416" s="22" t="s">
        <v>49</v>
      </c>
      <c r="X2416" s="3" t="s">
        <v>10599</v>
      </c>
      <c r="Y2416" s="3" t="s">
        <v>10800</v>
      </c>
      <c r="Z2416" s="3" t="s">
        <v>384</v>
      </c>
      <c r="AA2416" s="3" t="s">
        <v>10801</v>
      </c>
      <c r="AB2416" s="3"/>
      <c r="AC2416" s="3" t="str">
        <f>HYPERLINK("https://knigipp.ru/api/getInfo/image/088fa4a3-a1e2-11e7-b8ef-5cf3fc4a2490")</f>
        <v>https://knigipp.ru/api/getInfo/image/088fa4a3-a1e2-11e7-b8ef-5cf3fc4a2490</v>
      </c>
      <c r="AD2416" s="32">
        <v>112</v>
      </c>
      <c r="AE2416" s="3"/>
      <c r="AF2416" s="3" t="s">
        <v>127</v>
      </c>
      <c r="AG2416" s="3"/>
      <c r="AH2416" s="3" t="s">
        <v>56</v>
      </c>
      <c r="AI2416" s="3"/>
      <c r="AJ2416" s="3" t="s">
        <v>10793</v>
      </c>
      <c r="AK2416" s="3" t="str">
        <f>HYPERLINK("https://knigipp.ru/api/getInfo/item/088fa4a3-a1e2-11e7-b8ef-5cf3fc4a2490")</f>
        <v>https://knigipp.ru/api/getInfo/item/088fa4a3-a1e2-11e7-b8ef-5cf3fc4a2490</v>
      </c>
      <c r="AL2416" s="3" t="s">
        <v>10794</v>
      </c>
    </row>
    <row r="2417" spans="1:38" ht="21" customHeight="1" outlineLevel="4" x14ac:dyDescent="0.2">
      <c r="A2417" s="39">
        <v>1869</v>
      </c>
      <c r="B2417" s="3" t="s">
        <v>10802</v>
      </c>
      <c r="C2417" s="49" t="s">
        <v>10803</v>
      </c>
      <c r="D2417" s="49"/>
      <c r="E2417" s="49"/>
      <c r="F2417" s="49"/>
      <c r="G2417" s="4" t="s">
        <v>10804</v>
      </c>
      <c r="H2417" s="8"/>
      <c r="I2417" s="9" t="s">
        <v>10805</v>
      </c>
      <c r="J2417" s="10"/>
      <c r="K2417" s="11">
        <v>20</v>
      </c>
      <c r="L2417" s="10"/>
      <c r="M2417" s="10" t="s">
        <v>47</v>
      </c>
      <c r="N2417" s="10"/>
      <c r="O2417" s="2">
        <v>3</v>
      </c>
      <c r="P2417" s="17">
        <f>219*(1-S3/100)</f>
        <v>219</v>
      </c>
      <c r="Q2417" s="18"/>
      <c r="R2417" s="10">
        <f t="shared" si="106"/>
        <v>0</v>
      </c>
      <c r="S2417" s="19">
        <f>0.226*Q2417</f>
        <v>0</v>
      </c>
      <c r="T2417" s="20">
        <f>0.00044*Q2417</f>
        <v>0</v>
      </c>
      <c r="U2417" s="21"/>
      <c r="V2417" s="22" t="s">
        <v>10806</v>
      </c>
      <c r="W2417" s="22" t="s">
        <v>49</v>
      </c>
      <c r="X2417" s="3" t="s">
        <v>10245</v>
      </c>
      <c r="Y2417" s="3" t="s">
        <v>10807</v>
      </c>
      <c r="Z2417" s="3" t="s">
        <v>52</v>
      </c>
      <c r="AA2417" s="3" t="s">
        <v>10036</v>
      </c>
      <c r="AB2417" s="3"/>
      <c r="AC2417" s="3" t="str">
        <f>HYPERLINK("https://knigipp.ru/api/getInfo/image/65add51a-79a5-11e6-97ea-5cf3fc4a2490")</f>
        <v>https://knigipp.ru/api/getInfo/image/65add51a-79a5-11e6-97ea-5cf3fc4a2490</v>
      </c>
      <c r="AD2417" s="32">
        <v>128</v>
      </c>
      <c r="AE2417" s="3"/>
      <c r="AF2417" s="3" t="s">
        <v>127</v>
      </c>
      <c r="AG2417" s="3"/>
      <c r="AH2417" s="3" t="s">
        <v>56</v>
      </c>
      <c r="AI2417" s="3"/>
      <c r="AJ2417" s="3" t="s">
        <v>10793</v>
      </c>
      <c r="AK2417" s="3" t="str">
        <f>HYPERLINK("https://knigipp.ru/api/getInfo/item/65add51a-79a5-11e6-97ea-5cf3fc4a2490")</f>
        <v>https://knigipp.ru/api/getInfo/item/65add51a-79a5-11e6-97ea-5cf3fc4a2490</v>
      </c>
      <c r="AL2417" s="3" t="s">
        <v>10794</v>
      </c>
    </row>
    <row r="2418" spans="1:38" ht="21" customHeight="1" outlineLevel="4" x14ac:dyDescent="0.2">
      <c r="A2418" s="39">
        <v>1870</v>
      </c>
      <c r="B2418" s="3" t="s">
        <v>10808</v>
      </c>
      <c r="C2418" s="49" t="s">
        <v>10809</v>
      </c>
      <c r="D2418" s="49"/>
      <c r="E2418" s="49"/>
      <c r="F2418" s="49"/>
      <c r="G2418" s="4" t="s">
        <v>10810</v>
      </c>
      <c r="H2418" s="8"/>
      <c r="I2418" s="9" t="s">
        <v>10811</v>
      </c>
      <c r="J2418" s="10"/>
      <c r="K2418" s="11">
        <v>20</v>
      </c>
      <c r="L2418" s="10"/>
      <c r="M2418" s="10" t="s">
        <v>47</v>
      </c>
      <c r="N2418" s="10"/>
      <c r="O2418" s="2">
        <v>4</v>
      </c>
      <c r="P2418" s="17">
        <f>179*(1-S3/100)</f>
        <v>179</v>
      </c>
      <c r="Q2418" s="18"/>
      <c r="R2418" s="10">
        <f t="shared" si="106"/>
        <v>0</v>
      </c>
      <c r="S2418" s="19">
        <f>0.204*Q2418</f>
        <v>0</v>
      </c>
      <c r="T2418" s="20">
        <f>0.00034*Q2418</f>
        <v>0</v>
      </c>
      <c r="U2418" s="21"/>
      <c r="V2418" s="22" t="s">
        <v>10812</v>
      </c>
      <c r="W2418" s="22" t="s">
        <v>49</v>
      </c>
      <c r="X2418" s="3" t="s">
        <v>10614</v>
      </c>
      <c r="Y2418" s="3" t="s">
        <v>10813</v>
      </c>
      <c r="Z2418" s="3" t="s">
        <v>3329</v>
      </c>
      <c r="AA2418" s="3" t="s">
        <v>8336</v>
      </c>
      <c r="AB2418" s="3"/>
      <c r="AC2418" s="3" t="str">
        <f>HYPERLINK("https://knigipp.ru/api/getInfo/image/1127c464-79a3-11e6-97ea-5cf3fc4a2490")</f>
        <v>https://knigipp.ru/api/getInfo/image/1127c464-79a3-11e6-97ea-5cf3fc4a2490</v>
      </c>
      <c r="AD2418" s="32">
        <v>112</v>
      </c>
      <c r="AE2418" s="3"/>
      <c r="AF2418" s="3" t="s">
        <v>127</v>
      </c>
      <c r="AG2418" s="3"/>
      <c r="AH2418" s="3" t="s">
        <v>56</v>
      </c>
      <c r="AI2418" s="3"/>
      <c r="AJ2418" s="3" t="s">
        <v>10793</v>
      </c>
      <c r="AK2418" s="3" t="str">
        <f>HYPERLINK("https://knigipp.ru/api/getInfo/item/1127c464-79a3-11e6-97ea-5cf3fc4a2490")</f>
        <v>https://knigipp.ru/api/getInfo/item/1127c464-79a3-11e6-97ea-5cf3fc4a2490</v>
      </c>
      <c r="AL2418" s="3" t="s">
        <v>10794</v>
      </c>
    </row>
    <row r="2419" spans="1:38" ht="21" customHeight="1" outlineLevel="4" x14ac:dyDescent="0.2">
      <c r="A2419" s="39">
        <v>1871</v>
      </c>
      <c r="B2419" s="3" t="s">
        <v>10814</v>
      </c>
      <c r="C2419" s="49" t="s">
        <v>10815</v>
      </c>
      <c r="D2419" s="49"/>
      <c r="E2419" s="49"/>
      <c r="F2419" s="49"/>
      <c r="G2419" s="4" t="s">
        <v>10816</v>
      </c>
      <c r="H2419" s="8"/>
      <c r="I2419" s="9" t="s">
        <v>10817</v>
      </c>
      <c r="J2419" s="10"/>
      <c r="K2419" s="11">
        <v>20</v>
      </c>
      <c r="L2419" s="10"/>
      <c r="M2419" s="10" t="s">
        <v>47</v>
      </c>
      <c r="N2419" s="10"/>
      <c r="O2419" s="2">
        <v>4</v>
      </c>
      <c r="P2419" s="17">
        <f>179*(1-S3/100)</f>
        <v>179</v>
      </c>
      <c r="Q2419" s="18"/>
      <c r="R2419" s="10">
        <f t="shared" si="106"/>
        <v>0</v>
      </c>
      <c r="S2419" s="19">
        <f>0.217*Q2419</f>
        <v>0</v>
      </c>
      <c r="T2419" s="20">
        <f>0.00036*Q2419</f>
        <v>0</v>
      </c>
      <c r="U2419" s="21"/>
      <c r="V2419" s="22" t="s">
        <v>10818</v>
      </c>
      <c r="W2419" s="22" t="s">
        <v>49</v>
      </c>
      <c r="X2419" s="3" t="s">
        <v>10819</v>
      </c>
      <c r="Y2419" s="3" t="s">
        <v>10820</v>
      </c>
      <c r="Z2419" s="3" t="s">
        <v>52</v>
      </c>
      <c r="AA2419" s="3" t="s">
        <v>3251</v>
      </c>
      <c r="AB2419" s="3"/>
      <c r="AC2419" s="3" t="str">
        <f>HYPERLINK("https://knigipp.ru/api/getInfo/image/9ec8d3cb-79a2-11e6-97ea-5cf3fc4a2490")</f>
        <v>https://knigipp.ru/api/getInfo/image/9ec8d3cb-79a2-11e6-97ea-5cf3fc4a2490</v>
      </c>
      <c r="AD2419" s="32">
        <v>112</v>
      </c>
      <c r="AE2419" s="3"/>
      <c r="AF2419" s="3" t="s">
        <v>127</v>
      </c>
      <c r="AG2419" s="3"/>
      <c r="AH2419" s="3" t="s">
        <v>56</v>
      </c>
      <c r="AI2419" s="3"/>
      <c r="AJ2419" s="3" t="s">
        <v>10793</v>
      </c>
      <c r="AK2419" s="3" t="str">
        <f>HYPERLINK("https://knigipp.ru/api/getInfo/item/9ec8d3cb-79a2-11e6-97ea-5cf3fc4a2490")</f>
        <v>https://knigipp.ru/api/getInfo/item/9ec8d3cb-79a2-11e6-97ea-5cf3fc4a2490</v>
      </c>
      <c r="AL2419" s="3" t="s">
        <v>10794</v>
      </c>
    </row>
    <row r="2420" spans="1:38" ht="21" customHeight="1" outlineLevel="4" x14ac:dyDescent="0.2">
      <c r="A2420" s="39">
        <v>1872</v>
      </c>
      <c r="B2420" s="3" t="s">
        <v>10821</v>
      </c>
      <c r="C2420" s="49" t="s">
        <v>10822</v>
      </c>
      <c r="D2420" s="49"/>
      <c r="E2420" s="49"/>
      <c r="F2420" s="49"/>
      <c r="G2420" s="4" t="s">
        <v>10823</v>
      </c>
      <c r="H2420" s="8"/>
      <c r="I2420" s="9" t="s">
        <v>10824</v>
      </c>
      <c r="J2420" s="10"/>
      <c r="K2420" s="11">
        <v>20</v>
      </c>
      <c r="L2420" s="10"/>
      <c r="M2420" s="10" t="s">
        <v>304</v>
      </c>
      <c r="N2420" s="10"/>
      <c r="O2420" s="2">
        <v>3</v>
      </c>
      <c r="P2420" s="17">
        <f>219*(1-S3/100)</f>
        <v>219</v>
      </c>
      <c r="Q2420" s="18"/>
      <c r="R2420" s="10">
        <f t="shared" si="106"/>
        <v>0</v>
      </c>
      <c r="S2420" s="19">
        <f>0.284*Q2420</f>
        <v>0</v>
      </c>
      <c r="T2420" s="20">
        <f>0.00031*Q2420</f>
        <v>0</v>
      </c>
      <c r="U2420" s="21"/>
      <c r="V2420" s="22" t="s">
        <v>10825</v>
      </c>
      <c r="W2420" s="22" t="s">
        <v>49</v>
      </c>
      <c r="X2420" s="3" t="s">
        <v>10679</v>
      </c>
      <c r="Y2420" s="3" t="s">
        <v>10826</v>
      </c>
      <c r="Z2420" s="3" t="s">
        <v>3329</v>
      </c>
      <c r="AA2420" s="3"/>
      <c r="AB2420" s="3"/>
      <c r="AC2420" s="3" t="str">
        <f>HYPERLINK("https://knigipp.ru/api/getInfo/image/e6e34915-38fb-11ea-a240-ac1f6b442184")</f>
        <v>https://knigipp.ru/api/getInfo/image/e6e34915-38fb-11ea-a240-ac1f6b442184</v>
      </c>
      <c r="AD2420" s="32">
        <v>192</v>
      </c>
      <c r="AE2420" s="3"/>
      <c r="AF2420" s="3" t="s">
        <v>127</v>
      </c>
      <c r="AG2420" s="3"/>
      <c r="AH2420" s="3" t="s">
        <v>56</v>
      </c>
      <c r="AI2420" s="3"/>
      <c r="AJ2420" s="3" t="s">
        <v>10793</v>
      </c>
      <c r="AK2420" s="3" t="str">
        <f>HYPERLINK("https://knigipp.ru/api/getInfo/item/e6e34915-38fb-11ea-a240-ac1f6b442184")</f>
        <v>https://knigipp.ru/api/getInfo/item/e6e34915-38fb-11ea-a240-ac1f6b442184</v>
      </c>
      <c r="AL2420" s="3" t="s">
        <v>10794</v>
      </c>
    </row>
    <row r="2421" spans="1:38" ht="21" customHeight="1" outlineLevel="4" x14ac:dyDescent="0.2">
      <c r="A2421" s="39">
        <v>1873</v>
      </c>
      <c r="B2421" s="3" t="s">
        <v>10827</v>
      </c>
      <c r="C2421" s="49" t="s">
        <v>10828</v>
      </c>
      <c r="D2421" s="49"/>
      <c r="E2421" s="49"/>
      <c r="F2421" s="49"/>
      <c r="G2421" s="4" t="s">
        <v>10829</v>
      </c>
      <c r="H2421" s="8"/>
      <c r="I2421" s="9" t="s">
        <v>10830</v>
      </c>
      <c r="J2421" s="10"/>
      <c r="K2421" s="11">
        <v>20</v>
      </c>
      <c r="L2421" s="10"/>
      <c r="M2421" s="10" t="s">
        <v>78</v>
      </c>
      <c r="N2421" s="10"/>
      <c r="O2421" s="2">
        <v>4</v>
      </c>
      <c r="P2421" s="17">
        <f>287*(1-S3/100)</f>
        <v>287</v>
      </c>
      <c r="Q2421" s="18"/>
      <c r="R2421" s="10">
        <f t="shared" si="106"/>
        <v>0</v>
      </c>
      <c r="S2421" s="19">
        <f>0.191*Q2421</f>
        <v>0</v>
      </c>
      <c r="T2421" s="20">
        <f>0.00039*Q2421</f>
        <v>0</v>
      </c>
      <c r="U2421" s="21"/>
      <c r="V2421" s="22" t="s">
        <v>10831</v>
      </c>
      <c r="W2421" s="22" t="s">
        <v>49</v>
      </c>
      <c r="X2421" s="3" t="s">
        <v>10832</v>
      </c>
      <c r="Y2421" s="3" t="s">
        <v>10833</v>
      </c>
      <c r="Z2421" s="3" t="s">
        <v>384</v>
      </c>
      <c r="AA2421" s="3"/>
      <c r="AB2421" s="3"/>
      <c r="AC2421" s="3" t="str">
        <f>HYPERLINK("https://knigipp.ru/api/getInfo/image/57479e51-8e0d-11eb-a278-ac1f6b442184")</f>
        <v>https://knigipp.ru/api/getInfo/image/57479e51-8e0d-11eb-a278-ac1f6b442184</v>
      </c>
      <c r="AD2421" s="32">
        <v>96</v>
      </c>
      <c r="AE2421" s="3"/>
      <c r="AF2421" s="3" t="s">
        <v>127</v>
      </c>
      <c r="AG2421" s="3"/>
      <c r="AH2421" s="3" t="s">
        <v>56</v>
      </c>
      <c r="AI2421" s="3"/>
      <c r="AJ2421" s="3" t="s">
        <v>10793</v>
      </c>
      <c r="AK2421" s="3" t="str">
        <f>HYPERLINK("https://knigipp.ru/api/getInfo/item/57479e51-8e0d-11eb-a278-ac1f6b442184")</f>
        <v>https://knigipp.ru/api/getInfo/item/57479e51-8e0d-11eb-a278-ac1f6b442184</v>
      </c>
      <c r="AL2421" s="3" t="s">
        <v>10794</v>
      </c>
    </row>
    <row r="2422" spans="1:38" ht="21" customHeight="1" outlineLevel="4" x14ac:dyDescent="0.2">
      <c r="A2422" s="39">
        <v>1874</v>
      </c>
      <c r="B2422" s="3" t="s">
        <v>10834</v>
      </c>
      <c r="C2422" s="49" t="s">
        <v>10835</v>
      </c>
      <c r="D2422" s="49"/>
      <c r="E2422" s="49"/>
      <c r="F2422" s="49"/>
      <c r="G2422" s="4" t="s">
        <v>10836</v>
      </c>
      <c r="H2422" s="8"/>
      <c r="I2422" s="9" t="s">
        <v>10837</v>
      </c>
      <c r="J2422" s="10"/>
      <c r="K2422" s="11">
        <v>20</v>
      </c>
      <c r="L2422" s="10"/>
      <c r="M2422" s="10" t="s">
        <v>47</v>
      </c>
      <c r="N2422" s="10"/>
      <c r="O2422" s="2">
        <v>4</v>
      </c>
      <c r="P2422" s="17">
        <f>179*(1-S3/100)</f>
        <v>179</v>
      </c>
      <c r="Q2422" s="18"/>
      <c r="R2422" s="10">
        <f t="shared" si="106"/>
        <v>0</v>
      </c>
      <c r="S2422" s="19">
        <f>0.218*Q2422</f>
        <v>0</v>
      </c>
      <c r="T2422" s="20">
        <f>0.00037*Q2422</f>
        <v>0</v>
      </c>
      <c r="U2422" s="21"/>
      <c r="V2422" s="22" t="s">
        <v>10838</v>
      </c>
      <c r="W2422" s="22" t="s">
        <v>49</v>
      </c>
      <c r="X2422" s="3" t="s">
        <v>10110</v>
      </c>
      <c r="Y2422" s="3" t="s">
        <v>10839</v>
      </c>
      <c r="Z2422" s="3" t="s">
        <v>52</v>
      </c>
      <c r="AA2422" s="3" t="s">
        <v>3251</v>
      </c>
      <c r="AB2422" s="3"/>
      <c r="AC2422" s="3" t="str">
        <f>HYPERLINK("https://knigipp.ru/api/getInfo/image/a38f8147-79a5-11e6-97ea-5cf3fc4a2490")</f>
        <v>https://knigipp.ru/api/getInfo/image/a38f8147-79a5-11e6-97ea-5cf3fc4a2490</v>
      </c>
      <c r="AD2422" s="32">
        <v>112</v>
      </c>
      <c r="AE2422" s="3"/>
      <c r="AF2422" s="3" t="s">
        <v>127</v>
      </c>
      <c r="AG2422" s="3"/>
      <c r="AH2422" s="3" t="s">
        <v>56</v>
      </c>
      <c r="AI2422" s="3"/>
      <c r="AJ2422" s="3" t="s">
        <v>10793</v>
      </c>
      <c r="AK2422" s="3" t="str">
        <f>HYPERLINK("https://knigipp.ru/api/getInfo/item/a38f8147-79a5-11e6-97ea-5cf3fc4a2490")</f>
        <v>https://knigipp.ru/api/getInfo/item/a38f8147-79a5-11e6-97ea-5cf3fc4a2490</v>
      </c>
      <c r="AL2422" s="3" t="s">
        <v>10794</v>
      </c>
    </row>
    <row r="2423" spans="1:38" ht="21" customHeight="1" outlineLevel="4" x14ac:dyDescent="0.2">
      <c r="A2423" s="39">
        <v>1875</v>
      </c>
      <c r="B2423" s="3" t="s">
        <v>10840</v>
      </c>
      <c r="C2423" s="49" t="s">
        <v>10841</v>
      </c>
      <c r="D2423" s="49"/>
      <c r="E2423" s="49"/>
      <c r="F2423" s="49"/>
      <c r="G2423" s="4" t="s">
        <v>10842</v>
      </c>
      <c r="H2423" s="8"/>
      <c r="I2423" s="9" t="s">
        <v>10843</v>
      </c>
      <c r="J2423" s="10"/>
      <c r="K2423" s="11">
        <v>20</v>
      </c>
      <c r="L2423" s="10"/>
      <c r="M2423" s="10" t="s">
        <v>47</v>
      </c>
      <c r="N2423" s="10"/>
      <c r="O2423" s="2">
        <v>3</v>
      </c>
      <c r="P2423" s="17">
        <f>219*(1-S3/100)</f>
        <v>219</v>
      </c>
      <c r="Q2423" s="18"/>
      <c r="R2423" s="10">
        <f t="shared" si="106"/>
        <v>0</v>
      </c>
      <c r="S2423" s="19">
        <f>0.219*Q2423</f>
        <v>0</v>
      </c>
      <c r="T2423" s="20">
        <f>0.00045*Q2423</f>
        <v>0</v>
      </c>
      <c r="U2423" s="21"/>
      <c r="V2423" s="22" t="s">
        <v>10844</v>
      </c>
      <c r="W2423" s="22" t="s">
        <v>49</v>
      </c>
      <c r="X2423" s="3" t="s">
        <v>10562</v>
      </c>
      <c r="Y2423" s="3" t="s">
        <v>10845</v>
      </c>
      <c r="Z2423" s="3" t="s">
        <v>52</v>
      </c>
      <c r="AA2423" s="3"/>
      <c r="AB2423" s="3"/>
      <c r="AC2423" s="3" t="str">
        <f>HYPERLINK("https://knigipp.ru/api/getInfo/image/7be44b5b-36b9-11ee-a240-00155d82e902")</f>
        <v>https://knigipp.ru/api/getInfo/image/7be44b5b-36b9-11ee-a240-00155d82e902</v>
      </c>
      <c r="AD2423" s="32">
        <v>128</v>
      </c>
      <c r="AE2423" s="3" t="s">
        <v>54</v>
      </c>
      <c r="AF2423" s="3" t="s">
        <v>127</v>
      </c>
      <c r="AG2423" s="3"/>
      <c r="AH2423" s="3" t="s">
        <v>56</v>
      </c>
      <c r="AI2423" s="3"/>
      <c r="AJ2423" s="3" t="s">
        <v>10793</v>
      </c>
      <c r="AK2423" s="3" t="str">
        <f>HYPERLINK("https://knigipp.ru/api/getInfo/item/7be44b5b-36b9-11ee-a240-00155d82e902")</f>
        <v>https://knigipp.ru/api/getInfo/item/7be44b5b-36b9-11ee-a240-00155d82e902</v>
      </c>
      <c r="AL2423" s="3" t="s">
        <v>10794</v>
      </c>
    </row>
    <row r="2424" spans="1:38" ht="21" customHeight="1" outlineLevel="4" x14ac:dyDescent="0.2">
      <c r="A2424" s="39">
        <v>1876</v>
      </c>
      <c r="B2424" s="3" t="s">
        <v>10846</v>
      </c>
      <c r="C2424" s="49" t="s">
        <v>10847</v>
      </c>
      <c r="D2424" s="49"/>
      <c r="E2424" s="49"/>
      <c r="F2424" s="49"/>
      <c r="G2424" s="4" t="s">
        <v>10848</v>
      </c>
      <c r="H2424" s="8"/>
      <c r="I2424" s="9" t="s">
        <v>10849</v>
      </c>
      <c r="J2424" s="10"/>
      <c r="K2424" s="11">
        <v>20</v>
      </c>
      <c r="L2424" s="10"/>
      <c r="M2424" s="10" t="s">
        <v>47</v>
      </c>
      <c r="N2424" s="10"/>
      <c r="O2424" s="2">
        <v>3</v>
      </c>
      <c r="P2424" s="17">
        <f>219*(1-S3/100)</f>
        <v>219</v>
      </c>
      <c r="Q2424" s="18"/>
      <c r="R2424" s="10">
        <f t="shared" si="106"/>
        <v>0</v>
      </c>
      <c r="S2424" s="19">
        <f>0.202*Q2424</f>
        <v>0</v>
      </c>
      <c r="T2424" s="20">
        <f>0.00038*Q2424</f>
        <v>0</v>
      </c>
      <c r="U2424" s="21"/>
      <c r="V2424" s="22" t="s">
        <v>10850</v>
      </c>
      <c r="W2424" s="22" t="s">
        <v>49</v>
      </c>
      <c r="X2424" s="3" t="s">
        <v>10110</v>
      </c>
      <c r="Y2424" s="3" t="s">
        <v>10851</v>
      </c>
      <c r="Z2424" s="3" t="s">
        <v>52</v>
      </c>
      <c r="AA2424" s="3" t="s">
        <v>10425</v>
      </c>
      <c r="AB2424" s="3"/>
      <c r="AC2424" s="3" t="str">
        <f>HYPERLINK("https://knigipp.ru/api/getInfo/image/d97eaedf-79a2-11e6-97ea-5cf3fc4a2490")</f>
        <v>https://knigipp.ru/api/getInfo/image/d97eaedf-79a2-11e6-97ea-5cf3fc4a2490</v>
      </c>
      <c r="AD2424" s="32">
        <v>128</v>
      </c>
      <c r="AE2424" s="3"/>
      <c r="AF2424" s="3" t="s">
        <v>127</v>
      </c>
      <c r="AG2424" s="3"/>
      <c r="AH2424" s="3" t="s">
        <v>56</v>
      </c>
      <c r="AI2424" s="3"/>
      <c r="AJ2424" s="3" t="s">
        <v>10793</v>
      </c>
      <c r="AK2424" s="3" t="str">
        <f>HYPERLINK("https://knigipp.ru/api/getInfo/item/d97eaedf-79a2-11e6-97ea-5cf3fc4a2490")</f>
        <v>https://knigipp.ru/api/getInfo/item/d97eaedf-79a2-11e6-97ea-5cf3fc4a2490</v>
      </c>
      <c r="AL2424" s="3" t="s">
        <v>10794</v>
      </c>
    </row>
    <row r="2425" spans="1:38" ht="21" customHeight="1" outlineLevel="4" x14ac:dyDescent="0.2">
      <c r="A2425" s="39">
        <v>1877</v>
      </c>
      <c r="B2425" s="3" t="s">
        <v>10852</v>
      </c>
      <c r="C2425" s="49" t="s">
        <v>10853</v>
      </c>
      <c r="D2425" s="49"/>
      <c r="E2425" s="49"/>
      <c r="F2425" s="49"/>
      <c r="G2425" s="4" t="s">
        <v>10854</v>
      </c>
      <c r="H2425" s="8"/>
      <c r="I2425" s="9" t="s">
        <v>10855</v>
      </c>
      <c r="J2425" s="10"/>
      <c r="K2425" s="11">
        <v>20</v>
      </c>
      <c r="L2425" s="10"/>
      <c r="M2425" s="10" t="s">
        <v>47</v>
      </c>
      <c r="N2425" s="10"/>
      <c r="O2425" s="2">
        <v>4</v>
      </c>
      <c r="P2425" s="17">
        <f>179*(1-S3/100)</f>
        <v>179</v>
      </c>
      <c r="Q2425" s="18"/>
      <c r="R2425" s="10">
        <f t="shared" si="106"/>
        <v>0</v>
      </c>
      <c r="S2425" s="19">
        <f>0.218*Q2425</f>
        <v>0</v>
      </c>
      <c r="T2425" s="20">
        <f>0.00037*Q2425</f>
        <v>0</v>
      </c>
      <c r="U2425" s="21"/>
      <c r="V2425" s="22" t="s">
        <v>10856</v>
      </c>
      <c r="W2425" s="22" t="s">
        <v>49</v>
      </c>
      <c r="X2425" s="3" t="s">
        <v>10857</v>
      </c>
      <c r="Y2425" s="3" t="s">
        <v>10858</v>
      </c>
      <c r="Z2425" s="3" t="s">
        <v>384</v>
      </c>
      <c r="AA2425" s="3" t="s">
        <v>10859</v>
      </c>
      <c r="AB2425" s="3"/>
      <c r="AC2425" s="3" t="str">
        <f>HYPERLINK("https://knigipp.ru/api/getInfo/image/46617d90-12ea-11e7-b743-5cf3fc4a2490")</f>
        <v>https://knigipp.ru/api/getInfo/image/46617d90-12ea-11e7-b743-5cf3fc4a2490</v>
      </c>
      <c r="AD2425" s="32">
        <v>112</v>
      </c>
      <c r="AE2425" s="3"/>
      <c r="AF2425" s="3" t="s">
        <v>127</v>
      </c>
      <c r="AG2425" s="3"/>
      <c r="AH2425" s="3" t="s">
        <v>56</v>
      </c>
      <c r="AI2425" s="3"/>
      <c r="AJ2425" s="3" t="s">
        <v>10793</v>
      </c>
      <c r="AK2425" s="3" t="str">
        <f>HYPERLINK("https://knigipp.ru/api/getInfo/item/46617d90-12ea-11e7-b743-5cf3fc4a2490")</f>
        <v>https://knigipp.ru/api/getInfo/item/46617d90-12ea-11e7-b743-5cf3fc4a2490</v>
      </c>
      <c r="AL2425" s="3" t="s">
        <v>10794</v>
      </c>
    </row>
    <row r="2426" spans="1:38" ht="21" customHeight="1" outlineLevel="4" x14ac:dyDescent="0.2">
      <c r="A2426" s="39">
        <v>1878</v>
      </c>
      <c r="B2426" s="3" t="s">
        <v>10860</v>
      </c>
      <c r="C2426" s="49" t="s">
        <v>10861</v>
      </c>
      <c r="D2426" s="49"/>
      <c r="E2426" s="49"/>
      <c r="F2426" s="49"/>
      <c r="G2426" s="4" t="s">
        <v>10862</v>
      </c>
      <c r="H2426" s="8"/>
      <c r="I2426" s="9" t="s">
        <v>10863</v>
      </c>
      <c r="J2426" s="10"/>
      <c r="K2426" s="11">
        <v>20</v>
      </c>
      <c r="L2426" s="10"/>
      <c r="M2426" s="10" t="s">
        <v>47</v>
      </c>
      <c r="N2426" s="10"/>
      <c r="O2426" s="2">
        <v>4</v>
      </c>
      <c r="P2426" s="17">
        <f>179*(1-S3/100)</f>
        <v>179</v>
      </c>
      <c r="Q2426" s="18"/>
      <c r="R2426" s="10">
        <f t="shared" si="106"/>
        <v>0</v>
      </c>
      <c r="S2426" s="19">
        <f>0.194*Q2426</f>
        <v>0</v>
      </c>
      <c r="T2426" s="20">
        <f>0.00044*Q2426</f>
        <v>0</v>
      </c>
      <c r="U2426" s="21"/>
      <c r="V2426" s="22" t="s">
        <v>10864</v>
      </c>
      <c r="W2426" s="22" t="s">
        <v>49</v>
      </c>
      <c r="X2426" s="3" t="s">
        <v>10865</v>
      </c>
      <c r="Y2426" s="3" t="s">
        <v>10866</v>
      </c>
      <c r="Z2426" s="3" t="s">
        <v>384</v>
      </c>
      <c r="AA2426" s="3" t="s">
        <v>6561</v>
      </c>
      <c r="AB2426" s="3"/>
      <c r="AC2426" s="3" t="str">
        <f>HYPERLINK("https://knigipp.ru/api/getInfo/image/b2ad1141-4ec5-11e8-b825-5cf3fc4a2490")</f>
        <v>https://knigipp.ru/api/getInfo/image/b2ad1141-4ec5-11e8-b825-5cf3fc4a2490</v>
      </c>
      <c r="AD2426" s="32">
        <v>96</v>
      </c>
      <c r="AE2426" s="3"/>
      <c r="AF2426" s="3" t="s">
        <v>127</v>
      </c>
      <c r="AG2426" s="3"/>
      <c r="AH2426" s="3" t="s">
        <v>56</v>
      </c>
      <c r="AI2426" s="3"/>
      <c r="AJ2426" s="3" t="s">
        <v>10793</v>
      </c>
      <c r="AK2426" s="3" t="str">
        <f>HYPERLINK("https://knigipp.ru/api/getInfo/item/b2ad1141-4ec5-11e8-b825-5cf3fc4a2490")</f>
        <v>https://knigipp.ru/api/getInfo/item/b2ad1141-4ec5-11e8-b825-5cf3fc4a2490</v>
      </c>
      <c r="AL2426" s="3" t="s">
        <v>10794</v>
      </c>
    </row>
    <row r="2427" spans="1:38" ht="21" customHeight="1" outlineLevel="4" x14ac:dyDescent="0.2">
      <c r="A2427" s="39">
        <v>1879</v>
      </c>
      <c r="B2427" s="3" t="s">
        <v>10867</v>
      </c>
      <c r="C2427" s="49" t="s">
        <v>10868</v>
      </c>
      <c r="D2427" s="49"/>
      <c r="E2427" s="49"/>
      <c r="F2427" s="49"/>
      <c r="G2427" s="4" t="s">
        <v>10869</v>
      </c>
      <c r="H2427" s="8"/>
      <c r="I2427" s="9" t="s">
        <v>10870</v>
      </c>
      <c r="J2427" s="10"/>
      <c r="K2427" s="11">
        <v>20</v>
      </c>
      <c r="L2427" s="10"/>
      <c r="M2427" s="10" t="s">
        <v>47</v>
      </c>
      <c r="N2427" s="10"/>
      <c r="O2427" s="2">
        <v>4</v>
      </c>
      <c r="P2427" s="17">
        <f>179*(1-S3/100)</f>
        <v>179</v>
      </c>
      <c r="Q2427" s="18"/>
      <c r="R2427" s="10">
        <f t="shared" si="106"/>
        <v>0</v>
      </c>
      <c r="S2427" s="19">
        <f>0.192*Q2427</f>
        <v>0</v>
      </c>
      <c r="T2427" s="20">
        <f>0.00043*Q2427</f>
        <v>0</v>
      </c>
      <c r="U2427" s="21"/>
      <c r="V2427" s="22" t="s">
        <v>10871</v>
      </c>
      <c r="W2427" s="22" t="s">
        <v>49</v>
      </c>
      <c r="X2427" s="3" t="s">
        <v>9438</v>
      </c>
      <c r="Y2427" s="3" t="s">
        <v>10872</v>
      </c>
      <c r="Z2427" s="3" t="s">
        <v>384</v>
      </c>
      <c r="AA2427" s="3" t="s">
        <v>6561</v>
      </c>
      <c r="AB2427" s="3"/>
      <c r="AC2427" s="3" t="str">
        <f>HYPERLINK("https://knigipp.ru/api/getInfo/image/6ad17111-4ec5-11e8-b825-5cf3fc4a2490")</f>
        <v>https://knigipp.ru/api/getInfo/image/6ad17111-4ec5-11e8-b825-5cf3fc4a2490</v>
      </c>
      <c r="AD2427" s="32">
        <v>96</v>
      </c>
      <c r="AE2427" s="3"/>
      <c r="AF2427" s="3" t="s">
        <v>127</v>
      </c>
      <c r="AG2427" s="3"/>
      <c r="AH2427" s="3" t="s">
        <v>56</v>
      </c>
      <c r="AI2427" s="3"/>
      <c r="AJ2427" s="3" t="s">
        <v>10793</v>
      </c>
      <c r="AK2427" s="3" t="str">
        <f>HYPERLINK("https://knigipp.ru/api/getInfo/item/6ad17111-4ec5-11e8-b825-5cf3fc4a2490")</f>
        <v>https://knigipp.ru/api/getInfo/item/6ad17111-4ec5-11e8-b825-5cf3fc4a2490</v>
      </c>
      <c r="AL2427" s="3" t="s">
        <v>10794</v>
      </c>
    </row>
    <row r="2428" spans="1:38" ht="21" customHeight="1" outlineLevel="4" x14ac:dyDescent="0.2">
      <c r="A2428" s="39">
        <v>1880</v>
      </c>
      <c r="B2428" s="3" t="s">
        <v>10873</v>
      </c>
      <c r="C2428" s="49" t="s">
        <v>10874</v>
      </c>
      <c r="D2428" s="49"/>
      <c r="E2428" s="49"/>
      <c r="F2428" s="49"/>
      <c r="G2428" s="4" t="s">
        <v>10875</v>
      </c>
      <c r="H2428" s="8"/>
      <c r="I2428" s="9" t="s">
        <v>10876</v>
      </c>
      <c r="J2428" s="10"/>
      <c r="K2428" s="11">
        <v>20</v>
      </c>
      <c r="L2428" s="10"/>
      <c r="M2428" s="10" t="s">
        <v>47</v>
      </c>
      <c r="N2428" s="10"/>
      <c r="O2428" s="2">
        <v>2</v>
      </c>
      <c r="P2428" s="17">
        <f>279*(1-S3/100)</f>
        <v>279</v>
      </c>
      <c r="Q2428" s="18"/>
      <c r="R2428" s="10">
        <f t="shared" si="106"/>
        <v>0</v>
      </c>
      <c r="S2428" s="28">
        <f>0.17*Q2428</f>
        <v>0</v>
      </c>
      <c r="T2428" s="20">
        <f>0.00036*Q2428</f>
        <v>0</v>
      </c>
      <c r="U2428" s="21"/>
      <c r="V2428" s="22" t="s">
        <v>10877</v>
      </c>
      <c r="W2428" s="22" t="s">
        <v>49</v>
      </c>
      <c r="X2428" s="3" t="s">
        <v>9794</v>
      </c>
      <c r="Y2428" s="3"/>
      <c r="Z2428" s="3" t="s">
        <v>384</v>
      </c>
      <c r="AA2428" s="3"/>
      <c r="AB2428" s="3"/>
      <c r="AC2428" s="3" t="str">
        <f>HYPERLINK("https://knigipp.ru/api/getInfo/image/7d5654f2-7b51-11eb-a275-ac1f6b442184")</f>
        <v>https://knigipp.ru/api/getInfo/image/7d5654f2-7b51-11eb-a275-ac1f6b442184</v>
      </c>
      <c r="AD2428" s="32">
        <v>272</v>
      </c>
      <c r="AE2428" s="3"/>
      <c r="AF2428" s="3" t="s">
        <v>127</v>
      </c>
      <c r="AG2428" s="3"/>
      <c r="AH2428" s="3" t="s">
        <v>56</v>
      </c>
      <c r="AI2428" s="3"/>
      <c r="AJ2428" s="3" t="s">
        <v>10793</v>
      </c>
      <c r="AK2428" s="3" t="str">
        <f>HYPERLINK("https://knigipp.ru/api/getInfo/item/7d5654f2-7b51-11eb-a275-ac1f6b442184")</f>
        <v>https://knigipp.ru/api/getInfo/item/7d5654f2-7b51-11eb-a275-ac1f6b442184</v>
      </c>
      <c r="AL2428" s="3" t="s">
        <v>10794</v>
      </c>
    </row>
    <row r="2429" spans="1:38" ht="21" customHeight="1" outlineLevel="4" x14ac:dyDescent="0.2">
      <c r="A2429" s="39">
        <v>1881</v>
      </c>
      <c r="B2429" s="3" t="s">
        <v>10878</v>
      </c>
      <c r="C2429" s="49" t="s">
        <v>10879</v>
      </c>
      <c r="D2429" s="49"/>
      <c r="E2429" s="49"/>
      <c r="F2429" s="49"/>
      <c r="G2429" s="4" t="s">
        <v>10880</v>
      </c>
      <c r="H2429" s="8"/>
      <c r="I2429" s="9" t="s">
        <v>10881</v>
      </c>
      <c r="J2429" s="10"/>
      <c r="K2429" s="11">
        <v>20</v>
      </c>
      <c r="L2429" s="10"/>
      <c r="M2429" s="10" t="s">
        <v>47</v>
      </c>
      <c r="N2429" s="10"/>
      <c r="O2429" s="2">
        <v>4</v>
      </c>
      <c r="P2429" s="17">
        <f>179*(1-S3/100)</f>
        <v>179</v>
      </c>
      <c r="Q2429" s="18"/>
      <c r="R2429" s="10">
        <f t="shared" si="106"/>
        <v>0</v>
      </c>
      <c r="S2429" s="19">
        <f>0.203*Q2429</f>
        <v>0</v>
      </c>
      <c r="T2429" s="20">
        <f>0.00124*Q2429</f>
        <v>0</v>
      </c>
      <c r="U2429" s="21"/>
      <c r="V2429" s="22" t="s">
        <v>10882</v>
      </c>
      <c r="W2429" s="22" t="s">
        <v>49</v>
      </c>
      <c r="X2429" s="3" t="s">
        <v>10883</v>
      </c>
      <c r="Y2429" s="3" t="s">
        <v>10884</v>
      </c>
      <c r="Z2429" s="3" t="s">
        <v>384</v>
      </c>
      <c r="AA2429" s="3" t="s">
        <v>6561</v>
      </c>
      <c r="AB2429" s="3"/>
      <c r="AC2429" s="3" t="str">
        <f>HYPERLINK("https://knigipp.ru/api/getInfo/image/91efba20-4ec5-11e8-b825-5cf3fc4a2490")</f>
        <v>https://knigipp.ru/api/getInfo/image/91efba20-4ec5-11e8-b825-5cf3fc4a2490</v>
      </c>
      <c r="AD2429" s="32">
        <v>96</v>
      </c>
      <c r="AE2429" s="3"/>
      <c r="AF2429" s="3" t="s">
        <v>127</v>
      </c>
      <c r="AG2429" s="3"/>
      <c r="AH2429" s="3" t="s">
        <v>56</v>
      </c>
      <c r="AI2429" s="3"/>
      <c r="AJ2429" s="3" t="s">
        <v>10793</v>
      </c>
      <c r="AK2429" s="3" t="str">
        <f>HYPERLINK("https://knigipp.ru/api/getInfo/item/91efba20-4ec5-11e8-b825-5cf3fc4a2490")</f>
        <v>https://knigipp.ru/api/getInfo/item/91efba20-4ec5-11e8-b825-5cf3fc4a2490</v>
      </c>
      <c r="AL2429" s="3" t="s">
        <v>10794</v>
      </c>
    </row>
    <row r="2430" spans="1:38" ht="21" customHeight="1" outlineLevel="4" x14ac:dyDescent="0.2">
      <c r="A2430" s="39">
        <v>1882</v>
      </c>
      <c r="B2430" s="3" t="s">
        <v>10885</v>
      </c>
      <c r="C2430" s="49" t="s">
        <v>10886</v>
      </c>
      <c r="D2430" s="49"/>
      <c r="E2430" s="49"/>
      <c r="F2430" s="49"/>
      <c r="G2430" s="4" t="s">
        <v>10887</v>
      </c>
      <c r="H2430" s="8"/>
      <c r="I2430" s="9" t="s">
        <v>10888</v>
      </c>
      <c r="J2430" s="10"/>
      <c r="K2430" s="11">
        <v>20</v>
      </c>
      <c r="L2430" s="10"/>
      <c r="M2430" s="10" t="s">
        <v>47</v>
      </c>
      <c r="N2430" s="10"/>
      <c r="O2430" s="2">
        <v>4</v>
      </c>
      <c r="P2430" s="17">
        <f>179*(1-S3/100)</f>
        <v>179</v>
      </c>
      <c r="Q2430" s="18"/>
      <c r="R2430" s="10">
        <f t="shared" si="106"/>
        <v>0</v>
      </c>
      <c r="S2430" s="19">
        <f>0.207*Q2430</f>
        <v>0</v>
      </c>
      <c r="T2430" s="20">
        <f>0.00045*Q2430</f>
        <v>0</v>
      </c>
      <c r="U2430" s="21"/>
      <c r="V2430" s="22" t="s">
        <v>10889</v>
      </c>
      <c r="W2430" s="22" t="s">
        <v>49</v>
      </c>
      <c r="X2430" s="3" t="s">
        <v>9438</v>
      </c>
      <c r="Y2430" s="3" t="s">
        <v>10890</v>
      </c>
      <c r="Z2430" s="3" t="s">
        <v>384</v>
      </c>
      <c r="AA2430" s="3" t="s">
        <v>10801</v>
      </c>
      <c r="AB2430" s="3"/>
      <c r="AC2430" s="3" t="str">
        <f>HYPERLINK("https://knigipp.ru/api/getInfo/image/f93f2594-a1e1-11e7-b8ef-5cf3fc4a2490")</f>
        <v>https://knigipp.ru/api/getInfo/image/f93f2594-a1e1-11e7-b8ef-5cf3fc4a2490</v>
      </c>
      <c r="AD2430" s="32">
        <v>112</v>
      </c>
      <c r="AE2430" s="3"/>
      <c r="AF2430" s="3" t="s">
        <v>127</v>
      </c>
      <c r="AG2430" s="3"/>
      <c r="AH2430" s="3" t="s">
        <v>56</v>
      </c>
      <c r="AI2430" s="3"/>
      <c r="AJ2430" s="3" t="s">
        <v>10793</v>
      </c>
      <c r="AK2430" s="3" t="str">
        <f>HYPERLINK("https://knigipp.ru/api/getInfo/item/f93f2594-a1e1-11e7-b8ef-5cf3fc4a2490")</f>
        <v>https://knigipp.ru/api/getInfo/item/f93f2594-a1e1-11e7-b8ef-5cf3fc4a2490</v>
      </c>
      <c r="AL2430" s="3" t="s">
        <v>10794</v>
      </c>
    </row>
    <row r="2431" spans="1:38" ht="21" customHeight="1" outlineLevel="4" x14ac:dyDescent="0.2">
      <c r="A2431" s="39">
        <v>1883</v>
      </c>
      <c r="B2431" s="3" t="s">
        <v>10891</v>
      </c>
      <c r="C2431" s="49" t="s">
        <v>10892</v>
      </c>
      <c r="D2431" s="49"/>
      <c r="E2431" s="49"/>
      <c r="F2431" s="49"/>
      <c r="G2431" s="4" t="s">
        <v>10893</v>
      </c>
      <c r="H2431" s="8"/>
      <c r="I2431" s="9" t="s">
        <v>10894</v>
      </c>
      <c r="J2431" s="10"/>
      <c r="K2431" s="11">
        <v>20</v>
      </c>
      <c r="L2431" s="10"/>
      <c r="M2431" s="10" t="s">
        <v>47</v>
      </c>
      <c r="N2431" s="10"/>
      <c r="O2431" s="2">
        <v>4</v>
      </c>
      <c r="P2431" s="17">
        <f>179*(1-S3/100)</f>
        <v>179</v>
      </c>
      <c r="Q2431" s="18"/>
      <c r="R2431" s="10">
        <f t="shared" si="106"/>
        <v>0</v>
      </c>
      <c r="S2431" s="19">
        <f>0.224*Q2431</f>
        <v>0</v>
      </c>
      <c r="T2431" s="20">
        <f>0.00047*Q2431</f>
        <v>0</v>
      </c>
      <c r="U2431" s="21"/>
      <c r="V2431" s="22" t="s">
        <v>10895</v>
      </c>
      <c r="W2431" s="22" t="s">
        <v>49</v>
      </c>
      <c r="X2431" s="3" t="s">
        <v>10896</v>
      </c>
      <c r="Y2431" s="3" t="s">
        <v>10897</v>
      </c>
      <c r="Z2431" s="3" t="s">
        <v>384</v>
      </c>
      <c r="AA2431" s="3" t="s">
        <v>10801</v>
      </c>
      <c r="AB2431" s="3"/>
      <c r="AC2431" s="3" t="str">
        <f>HYPERLINK("https://knigipp.ru/api/getInfo/image/732536fe-a1e1-11e7-b8ef-5cf3fc4a2490")</f>
        <v>https://knigipp.ru/api/getInfo/image/732536fe-a1e1-11e7-b8ef-5cf3fc4a2490</v>
      </c>
      <c r="AD2431" s="32">
        <v>96</v>
      </c>
      <c r="AE2431" s="3"/>
      <c r="AF2431" s="3" t="s">
        <v>127</v>
      </c>
      <c r="AG2431" s="3"/>
      <c r="AH2431" s="3" t="s">
        <v>56</v>
      </c>
      <c r="AI2431" s="3"/>
      <c r="AJ2431" s="3" t="s">
        <v>10793</v>
      </c>
      <c r="AK2431" s="3" t="str">
        <f>HYPERLINK("https://knigipp.ru/api/getInfo/item/732536fe-a1e1-11e7-b8ef-5cf3fc4a2490")</f>
        <v>https://knigipp.ru/api/getInfo/item/732536fe-a1e1-11e7-b8ef-5cf3fc4a2490</v>
      </c>
      <c r="AL2431" s="3" t="s">
        <v>10794</v>
      </c>
    </row>
    <row r="2432" spans="1:38" ht="21" customHeight="1" outlineLevel="4" x14ac:dyDescent="0.2">
      <c r="A2432" s="39">
        <v>1884</v>
      </c>
      <c r="B2432" s="3" t="s">
        <v>10898</v>
      </c>
      <c r="C2432" s="49" t="s">
        <v>10899</v>
      </c>
      <c r="D2432" s="49"/>
      <c r="E2432" s="49"/>
      <c r="F2432" s="49"/>
      <c r="G2432" s="4" t="s">
        <v>10900</v>
      </c>
      <c r="H2432" s="8"/>
      <c r="I2432" s="9" t="s">
        <v>10901</v>
      </c>
      <c r="J2432" s="10"/>
      <c r="K2432" s="11">
        <v>20</v>
      </c>
      <c r="L2432" s="10"/>
      <c r="M2432" s="10" t="s">
        <v>47</v>
      </c>
      <c r="N2432" s="10"/>
      <c r="O2432" s="2">
        <v>3</v>
      </c>
      <c r="P2432" s="17">
        <f>219*(1-S3/100)</f>
        <v>219</v>
      </c>
      <c r="Q2432" s="18"/>
      <c r="R2432" s="10">
        <f t="shared" si="106"/>
        <v>0</v>
      </c>
      <c r="S2432" s="19">
        <f>0.218*Q2432</f>
        <v>0</v>
      </c>
      <c r="T2432" s="20">
        <f>0.00037*Q2432</f>
        <v>0</v>
      </c>
      <c r="U2432" s="21"/>
      <c r="V2432" s="22" t="s">
        <v>10902</v>
      </c>
      <c r="W2432" s="22" t="s">
        <v>49</v>
      </c>
      <c r="X2432" s="3" t="s">
        <v>10903</v>
      </c>
      <c r="Y2432" s="3" t="s">
        <v>10904</v>
      </c>
      <c r="Z2432" s="3" t="s">
        <v>384</v>
      </c>
      <c r="AA2432" s="3"/>
      <c r="AB2432" s="3"/>
      <c r="AC2432" s="3" t="str">
        <f>HYPERLINK("https://knigipp.ru/api/getInfo/image/2a67996c-7b51-11eb-a275-ac1f6b442184")</f>
        <v>https://knigipp.ru/api/getInfo/image/2a67996c-7b51-11eb-a275-ac1f6b442184</v>
      </c>
      <c r="AD2432" s="32">
        <v>176</v>
      </c>
      <c r="AE2432" s="3"/>
      <c r="AF2432" s="3" t="s">
        <v>127</v>
      </c>
      <c r="AG2432" s="3"/>
      <c r="AH2432" s="3" t="s">
        <v>56</v>
      </c>
      <c r="AI2432" s="3"/>
      <c r="AJ2432" s="3" t="s">
        <v>10793</v>
      </c>
      <c r="AK2432" s="3" t="str">
        <f>HYPERLINK("https://knigipp.ru/api/getInfo/item/2a67996c-7b51-11eb-a275-ac1f6b442184")</f>
        <v>https://knigipp.ru/api/getInfo/item/2a67996c-7b51-11eb-a275-ac1f6b442184</v>
      </c>
      <c r="AL2432" s="3" t="s">
        <v>10794</v>
      </c>
    </row>
    <row r="2433" spans="1:38" ht="21" customHeight="1" outlineLevel="4" x14ac:dyDescent="0.2">
      <c r="A2433" s="39">
        <v>1885</v>
      </c>
      <c r="B2433" s="3" t="s">
        <v>10905</v>
      </c>
      <c r="C2433" s="49" t="s">
        <v>10906</v>
      </c>
      <c r="D2433" s="49"/>
      <c r="E2433" s="49"/>
      <c r="F2433" s="49"/>
      <c r="G2433" s="4" t="s">
        <v>10907</v>
      </c>
      <c r="H2433" s="8"/>
      <c r="I2433" s="9" t="s">
        <v>10908</v>
      </c>
      <c r="J2433" s="10"/>
      <c r="K2433" s="11">
        <v>20</v>
      </c>
      <c r="L2433" s="10"/>
      <c r="M2433" s="10" t="s">
        <v>47</v>
      </c>
      <c r="N2433" s="10"/>
      <c r="O2433" s="2">
        <v>1</v>
      </c>
      <c r="P2433" s="17">
        <f>499*(1-S3/100)</f>
        <v>499</v>
      </c>
      <c r="Q2433" s="18"/>
      <c r="R2433" s="10">
        <f t="shared" si="106"/>
        <v>0</v>
      </c>
      <c r="S2433" s="19">
        <f>0.387*Q2433</f>
        <v>0</v>
      </c>
      <c r="T2433" s="20">
        <f>0.00078*Q2433</f>
        <v>0</v>
      </c>
      <c r="U2433" s="21"/>
      <c r="V2433" s="22" t="s">
        <v>10909</v>
      </c>
      <c r="W2433" s="22" t="s">
        <v>49</v>
      </c>
      <c r="X2433" s="3" t="s">
        <v>10910</v>
      </c>
      <c r="Y2433" s="3" t="s">
        <v>10911</v>
      </c>
      <c r="Z2433" s="3" t="s">
        <v>384</v>
      </c>
      <c r="AA2433" s="3"/>
      <c r="AB2433" s="3"/>
      <c r="AC2433" s="3" t="str">
        <f>HYPERLINK("https://knigipp.ru/api/getInfo/image/f61d5ffd-ae4d-11ef-a267-00155d82e908")</f>
        <v>https://knigipp.ru/api/getInfo/image/f61d5ffd-ae4d-11ef-a267-00155d82e908</v>
      </c>
      <c r="AD2433" s="32">
        <v>272</v>
      </c>
      <c r="AE2433" s="3"/>
      <c r="AF2433" s="3" t="s">
        <v>127</v>
      </c>
      <c r="AG2433" s="3"/>
      <c r="AH2433" s="3" t="s">
        <v>56</v>
      </c>
      <c r="AI2433" s="3"/>
      <c r="AJ2433" s="3" t="s">
        <v>10793</v>
      </c>
      <c r="AK2433" s="3" t="str">
        <f>HYPERLINK("https://knigipp.ru/api/getInfo/item/f61d5ffd-ae4d-11ef-a267-00155d82e908")</f>
        <v>https://knigipp.ru/api/getInfo/item/f61d5ffd-ae4d-11ef-a267-00155d82e908</v>
      </c>
      <c r="AL2433" s="3" t="s">
        <v>10912</v>
      </c>
    </row>
    <row r="2434" spans="1:38" ht="21" customHeight="1" outlineLevel="4" x14ac:dyDescent="0.2">
      <c r="A2434" s="39">
        <v>1886</v>
      </c>
      <c r="B2434" s="3" t="s">
        <v>10913</v>
      </c>
      <c r="C2434" s="49" t="s">
        <v>10914</v>
      </c>
      <c r="D2434" s="49"/>
      <c r="E2434" s="49"/>
      <c r="F2434" s="49"/>
      <c r="G2434" s="4" t="s">
        <v>10915</v>
      </c>
      <c r="H2434" s="8"/>
      <c r="I2434" s="9" t="s">
        <v>10916</v>
      </c>
      <c r="J2434" s="10"/>
      <c r="K2434" s="11">
        <v>20</v>
      </c>
      <c r="L2434" s="10"/>
      <c r="M2434" s="10" t="s">
        <v>304</v>
      </c>
      <c r="N2434" s="10"/>
      <c r="O2434" s="2">
        <v>4</v>
      </c>
      <c r="P2434" s="17">
        <f>179*(1-S3/100)</f>
        <v>179</v>
      </c>
      <c r="Q2434" s="18"/>
      <c r="R2434" s="10">
        <f t="shared" si="106"/>
        <v>0</v>
      </c>
      <c r="S2434" s="19">
        <f>0.188*Q2434</f>
        <v>0</v>
      </c>
      <c r="T2434" s="20">
        <f>0.00042*Q2434</f>
        <v>0</v>
      </c>
      <c r="U2434" s="21"/>
      <c r="V2434" s="22" t="s">
        <v>10917</v>
      </c>
      <c r="W2434" s="22" t="s">
        <v>49</v>
      </c>
      <c r="X2434" s="3" t="s">
        <v>10641</v>
      </c>
      <c r="Y2434" s="3" t="s">
        <v>10918</v>
      </c>
      <c r="Z2434" s="3" t="s">
        <v>384</v>
      </c>
      <c r="AA2434" s="3" t="s">
        <v>6561</v>
      </c>
      <c r="AB2434" s="3"/>
      <c r="AC2434" s="3" t="str">
        <f>HYPERLINK("https://knigipp.ru/api/getInfo/image/a45682fb-4ec5-11e8-b825-5cf3fc4a2490")</f>
        <v>https://knigipp.ru/api/getInfo/image/a45682fb-4ec5-11e8-b825-5cf3fc4a2490</v>
      </c>
      <c r="AD2434" s="32">
        <v>96</v>
      </c>
      <c r="AE2434" s="3"/>
      <c r="AF2434" s="3" t="s">
        <v>127</v>
      </c>
      <c r="AG2434" s="3"/>
      <c r="AH2434" s="3" t="s">
        <v>56</v>
      </c>
      <c r="AI2434" s="3"/>
      <c r="AJ2434" s="3" t="s">
        <v>10793</v>
      </c>
      <c r="AK2434" s="3" t="str">
        <f>HYPERLINK("https://knigipp.ru/api/getInfo/item/a45682fb-4ec5-11e8-b825-5cf3fc4a2490")</f>
        <v>https://knigipp.ru/api/getInfo/item/a45682fb-4ec5-11e8-b825-5cf3fc4a2490</v>
      </c>
      <c r="AL2434" s="3" t="s">
        <v>10794</v>
      </c>
    </row>
    <row r="2435" spans="1:38" ht="21" customHeight="1" outlineLevel="4" x14ac:dyDescent="0.2">
      <c r="A2435" s="39">
        <v>1887</v>
      </c>
      <c r="B2435" s="3" t="s">
        <v>10919</v>
      </c>
      <c r="C2435" s="49" t="s">
        <v>10920</v>
      </c>
      <c r="D2435" s="49"/>
      <c r="E2435" s="49"/>
      <c r="F2435" s="49"/>
      <c r="G2435" s="4" t="s">
        <v>10921</v>
      </c>
      <c r="H2435" s="8"/>
      <c r="I2435" s="9" t="s">
        <v>10922</v>
      </c>
      <c r="J2435" s="10"/>
      <c r="K2435" s="11">
        <v>20</v>
      </c>
      <c r="L2435" s="10"/>
      <c r="M2435" s="10" t="s">
        <v>47</v>
      </c>
      <c r="N2435" s="10"/>
      <c r="O2435" s="2">
        <v>3</v>
      </c>
      <c r="P2435" s="17">
        <f>219*(1-S3/100)</f>
        <v>219</v>
      </c>
      <c r="Q2435" s="18"/>
      <c r="R2435" s="10">
        <f t="shared" si="106"/>
        <v>0</v>
      </c>
      <c r="S2435" s="19">
        <f>0.218*Q2435</f>
        <v>0</v>
      </c>
      <c r="T2435" s="20">
        <f>0.00037*Q2435</f>
        <v>0</v>
      </c>
      <c r="U2435" s="21"/>
      <c r="V2435" s="22" t="s">
        <v>10923</v>
      </c>
      <c r="W2435" s="22" t="s">
        <v>49</v>
      </c>
      <c r="X2435" s="3" t="s">
        <v>10924</v>
      </c>
      <c r="Y2435" s="3"/>
      <c r="Z2435" s="3" t="s">
        <v>384</v>
      </c>
      <c r="AA2435" s="3" t="s">
        <v>10425</v>
      </c>
      <c r="AB2435" s="3"/>
      <c r="AC2435" s="3" t="str">
        <f>HYPERLINK("https://knigipp.ru/api/getInfo/image/253fd0a5-79a3-11e6-97ea-5cf3fc4a2490")</f>
        <v>https://knigipp.ru/api/getInfo/image/253fd0a5-79a3-11e6-97ea-5cf3fc4a2490</v>
      </c>
      <c r="AD2435" s="32">
        <v>128</v>
      </c>
      <c r="AE2435" s="3"/>
      <c r="AF2435" s="3" t="s">
        <v>127</v>
      </c>
      <c r="AG2435" s="3"/>
      <c r="AH2435" s="3" t="s">
        <v>56</v>
      </c>
      <c r="AI2435" s="3"/>
      <c r="AJ2435" s="3" t="s">
        <v>10793</v>
      </c>
      <c r="AK2435" s="3" t="str">
        <f>HYPERLINK("https://knigipp.ru/api/getInfo/item/253fd0a5-79a3-11e6-97ea-5cf3fc4a2490")</f>
        <v>https://knigipp.ru/api/getInfo/item/253fd0a5-79a3-11e6-97ea-5cf3fc4a2490</v>
      </c>
      <c r="AL2435" s="3" t="s">
        <v>10794</v>
      </c>
    </row>
    <row r="2436" spans="1:38" ht="21" customHeight="1" outlineLevel="4" x14ac:dyDescent="0.2">
      <c r="A2436" s="39">
        <v>1888</v>
      </c>
      <c r="B2436" s="3" t="s">
        <v>10925</v>
      </c>
      <c r="C2436" s="49" t="s">
        <v>10926</v>
      </c>
      <c r="D2436" s="49"/>
      <c r="E2436" s="49"/>
      <c r="F2436" s="49"/>
      <c r="G2436" s="4" t="s">
        <v>10927</v>
      </c>
      <c r="H2436" s="8"/>
      <c r="I2436" s="9" t="s">
        <v>10928</v>
      </c>
      <c r="J2436" s="10"/>
      <c r="K2436" s="11">
        <v>20</v>
      </c>
      <c r="L2436" s="10"/>
      <c r="M2436" s="10" t="s">
        <v>47</v>
      </c>
      <c r="N2436" s="10"/>
      <c r="O2436" s="2">
        <v>3</v>
      </c>
      <c r="P2436" s="17">
        <f>219*(1-S3/100)</f>
        <v>219</v>
      </c>
      <c r="Q2436" s="18"/>
      <c r="R2436" s="10">
        <f t="shared" si="106"/>
        <v>0</v>
      </c>
      <c r="S2436" s="19">
        <f>0.222*Q2436</f>
        <v>0</v>
      </c>
      <c r="T2436" s="20">
        <f>0.00039*Q2436</f>
        <v>0</v>
      </c>
      <c r="U2436" s="21"/>
      <c r="V2436" s="22" t="s">
        <v>10929</v>
      </c>
      <c r="W2436" s="22" t="s">
        <v>49</v>
      </c>
      <c r="X2436" s="3" t="s">
        <v>10930</v>
      </c>
      <c r="Y2436" s="3" t="s">
        <v>10931</v>
      </c>
      <c r="Z2436" s="3" t="s">
        <v>52</v>
      </c>
      <c r="AA2436" s="3" t="s">
        <v>10029</v>
      </c>
      <c r="AB2436" s="3"/>
      <c r="AC2436" s="3" t="str">
        <f>HYPERLINK("https://knigipp.ru/api/getInfo/image/36c21c7b-79a3-11e6-97ea-5cf3fc4a2490")</f>
        <v>https://knigipp.ru/api/getInfo/image/36c21c7b-79a3-11e6-97ea-5cf3fc4a2490</v>
      </c>
      <c r="AD2436" s="32">
        <v>128</v>
      </c>
      <c r="AE2436" s="3"/>
      <c r="AF2436" s="3" t="s">
        <v>127</v>
      </c>
      <c r="AG2436" s="3"/>
      <c r="AH2436" s="3" t="s">
        <v>56</v>
      </c>
      <c r="AI2436" s="3"/>
      <c r="AJ2436" s="3" t="s">
        <v>10793</v>
      </c>
      <c r="AK2436" s="3" t="str">
        <f>HYPERLINK("https://knigipp.ru/api/getInfo/item/36c21c7b-79a3-11e6-97ea-5cf3fc4a2490")</f>
        <v>https://knigipp.ru/api/getInfo/item/36c21c7b-79a3-11e6-97ea-5cf3fc4a2490</v>
      </c>
      <c r="AL2436" s="3" t="s">
        <v>10794</v>
      </c>
    </row>
    <row r="2437" spans="1:38" ht="21" customHeight="1" outlineLevel="4" x14ac:dyDescent="0.2">
      <c r="A2437" s="39">
        <v>1889</v>
      </c>
      <c r="B2437" s="3" t="s">
        <v>10932</v>
      </c>
      <c r="C2437" s="49" t="s">
        <v>10933</v>
      </c>
      <c r="D2437" s="49"/>
      <c r="E2437" s="49"/>
      <c r="F2437" s="49"/>
      <c r="G2437" s="4" t="s">
        <v>10934</v>
      </c>
      <c r="H2437" s="8"/>
      <c r="I2437" s="9" t="s">
        <v>10935</v>
      </c>
      <c r="J2437" s="10"/>
      <c r="K2437" s="11">
        <v>10</v>
      </c>
      <c r="L2437" s="10"/>
      <c r="M2437" s="10" t="s">
        <v>78</v>
      </c>
      <c r="N2437" s="10"/>
      <c r="O2437" s="2">
        <v>4</v>
      </c>
      <c r="P2437" s="17">
        <f>179*(1-S3/100)</f>
        <v>179</v>
      </c>
      <c r="Q2437" s="18"/>
      <c r="R2437" s="10">
        <f t="shared" si="106"/>
        <v>0</v>
      </c>
      <c r="S2437" s="19">
        <f>0.202*Q2437</f>
        <v>0</v>
      </c>
      <c r="T2437" s="20">
        <f>0.00043*Q2437</f>
        <v>0</v>
      </c>
      <c r="U2437" s="21"/>
      <c r="V2437" s="22" t="s">
        <v>10936</v>
      </c>
      <c r="W2437" s="22" t="s">
        <v>49</v>
      </c>
      <c r="X2437" s="3" t="s">
        <v>10937</v>
      </c>
      <c r="Y2437" s="3" t="s">
        <v>10938</v>
      </c>
      <c r="Z2437" s="3" t="s">
        <v>52</v>
      </c>
      <c r="AA2437" s="3" t="s">
        <v>10939</v>
      </c>
      <c r="AB2437" s="3"/>
      <c r="AC2437" s="3" t="str">
        <f>HYPERLINK("https://knigipp.ru/api/getInfo/image/c45bc7eb-ccc1-11ee-a25a-00155d82e908")</f>
        <v>https://knigipp.ru/api/getInfo/image/c45bc7eb-ccc1-11ee-a25a-00155d82e908</v>
      </c>
      <c r="AD2437" s="32">
        <v>96</v>
      </c>
      <c r="AE2437" s="3" t="s">
        <v>54</v>
      </c>
      <c r="AF2437" s="3" t="s">
        <v>127</v>
      </c>
      <c r="AG2437" s="3"/>
      <c r="AH2437" s="3" t="s">
        <v>56</v>
      </c>
      <c r="AI2437" s="3"/>
      <c r="AJ2437" s="3" t="s">
        <v>10793</v>
      </c>
      <c r="AK2437" s="3" t="str">
        <f>HYPERLINK("https://knigipp.ru/api/getInfo/item/c45bc7eb-ccc1-11ee-a25a-00155d82e908")</f>
        <v>https://knigipp.ru/api/getInfo/item/c45bc7eb-ccc1-11ee-a25a-00155d82e908</v>
      </c>
      <c r="AL2437" s="3" t="s">
        <v>10940</v>
      </c>
    </row>
    <row r="2438" spans="1:38" ht="21" customHeight="1" outlineLevel="4" x14ac:dyDescent="0.2">
      <c r="A2438" s="39">
        <v>1890</v>
      </c>
      <c r="B2438" s="3" t="s">
        <v>10941</v>
      </c>
      <c r="C2438" s="49" t="s">
        <v>10942</v>
      </c>
      <c r="D2438" s="49"/>
      <c r="E2438" s="49"/>
      <c r="F2438" s="49"/>
      <c r="G2438" s="4" t="s">
        <v>10943</v>
      </c>
      <c r="H2438" s="8"/>
      <c r="I2438" s="9" t="s">
        <v>10944</v>
      </c>
      <c r="J2438" s="10"/>
      <c r="K2438" s="11">
        <v>20</v>
      </c>
      <c r="L2438" s="10"/>
      <c r="M2438" s="10" t="s">
        <v>47</v>
      </c>
      <c r="N2438" s="10"/>
      <c r="O2438" s="2">
        <v>4</v>
      </c>
      <c r="P2438" s="17">
        <f>179*(1-S3/100)</f>
        <v>179</v>
      </c>
      <c r="Q2438" s="18"/>
      <c r="R2438" s="10">
        <f t="shared" si="106"/>
        <v>0</v>
      </c>
      <c r="S2438" s="19">
        <f>0.202*Q2438</f>
        <v>0</v>
      </c>
      <c r="T2438" s="20">
        <f>0.00038*Q2438</f>
        <v>0</v>
      </c>
      <c r="U2438" s="21"/>
      <c r="V2438" s="22" t="s">
        <v>10945</v>
      </c>
      <c r="W2438" s="22" t="s">
        <v>49</v>
      </c>
      <c r="X2438" s="3" t="s">
        <v>10056</v>
      </c>
      <c r="Y2438" s="3" t="s">
        <v>10946</v>
      </c>
      <c r="Z2438" s="3" t="s">
        <v>384</v>
      </c>
      <c r="AA2438" s="3" t="s">
        <v>6561</v>
      </c>
      <c r="AB2438" s="3"/>
      <c r="AC2438" s="3" t="str">
        <f>HYPERLINK("https://knigipp.ru/api/getInfo/image/e0194136-4ec5-11e8-b825-5cf3fc4a2490")</f>
        <v>https://knigipp.ru/api/getInfo/image/e0194136-4ec5-11e8-b825-5cf3fc4a2490</v>
      </c>
      <c r="AD2438" s="32">
        <v>112</v>
      </c>
      <c r="AE2438" s="3"/>
      <c r="AF2438" s="3" t="s">
        <v>127</v>
      </c>
      <c r="AG2438" s="3"/>
      <c r="AH2438" s="3" t="s">
        <v>56</v>
      </c>
      <c r="AI2438" s="3"/>
      <c r="AJ2438" s="3" t="s">
        <v>10793</v>
      </c>
      <c r="AK2438" s="3" t="str">
        <f>HYPERLINK("https://knigipp.ru/api/getInfo/item/e0194136-4ec5-11e8-b825-5cf3fc4a2490")</f>
        <v>https://knigipp.ru/api/getInfo/item/e0194136-4ec5-11e8-b825-5cf3fc4a2490</v>
      </c>
      <c r="AL2438" s="3" t="s">
        <v>10794</v>
      </c>
    </row>
    <row r="2439" spans="1:38" ht="21" customHeight="1" outlineLevel="4" x14ac:dyDescent="0.2">
      <c r="A2439" s="39">
        <v>1891</v>
      </c>
      <c r="B2439" s="3" t="s">
        <v>10947</v>
      </c>
      <c r="C2439" s="49" t="s">
        <v>10948</v>
      </c>
      <c r="D2439" s="49"/>
      <c r="E2439" s="49"/>
      <c r="F2439" s="49"/>
      <c r="G2439" s="4" t="s">
        <v>10949</v>
      </c>
      <c r="H2439" s="8"/>
      <c r="I2439" s="9" t="s">
        <v>10950</v>
      </c>
      <c r="J2439" s="10"/>
      <c r="K2439" s="11">
        <v>20</v>
      </c>
      <c r="L2439" s="10"/>
      <c r="M2439" s="10" t="s">
        <v>47</v>
      </c>
      <c r="N2439" s="10"/>
      <c r="O2439" s="2">
        <v>2</v>
      </c>
      <c r="P2439" s="17">
        <f>347*(1-S3/100)</f>
        <v>347</v>
      </c>
      <c r="Q2439" s="18"/>
      <c r="R2439" s="10">
        <f t="shared" si="106"/>
        <v>0</v>
      </c>
      <c r="S2439" s="19">
        <f>0.202*Q2439</f>
        <v>0</v>
      </c>
      <c r="T2439" s="20">
        <f>0.00024*Q2439</f>
        <v>0</v>
      </c>
      <c r="U2439" s="21"/>
      <c r="V2439" s="22" t="s">
        <v>10951</v>
      </c>
      <c r="W2439" s="22" t="s">
        <v>49</v>
      </c>
      <c r="X2439" s="3" t="s">
        <v>10952</v>
      </c>
      <c r="Y2439" s="3" t="s">
        <v>10953</v>
      </c>
      <c r="Z2439" s="3" t="s">
        <v>52</v>
      </c>
      <c r="AA2439" s="3"/>
      <c r="AB2439" s="3"/>
      <c r="AC2439" s="3" t="str">
        <f>HYPERLINK("https://knigipp.ru/api/getInfo/image/2a977cfb-84cc-11f0-a284-00155d82e908")</f>
        <v>https://knigipp.ru/api/getInfo/image/2a977cfb-84cc-11f0-a284-00155d82e908</v>
      </c>
      <c r="AD2439" s="32">
        <v>96</v>
      </c>
      <c r="AE2439" s="3" t="s">
        <v>54</v>
      </c>
      <c r="AF2439" s="3" t="s">
        <v>127</v>
      </c>
      <c r="AG2439" s="3"/>
      <c r="AH2439" s="3" t="s">
        <v>56</v>
      </c>
      <c r="AI2439" s="3"/>
      <c r="AJ2439" s="3" t="s">
        <v>10793</v>
      </c>
      <c r="AK2439" s="3" t="str">
        <f>HYPERLINK("https://knigipp.ru/api/getInfo/item/2a977cfb-84cc-11f0-a284-00155d82e908")</f>
        <v>https://knigipp.ru/api/getInfo/item/2a977cfb-84cc-11f0-a284-00155d82e908</v>
      </c>
      <c r="AL2439" s="3" t="s">
        <v>10794</v>
      </c>
    </row>
    <row r="2440" spans="1:38" ht="21" customHeight="1" outlineLevel="4" x14ac:dyDescent="0.2">
      <c r="A2440" s="39">
        <v>1892</v>
      </c>
      <c r="B2440" s="3" t="s">
        <v>10954</v>
      </c>
      <c r="C2440" s="49" t="s">
        <v>10955</v>
      </c>
      <c r="D2440" s="49"/>
      <c r="E2440" s="49"/>
      <c r="F2440" s="49"/>
      <c r="G2440" s="4" t="s">
        <v>10956</v>
      </c>
      <c r="H2440" s="8"/>
      <c r="I2440" s="9" t="s">
        <v>10957</v>
      </c>
      <c r="J2440" s="10"/>
      <c r="K2440" s="11">
        <v>20</v>
      </c>
      <c r="L2440" s="10"/>
      <c r="M2440" s="10" t="s">
        <v>47</v>
      </c>
      <c r="N2440" s="10"/>
      <c r="O2440" s="2">
        <v>2</v>
      </c>
      <c r="P2440" s="17">
        <f>347*(1-S3/100)</f>
        <v>347</v>
      </c>
      <c r="Q2440" s="18"/>
      <c r="R2440" s="10">
        <f t="shared" si="106"/>
        <v>0</v>
      </c>
      <c r="S2440" s="19">
        <f>0.218*Q2440</f>
        <v>0</v>
      </c>
      <c r="T2440" s="20">
        <f>0.00037*Q2440</f>
        <v>0</v>
      </c>
      <c r="U2440" s="21"/>
      <c r="V2440" s="22" t="s">
        <v>10958</v>
      </c>
      <c r="W2440" s="22" t="s">
        <v>49</v>
      </c>
      <c r="X2440" s="3" t="s">
        <v>4754</v>
      </c>
      <c r="Y2440" s="3" t="s">
        <v>10959</v>
      </c>
      <c r="Z2440" s="3" t="s">
        <v>384</v>
      </c>
      <c r="AA2440" s="3"/>
      <c r="AB2440" s="3"/>
      <c r="AC2440" s="3" t="str">
        <f>HYPERLINK("https://knigipp.ru/api/getInfo/image/621ab8bf-f5c9-11ef-a274-00155d82e908")</f>
        <v>https://knigipp.ru/api/getInfo/image/621ab8bf-f5c9-11ef-a274-00155d82e908</v>
      </c>
      <c r="AD2440" s="32">
        <v>128</v>
      </c>
      <c r="AE2440" s="3"/>
      <c r="AF2440" s="3" t="s">
        <v>127</v>
      </c>
      <c r="AG2440" s="3"/>
      <c r="AH2440" s="3" t="s">
        <v>56</v>
      </c>
      <c r="AI2440" s="3"/>
      <c r="AJ2440" s="3" t="s">
        <v>10793</v>
      </c>
      <c r="AK2440" s="3" t="str">
        <f>HYPERLINK("https://knigipp.ru/api/getInfo/item/621ab8bf-f5c9-11ef-a274-00155d82e908")</f>
        <v>https://knigipp.ru/api/getInfo/item/621ab8bf-f5c9-11ef-a274-00155d82e908</v>
      </c>
      <c r="AL2440" s="3" t="s">
        <v>976</v>
      </c>
    </row>
    <row r="2441" spans="1:38" ht="21" customHeight="1" outlineLevel="4" x14ac:dyDescent="0.2">
      <c r="A2441" s="39">
        <v>1893</v>
      </c>
      <c r="B2441" s="3" t="s">
        <v>10960</v>
      </c>
      <c r="C2441" s="49" t="s">
        <v>10961</v>
      </c>
      <c r="D2441" s="49"/>
      <c r="E2441" s="49"/>
      <c r="F2441" s="49"/>
      <c r="G2441" s="4" t="s">
        <v>10962</v>
      </c>
      <c r="H2441" s="8"/>
      <c r="I2441" s="9" t="s">
        <v>10963</v>
      </c>
      <c r="J2441" s="10"/>
      <c r="K2441" s="11">
        <v>20</v>
      </c>
      <c r="L2441" s="10"/>
      <c r="M2441" s="10" t="s">
        <v>47</v>
      </c>
      <c r="N2441" s="10"/>
      <c r="O2441" s="2">
        <v>3</v>
      </c>
      <c r="P2441" s="17">
        <f>219*(1-S3/100)</f>
        <v>219</v>
      </c>
      <c r="Q2441" s="18"/>
      <c r="R2441" s="10">
        <f t="shared" si="106"/>
        <v>0</v>
      </c>
      <c r="S2441" s="28">
        <f>0.22*Q2441</f>
        <v>0</v>
      </c>
      <c r="T2441" s="20">
        <f>0.00047*Q2441</f>
        <v>0</v>
      </c>
      <c r="U2441" s="21"/>
      <c r="V2441" s="22" t="s">
        <v>10964</v>
      </c>
      <c r="W2441" s="22" t="s">
        <v>49</v>
      </c>
      <c r="X2441" s="3" t="s">
        <v>10258</v>
      </c>
      <c r="Y2441" s="3" t="s">
        <v>10965</v>
      </c>
      <c r="Z2441" s="3" t="s">
        <v>52</v>
      </c>
      <c r="AA2441" s="3"/>
      <c r="AB2441" s="3"/>
      <c r="AC2441" s="3" t="str">
        <f>HYPERLINK("https://knigipp.ru/api/getInfo/image/acd16c0b-f39a-11eb-a20d-ac1f6b442185")</f>
        <v>https://knigipp.ru/api/getInfo/image/acd16c0b-f39a-11eb-a20d-ac1f6b442185</v>
      </c>
      <c r="AD2441" s="32">
        <v>128</v>
      </c>
      <c r="AE2441" s="3"/>
      <c r="AF2441" s="3" t="s">
        <v>127</v>
      </c>
      <c r="AG2441" s="3"/>
      <c r="AH2441" s="3" t="s">
        <v>56</v>
      </c>
      <c r="AI2441" s="3"/>
      <c r="AJ2441" s="3" t="s">
        <v>10793</v>
      </c>
      <c r="AK2441" s="3" t="str">
        <f>HYPERLINK("https://knigipp.ru/api/getInfo/item/acd16c0b-f39a-11eb-a20d-ac1f6b442185")</f>
        <v>https://knigipp.ru/api/getInfo/item/acd16c0b-f39a-11eb-a20d-ac1f6b442185</v>
      </c>
      <c r="AL2441" s="3" t="s">
        <v>10794</v>
      </c>
    </row>
    <row r="2442" spans="1:38" ht="21" customHeight="1" outlineLevel="4" x14ac:dyDescent="0.2">
      <c r="A2442" s="39">
        <v>1894</v>
      </c>
      <c r="B2442" s="3" t="s">
        <v>10966</v>
      </c>
      <c r="C2442" s="49" t="s">
        <v>10967</v>
      </c>
      <c r="D2442" s="49"/>
      <c r="E2442" s="49"/>
      <c r="F2442" s="49"/>
      <c r="G2442" s="4" t="s">
        <v>10968</v>
      </c>
      <c r="H2442" s="8"/>
      <c r="I2442" s="9" t="s">
        <v>10969</v>
      </c>
      <c r="J2442" s="10"/>
      <c r="K2442" s="11">
        <v>20</v>
      </c>
      <c r="L2442" s="10"/>
      <c r="M2442" s="10" t="s">
        <v>47</v>
      </c>
      <c r="N2442" s="10"/>
      <c r="O2442" s="2">
        <v>3</v>
      </c>
      <c r="P2442" s="17">
        <f>219*(1-S3/100)</f>
        <v>219</v>
      </c>
      <c r="Q2442" s="18"/>
      <c r="R2442" s="10">
        <f t="shared" si="106"/>
        <v>0</v>
      </c>
      <c r="S2442" s="19">
        <f>0.218*Q2442</f>
        <v>0</v>
      </c>
      <c r="T2442" s="20">
        <f>0.00037*Q2442</f>
        <v>0</v>
      </c>
      <c r="U2442" s="21"/>
      <c r="V2442" s="22" t="s">
        <v>10970</v>
      </c>
      <c r="W2442" s="22" t="s">
        <v>49</v>
      </c>
      <c r="X2442" s="3"/>
      <c r="Y2442" s="3" t="s">
        <v>10971</v>
      </c>
      <c r="Z2442" s="3" t="s">
        <v>52</v>
      </c>
      <c r="AA2442" s="3" t="s">
        <v>8336</v>
      </c>
      <c r="AB2442" s="3"/>
      <c r="AC2442" s="3" t="str">
        <f>HYPERLINK("https://knigipp.ru/api/getInfo/image/69efd77b-79a3-11e6-97ea-5cf3fc4a2490")</f>
        <v>https://knigipp.ru/api/getInfo/image/69efd77b-79a3-11e6-97ea-5cf3fc4a2490</v>
      </c>
      <c r="AD2442" s="32">
        <v>128</v>
      </c>
      <c r="AE2442" s="3"/>
      <c r="AF2442" s="3" t="s">
        <v>127</v>
      </c>
      <c r="AG2442" s="3"/>
      <c r="AH2442" s="3" t="s">
        <v>56</v>
      </c>
      <c r="AI2442" s="3"/>
      <c r="AJ2442" s="3" t="s">
        <v>10793</v>
      </c>
      <c r="AK2442" s="3" t="str">
        <f>HYPERLINK("https://knigipp.ru/api/getInfo/item/69efd77b-79a3-11e6-97ea-5cf3fc4a2490")</f>
        <v>https://knigipp.ru/api/getInfo/item/69efd77b-79a3-11e6-97ea-5cf3fc4a2490</v>
      </c>
      <c r="AL2442" s="3" t="s">
        <v>10794</v>
      </c>
    </row>
    <row r="2443" spans="1:38" ht="21" customHeight="1" outlineLevel="4" x14ac:dyDescent="0.2">
      <c r="A2443" s="39">
        <v>1895</v>
      </c>
      <c r="B2443" s="3" t="s">
        <v>10972</v>
      </c>
      <c r="C2443" s="49" t="s">
        <v>10973</v>
      </c>
      <c r="D2443" s="49"/>
      <c r="E2443" s="49"/>
      <c r="F2443" s="49"/>
      <c r="G2443" s="4" t="s">
        <v>10974</v>
      </c>
      <c r="H2443" s="8"/>
      <c r="I2443" s="9" t="s">
        <v>10975</v>
      </c>
      <c r="J2443" s="10"/>
      <c r="K2443" s="11">
        <v>20</v>
      </c>
      <c r="L2443" s="10"/>
      <c r="M2443" s="10" t="s">
        <v>47</v>
      </c>
      <c r="N2443" s="10"/>
      <c r="O2443" s="2">
        <v>3</v>
      </c>
      <c r="P2443" s="17">
        <f>219*(1-S3/100)</f>
        <v>219</v>
      </c>
      <c r="Q2443" s="18"/>
      <c r="R2443" s="10">
        <f t="shared" si="106"/>
        <v>0</v>
      </c>
      <c r="S2443" s="19">
        <f>0.218*Q2443</f>
        <v>0</v>
      </c>
      <c r="T2443" s="20">
        <f>0.00037*Q2443</f>
        <v>0</v>
      </c>
      <c r="U2443" s="21"/>
      <c r="V2443" s="22" t="s">
        <v>10976</v>
      </c>
      <c r="W2443" s="22" t="s">
        <v>49</v>
      </c>
      <c r="X2443" s="3" t="s">
        <v>10977</v>
      </c>
      <c r="Y2443" s="3" t="s">
        <v>10978</v>
      </c>
      <c r="Z2443" s="3" t="s">
        <v>52</v>
      </c>
      <c r="AA2443" s="3" t="s">
        <v>3251</v>
      </c>
      <c r="AB2443" s="3"/>
      <c r="AC2443" s="3" t="str">
        <f>HYPERLINK("https://knigipp.ru/api/getInfo/image/7a972418-79a3-11e6-97ea-5cf3fc4a2490")</f>
        <v>https://knigipp.ru/api/getInfo/image/7a972418-79a3-11e6-97ea-5cf3fc4a2490</v>
      </c>
      <c r="AD2443" s="32">
        <v>128</v>
      </c>
      <c r="AE2443" s="3"/>
      <c r="AF2443" s="3" t="s">
        <v>127</v>
      </c>
      <c r="AG2443" s="3"/>
      <c r="AH2443" s="3" t="s">
        <v>56</v>
      </c>
      <c r="AI2443" s="3"/>
      <c r="AJ2443" s="3" t="s">
        <v>10793</v>
      </c>
      <c r="AK2443" s="3" t="str">
        <f>HYPERLINK("https://knigipp.ru/api/getInfo/item/7a972418-79a3-11e6-97ea-5cf3fc4a2490")</f>
        <v>https://knigipp.ru/api/getInfo/item/7a972418-79a3-11e6-97ea-5cf3fc4a2490</v>
      </c>
      <c r="AL2443" s="3" t="s">
        <v>10794</v>
      </c>
    </row>
    <row r="2444" spans="1:38" ht="21" customHeight="1" outlineLevel="4" x14ac:dyDescent="0.2">
      <c r="A2444" s="39">
        <v>1896</v>
      </c>
      <c r="B2444" s="3" t="s">
        <v>10979</v>
      </c>
      <c r="C2444" s="49" t="s">
        <v>10980</v>
      </c>
      <c r="D2444" s="49"/>
      <c r="E2444" s="49"/>
      <c r="F2444" s="49"/>
      <c r="G2444" s="4" t="s">
        <v>10981</v>
      </c>
      <c r="H2444" s="8"/>
      <c r="I2444" s="9" t="s">
        <v>10982</v>
      </c>
      <c r="J2444" s="10"/>
      <c r="K2444" s="11">
        <v>20</v>
      </c>
      <c r="L2444" s="10"/>
      <c r="M2444" s="10" t="s">
        <v>47</v>
      </c>
      <c r="N2444" s="10"/>
      <c r="O2444" s="2">
        <v>3</v>
      </c>
      <c r="P2444" s="17">
        <f>219*(1-S3/100)</f>
        <v>219</v>
      </c>
      <c r="Q2444" s="18"/>
      <c r="R2444" s="10">
        <f t="shared" si="106"/>
        <v>0</v>
      </c>
      <c r="S2444" s="19">
        <f>0.202*Q2444</f>
        <v>0</v>
      </c>
      <c r="T2444" s="20">
        <f>0.00038*Q2444</f>
        <v>0</v>
      </c>
      <c r="U2444" s="21"/>
      <c r="V2444" s="22" t="s">
        <v>10983</v>
      </c>
      <c r="W2444" s="22" t="s">
        <v>49</v>
      </c>
      <c r="X2444" s="3" t="s">
        <v>10056</v>
      </c>
      <c r="Y2444" s="3" t="s">
        <v>10984</v>
      </c>
      <c r="Z2444" s="3" t="s">
        <v>52</v>
      </c>
      <c r="AA2444" s="3" t="s">
        <v>3251</v>
      </c>
      <c r="AB2444" s="3"/>
      <c r="AC2444" s="3" t="str">
        <f>HYPERLINK("https://knigipp.ru/api/getInfo/image/873c7cb9-79a3-11e6-97ea-5cf3fc4a2490")</f>
        <v>https://knigipp.ru/api/getInfo/image/873c7cb9-79a3-11e6-97ea-5cf3fc4a2490</v>
      </c>
      <c r="AD2444" s="32">
        <v>128</v>
      </c>
      <c r="AE2444" s="3"/>
      <c r="AF2444" s="3" t="s">
        <v>127</v>
      </c>
      <c r="AG2444" s="3"/>
      <c r="AH2444" s="3" t="s">
        <v>56</v>
      </c>
      <c r="AI2444" s="3"/>
      <c r="AJ2444" s="3" t="s">
        <v>10793</v>
      </c>
      <c r="AK2444" s="3" t="str">
        <f>HYPERLINK("https://knigipp.ru/api/getInfo/item/873c7cb9-79a3-11e6-97ea-5cf3fc4a2490")</f>
        <v>https://knigipp.ru/api/getInfo/item/873c7cb9-79a3-11e6-97ea-5cf3fc4a2490</v>
      </c>
      <c r="AL2444" s="3" t="s">
        <v>10794</v>
      </c>
    </row>
    <row r="2445" spans="1:38" ht="21" customHeight="1" outlineLevel="4" x14ac:dyDescent="0.2">
      <c r="A2445" s="39">
        <v>1897</v>
      </c>
      <c r="B2445" s="3" t="s">
        <v>10985</v>
      </c>
      <c r="C2445" s="49" t="s">
        <v>10986</v>
      </c>
      <c r="D2445" s="49"/>
      <c r="E2445" s="49"/>
      <c r="F2445" s="49"/>
      <c r="G2445" s="4" t="s">
        <v>10987</v>
      </c>
      <c r="H2445" s="8"/>
      <c r="I2445" s="9" t="s">
        <v>10988</v>
      </c>
      <c r="J2445" s="10"/>
      <c r="K2445" s="11">
        <v>20</v>
      </c>
      <c r="L2445" s="10"/>
      <c r="M2445" s="10" t="s">
        <v>47</v>
      </c>
      <c r="N2445" s="10"/>
      <c r="O2445" s="2">
        <v>3</v>
      </c>
      <c r="P2445" s="17">
        <f>219*(1-S3/100)</f>
        <v>219</v>
      </c>
      <c r="Q2445" s="18"/>
      <c r="R2445" s="10">
        <f t="shared" si="106"/>
        <v>0</v>
      </c>
      <c r="S2445" s="19">
        <f>0.175*Q2445</f>
        <v>0</v>
      </c>
      <c r="T2445" s="20">
        <f>0.00037*Q2445</f>
        <v>0</v>
      </c>
      <c r="U2445" s="21"/>
      <c r="V2445" s="22" t="s">
        <v>10989</v>
      </c>
      <c r="W2445" s="22" t="s">
        <v>49</v>
      </c>
      <c r="X2445" s="3" t="s">
        <v>10903</v>
      </c>
      <c r="Y2445" s="3"/>
      <c r="Z2445" s="3" t="s">
        <v>384</v>
      </c>
      <c r="AA2445" s="3" t="s">
        <v>10801</v>
      </c>
      <c r="AB2445" s="3"/>
      <c r="AC2445" s="3" t="str">
        <f>HYPERLINK("https://knigipp.ru/api/getInfo/image/5f5c8cba-a1e2-11e7-b8ef-5cf3fc4a2490")</f>
        <v>https://knigipp.ru/api/getInfo/image/5f5c8cba-a1e2-11e7-b8ef-5cf3fc4a2490</v>
      </c>
      <c r="AD2445" s="32">
        <v>96</v>
      </c>
      <c r="AE2445" s="3"/>
      <c r="AF2445" s="3" t="s">
        <v>127</v>
      </c>
      <c r="AG2445" s="3"/>
      <c r="AH2445" s="3" t="s">
        <v>56</v>
      </c>
      <c r="AI2445" s="3"/>
      <c r="AJ2445" s="3" t="s">
        <v>10793</v>
      </c>
      <c r="AK2445" s="3" t="str">
        <f>HYPERLINK("https://knigipp.ru/api/getInfo/item/5f5c8cba-a1e2-11e7-b8ef-5cf3fc4a2490")</f>
        <v>https://knigipp.ru/api/getInfo/item/5f5c8cba-a1e2-11e7-b8ef-5cf3fc4a2490</v>
      </c>
      <c r="AL2445" s="3" t="s">
        <v>10794</v>
      </c>
    </row>
    <row r="2446" spans="1:38" ht="21" customHeight="1" outlineLevel="4" x14ac:dyDescent="0.2">
      <c r="A2446" s="39">
        <v>1898</v>
      </c>
      <c r="B2446" s="3" t="s">
        <v>10990</v>
      </c>
      <c r="C2446" s="49" t="s">
        <v>10991</v>
      </c>
      <c r="D2446" s="49"/>
      <c r="E2446" s="49"/>
      <c r="F2446" s="49"/>
      <c r="G2446" s="4" t="s">
        <v>10992</v>
      </c>
      <c r="H2446" s="8"/>
      <c r="I2446" s="9" t="s">
        <v>10993</v>
      </c>
      <c r="J2446" s="10"/>
      <c r="K2446" s="11">
        <v>20</v>
      </c>
      <c r="L2446" s="10"/>
      <c r="M2446" s="10" t="s">
        <v>47</v>
      </c>
      <c r="N2446" s="10"/>
      <c r="O2446" s="2">
        <v>3</v>
      </c>
      <c r="P2446" s="17">
        <f>219*(1-S3/100)</f>
        <v>219</v>
      </c>
      <c r="Q2446" s="18"/>
      <c r="R2446" s="10">
        <f t="shared" si="106"/>
        <v>0</v>
      </c>
      <c r="S2446" s="19">
        <f>0.223*Q2446</f>
        <v>0</v>
      </c>
      <c r="T2446" s="20">
        <f>0.00052*Q2446</f>
        <v>0</v>
      </c>
      <c r="U2446" s="21"/>
      <c r="V2446" s="22" t="s">
        <v>10994</v>
      </c>
      <c r="W2446" s="22" t="s">
        <v>49</v>
      </c>
      <c r="X2446" s="3" t="s">
        <v>10538</v>
      </c>
      <c r="Y2446" s="3" t="s">
        <v>10995</v>
      </c>
      <c r="Z2446" s="3" t="s">
        <v>384</v>
      </c>
      <c r="AA2446" s="3" t="s">
        <v>8336</v>
      </c>
      <c r="AB2446" s="3"/>
      <c r="AC2446" s="3" t="str">
        <f>HYPERLINK("https://knigipp.ru/api/getInfo/image/3eb5815e-79a5-11e6-97ea-5cf3fc4a2490")</f>
        <v>https://knigipp.ru/api/getInfo/image/3eb5815e-79a5-11e6-97ea-5cf3fc4a2490</v>
      </c>
      <c r="AD2446" s="32">
        <v>128</v>
      </c>
      <c r="AE2446" s="3"/>
      <c r="AF2446" s="3" t="s">
        <v>127</v>
      </c>
      <c r="AG2446" s="3"/>
      <c r="AH2446" s="3" t="s">
        <v>56</v>
      </c>
      <c r="AI2446" s="3"/>
      <c r="AJ2446" s="3" t="s">
        <v>10793</v>
      </c>
      <c r="AK2446" s="3" t="str">
        <f>HYPERLINK("https://knigipp.ru/api/getInfo/item/3eb5815e-79a5-11e6-97ea-5cf3fc4a2490")</f>
        <v>https://knigipp.ru/api/getInfo/item/3eb5815e-79a5-11e6-97ea-5cf3fc4a2490</v>
      </c>
      <c r="AL2446" s="3" t="s">
        <v>10794</v>
      </c>
    </row>
    <row r="2447" spans="1:38" ht="21" customHeight="1" outlineLevel="4" x14ac:dyDescent="0.2">
      <c r="A2447" s="39">
        <v>1899</v>
      </c>
      <c r="B2447" s="3" t="s">
        <v>10996</v>
      </c>
      <c r="C2447" s="49" t="s">
        <v>10997</v>
      </c>
      <c r="D2447" s="49"/>
      <c r="E2447" s="49"/>
      <c r="F2447" s="49"/>
      <c r="G2447" s="4" t="s">
        <v>10998</v>
      </c>
      <c r="H2447" s="8"/>
      <c r="I2447" s="9" t="s">
        <v>10999</v>
      </c>
      <c r="J2447" s="10"/>
      <c r="K2447" s="11">
        <v>20</v>
      </c>
      <c r="L2447" s="10"/>
      <c r="M2447" s="10" t="s">
        <v>304</v>
      </c>
      <c r="N2447" s="10"/>
      <c r="O2447" s="2">
        <v>4</v>
      </c>
      <c r="P2447" s="17">
        <f>287*(1-S3/100)</f>
        <v>287</v>
      </c>
      <c r="Q2447" s="18"/>
      <c r="R2447" s="10">
        <f t="shared" si="106"/>
        <v>0</v>
      </c>
      <c r="S2447" s="19">
        <f>0.203*Q2447</f>
        <v>0</v>
      </c>
      <c r="T2447" s="20">
        <f>0.00124*Q2447</f>
        <v>0</v>
      </c>
      <c r="U2447" s="21"/>
      <c r="V2447" s="22" t="s">
        <v>11000</v>
      </c>
      <c r="W2447" s="22" t="s">
        <v>49</v>
      </c>
      <c r="X2447" s="3" t="s">
        <v>11001</v>
      </c>
      <c r="Y2447" s="3" t="s">
        <v>11002</v>
      </c>
      <c r="Z2447" s="3" t="s">
        <v>384</v>
      </c>
      <c r="AA2447" s="3" t="s">
        <v>10425</v>
      </c>
      <c r="AB2447" s="3"/>
      <c r="AC2447" s="3" t="str">
        <f>HYPERLINK("https://knigipp.ru/api/getInfo/image/5628eaab-79a5-11e6-97ea-5cf3fc4a2490")</f>
        <v>https://knigipp.ru/api/getInfo/image/5628eaab-79a5-11e6-97ea-5cf3fc4a2490</v>
      </c>
      <c r="AD2447" s="32">
        <v>112</v>
      </c>
      <c r="AE2447" s="3"/>
      <c r="AF2447" s="3" t="s">
        <v>127</v>
      </c>
      <c r="AG2447" s="3"/>
      <c r="AH2447" s="3" t="s">
        <v>56</v>
      </c>
      <c r="AI2447" s="3"/>
      <c r="AJ2447" s="3" t="s">
        <v>10793</v>
      </c>
      <c r="AK2447" s="3" t="str">
        <f>HYPERLINK("https://knigipp.ru/api/getInfo/item/5628eaab-79a5-11e6-97ea-5cf3fc4a2490")</f>
        <v>https://knigipp.ru/api/getInfo/item/5628eaab-79a5-11e6-97ea-5cf3fc4a2490</v>
      </c>
      <c r="AL2447" s="3" t="s">
        <v>10794</v>
      </c>
    </row>
    <row r="2448" spans="1:38" ht="21" customHeight="1" outlineLevel="4" x14ac:dyDescent="0.2">
      <c r="A2448" s="39">
        <v>1900</v>
      </c>
      <c r="B2448" s="3" t="s">
        <v>11003</v>
      </c>
      <c r="C2448" s="49" t="s">
        <v>11004</v>
      </c>
      <c r="D2448" s="49"/>
      <c r="E2448" s="49"/>
      <c r="F2448" s="49"/>
      <c r="G2448" s="4" t="s">
        <v>11005</v>
      </c>
      <c r="H2448" s="8"/>
      <c r="I2448" s="9" t="s">
        <v>11006</v>
      </c>
      <c r="J2448" s="10"/>
      <c r="K2448" s="11">
        <v>20</v>
      </c>
      <c r="L2448" s="10"/>
      <c r="M2448" s="10" t="s">
        <v>47</v>
      </c>
      <c r="N2448" s="10"/>
      <c r="O2448" s="2">
        <v>3</v>
      </c>
      <c r="P2448" s="17">
        <f>219*(1-S3/100)</f>
        <v>219</v>
      </c>
      <c r="Q2448" s="18"/>
      <c r="R2448" s="10">
        <f t="shared" si="106"/>
        <v>0</v>
      </c>
      <c r="S2448" s="19">
        <f>0.218*Q2448</f>
        <v>0</v>
      </c>
      <c r="T2448" s="20">
        <f>0.00037*Q2448</f>
        <v>0</v>
      </c>
      <c r="U2448" s="21"/>
      <c r="V2448" s="22" t="s">
        <v>11007</v>
      </c>
      <c r="W2448" s="22" t="s">
        <v>49</v>
      </c>
      <c r="X2448" s="3" t="s">
        <v>11008</v>
      </c>
      <c r="Y2448" s="3" t="s">
        <v>11009</v>
      </c>
      <c r="Z2448" s="3" t="s">
        <v>52</v>
      </c>
      <c r="AA2448" s="3" t="s">
        <v>11010</v>
      </c>
      <c r="AB2448" s="3"/>
      <c r="AC2448" s="3" t="str">
        <f>HYPERLINK("https://knigipp.ru/api/getInfo/image/757a2924-79a5-11e6-97ea-5cf3fc4a2490")</f>
        <v>https://knigipp.ru/api/getInfo/image/757a2924-79a5-11e6-97ea-5cf3fc4a2490</v>
      </c>
      <c r="AD2448" s="32">
        <v>128</v>
      </c>
      <c r="AE2448" s="3"/>
      <c r="AF2448" s="3" t="s">
        <v>127</v>
      </c>
      <c r="AG2448" s="3"/>
      <c r="AH2448" s="3" t="s">
        <v>56</v>
      </c>
      <c r="AI2448" s="3"/>
      <c r="AJ2448" s="3" t="s">
        <v>10793</v>
      </c>
      <c r="AK2448" s="3" t="str">
        <f>HYPERLINK("https://knigipp.ru/api/getInfo/item/757a2924-79a5-11e6-97ea-5cf3fc4a2490")</f>
        <v>https://knigipp.ru/api/getInfo/item/757a2924-79a5-11e6-97ea-5cf3fc4a2490</v>
      </c>
      <c r="AL2448" s="3" t="s">
        <v>10794</v>
      </c>
    </row>
    <row r="2449" spans="1:38" ht="21" customHeight="1" outlineLevel="4" x14ac:dyDescent="0.2">
      <c r="A2449" s="39">
        <v>1901</v>
      </c>
      <c r="B2449" s="3" t="s">
        <v>11011</v>
      </c>
      <c r="C2449" s="49" t="s">
        <v>11012</v>
      </c>
      <c r="D2449" s="49"/>
      <c r="E2449" s="49"/>
      <c r="F2449" s="49"/>
      <c r="G2449" s="4" t="s">
        <v>11013</v>
      </c>
      <c r="H2449" s="8"/>
      <c r="I2449" s="9" t="s">
        <v>11014</v>
      </c>
      <c r="J2449" s="10"/>
      <c r="K2449" s="11">
        <v>20</v>
      </c>
      <c r="L2449" s="10"/>
      <c r="M2449" s="10" t="s">
        <v>47</v>
      </c>
      <c r="N2449" s="10"/>
      <c r="O2449" s="2">
        <v>3</v>
      </c>
      <c r="P2449" s="17">
        <f>219*(1-S3/100)</f>
        <v>219</v>
      </c>
      <c r="Q2449" s="18"/>
      <c r="R2449" s="10">
        <f t="shared" si="106"/>
        <v>0</v>
      </c>
      <c r="S2449" s="19">
        <f>0.268*Q2449</f>
        <v>0</v>
      </c>
      <c r="T2449" s="20">
        <f>0.00051*Q2449</f>
        <v>0</v>
      </c>
      <c r="U2449" s="21"/>
      <c r="V2449" s="22" t="s">
        <v>11015</v>
      </c>
      <c r="W2449" s="22" t="s">
        <v>49</v>
      </c>
      <c r="X2449" s="3" t="s">
        <v>10144</v>
      </c>
      <c r="Y2449" s="3" t="s">
        <v>11016</v>
      </c>
      <c r="Z2449" s="3" t="s">
        <v>384</v>
      </c>
      <c r="AA2449" s="3"/>
      <c r="AB2449" s="3"/>
      <c r="AC2449" s="3" t="str">
        <f>HYPERLINK("https://knigipp.ru/api/getInfo/image/ff33a109-7b53-11eb-a275-ac1f6b442184")</f>
        <v>https://knigipp.ru/api/getInfo/image/ff33a109-7b53-11eb-a275-ac1f6b442184</v>
      </c>
      <c r="AD2449" s="32">
        <v>176</v>
      </c>
      <c r="AE2449" s="3"/>
      <c r="AF2449" s="3" t="s">
        <v>127</v>
      </c>
      <c r="AG2449" s="3"/>
      <c r="AH2449" s="3" t="s">
        <v>56</v>
      </c>
      <c r="AI2449" s="3"/>
      <c r="AJ2449" s="3" t="s">
        <v>10793</v>
      </c>
      <c r="AK2449" s="3" t="str">
        <f>HYPERLINK("https://knigipp.ru/api/getInfo/item/ff33a109-7b53-11eb-a275-ac1f6b442184")</f>
        <v>https://knigipp.ru/api/getInfo/item/ff33a109-7b53-11eb-a275-ac1f6b442184</v>
      </c>
      <c r="AL2449" s="3" t="s">
        <v>10794</v>
      </c>
    </row>
    <row r="2450" spans="1:38" ht="21" customHeight="1" outlineLevel="4" x14ac:dyDescent="0.2">
      <c r="A2450" s="39">
        <v>1902</v>
      </c>
      <c r="B2450" s="3" t="s">
        <v>11017</v>
      </c>
      <c r="C2450" s="49" t="s">
        <v>11018</v>
      </c>
      <c r="D2450" s="49"/>
      <c r="E2450" s="49"/>
      <c r="F2450" s="49"/>
      <c r="G2450" s="4" t="s">
        <v>11019</v>
      </c>
      <c r="H2450" s="8"/>
      <c r="I2450" s="9" t="s">
        <v>11020</v>
      </c>
      <c r="J2450" s="10"/>
      <c r="K2450" s="11">
        <v>10</v>
      </c>
      <c r="L2450" s="10"/>
      <c r="M2450" s="10" t="s">
        <v>47</v>
      </c>
      <c r="N2450" s="10"/>
      <c r="O2450" s="2">
        <v>4</v>
      </c>
      <c r="P2450" s="17">
        <f>179*(1-S3/100)</f>
        <v>179</v>
      </c>
      <c r="Q2450" s="18"/>
      <c r="R2450" s="10">
        <f t="shared" si="106"/>
        <v>0</v>
      </c>
      <c r="S2450" s="19">
        <f>0.203*Q2450</f>
        <v>0</v>
      </c>
      <c r="T2450" s="20">
        <f>0.00047*Q2450</f>
        <v>0</v>
      </c>
      <c r="U2450" s="21"/>
      <c r="V2450" s="22" t="s">
        <v>11021</v>
      </c>
      <c r="W2450" s="22" t="s">
        <v>49</v>
      </c>
      <c r="X2450" s="3" t="s">
        <v>11022</v>
      </c>
      <c r="Y2450" s="3" t="s">
        <v>11023</v>
      </c>
      <c r="Z2450" s="3" t="s">
        <v>52</v>
      </c>
      <c r="AA2450" s="3" t="s">
        <v>10939</v>
      </c>
      <c r="AB2450" s="3"/>
      <c r="AC2450" s="3" t="str">
        <f>HYPERLINK("https://knigipp.ru/api/getInfo/image/89a84219-ccc1-11ee-a25a-00155d82e908")</f>
        <v>https://knigipp.ru/api/getInfo/image/89a84219-ccc1-11ee-a25a-00155d82e908</v>
      </c>
      <c r="AD2450" s="32">
        <v>96</v>
      </c>
      <c r="AE2450" s="3" t="s">
        <v>54</v>
      </c>
      <c r="AF2450" s="3" t="s">
        <v>127</v>
      </c>
      <c r="AG2450" s="3"/>
      <c r="AH2450" s="3" t="s">
        <v>56</v>
      </c>
      <c r="AI2450" s="3"/>
      <c r="AJ2450" s="3" t="s">
        <v>10793</v>
      </c>
      <c r="AK2450" s="3" t="str">
        <f>HYPERLINK("https://knigipp.ru/api/getInfo/item/89a84219-ccc1-11ee-a25a-00155d82e908")</f>
        <v>https://knigipp.ru/api/getInfo/item/89a84219-ccc1-11ee-a25a-00155d82e908</v>
      </c>
      <c r="AL2450" s="3" t="s">
        <v>10940</v>
      </c>
    </row>
    <row r="2451" spans="1:38" ht="21" customHeight="1" outlineLevel="4" x14ac:dyDescent="0.2">
      <c r="A2451" s="39">
        <v>1903</v>
      </c>
      <c r="B2451" s="3" t="s">
        <v>11024</v>
      </c>
      <c r="C2451" s="49" t="s">
        <v>11025</v>
      </c>
      <c r="D2451" s="49"/>
      <c r="E2451" s="49"/>
      <c r="F2451" s="49"/>
      <c r="G2451" s="4" t="s">
        <v>11026</v>
      </c>
      <c r="H2451" s="8"/>
      <c r="I2451" s="9" t="s">
        <v>11027</v>
      </c>
      <c r="J2451" s="10"/>
      <c r="K2451" s="11">
        <v>20</v>
      </c>
      <c r="L2451" s="10"/>
      <c r="M2451" s="10" t="s">
        <v>78</v>
      </c>
      <c r="N2451" s="10"/>
      <c r="O2451" s="2">
        <v>2</v>
      </c>
      <c r="P2451" s="17">
        <f>279*(1-S3/100)</f>
        <v>279</v>
      </c>
      <c r="Q2451" s="18"/>
      <c r="R2451" s="10">
        <f t="shared" si="106"/>
        <v>0</v>
      </c>
      <c r="S2451" s="19">
        <f>0.315*Q2451</f>
        <v>0</v>
      </c>
      <c r="T2451" s="20">
        <f>0.00052*Q2451</f>
        <v>0</v>
      </c>
      <c r="U2451" s="21"/>
      <c r="V2451" s="22" t="s">
        <v>11028</v>
      </c>
      <c r="W2451" s="22" t="s">
        <v>49</v>
      </c>
      <c r="X2451" s="3" t="s">
        <v>11029</v>
      </c>
      <c r="Y2451" s="3" t="s">
        <v>11030</v>
      </c>
      <c r="Z2451" s="3" t="s">
        <v>384</v>
      </c>
      <c r="AA2451" s="3"/>
      <c r="AB2451" s="3"/>
      <c r="AC2451" s="3" t="str">
        <f>HYPERLINK("https://knigipp.ru/api/getInfo/image/a5e8de93-8e0d-11eb-a278-ac1f6b442184")</f>
        <v>https://knigipp.ru/api/getInfo/image/a5e8de93-8e0d-11eb-a278-ac1f6b442184</v>
      </c>
      <c r="AD2451" s="32">
        <v>224</v>
      </c>
      <c r="AE2451" s="3"/>
      <c r="AF2451" s="3" t="s">
        <v>127</v>
      </c>
      <c r="AG2451" s="3"/>
      <c r="AH2451" s="3" t="s">
        <v>56</v>
      </c>
      <c r="AI2451" s="3"/>
      <c r="AJ2451" s="3" t="s">
        <v>10793</v>
      </c>
      <c r="AK2451" s="3" t="str">
        <f>HYPERLINK("https://knigipp.ru/api/getInfo/item/a5e8de93-8e0d-11eb-a278-ac1f6b442184")</f>
        <v>https://knigipp.ru/api/getInfo/item/a5e8de93-8e0d-11eb-a278-ac1f6b442184</v>
      </c>
      <c r="AL2451" s="3" t="s">
        <v>10794</v>
      </c>
    </row>
    <row r="2452" spans="1:38" ht="21" customHeight="1" outlineLevel="4" x14ac:dyDescent="0.2">
      <c r="A2452" s="39">
        <v>1904</v>
      </c>
      <c r="B2452" s="3" t="s">
        <v>11031</v>
      </c>
      <c r="C2452" s="49" t="s">
        <v>11032</v>
      </c>
      <c r="D2452" s="49"/>
      <c r="E2452" s="49"/>
      <c r="F2452" s="49"/>
      <c r="G2452" s="4" t="s">
        <v>11033</v>
      </c>
      <c r="H2452" s="8"/>
      <c r="I2452" s="9" t="s">
        <v>11034</v>
      </c>
      <c r="J2452" s="10"/>
      <c r="K2452" s="11">
        <v>20</v>
      </c>
      <c r="L2452" s="10"/>
      <c r="M2452" s="10" t="s">
        <v>47</v>
      </c>
      <c r="N2452" s="10"/>
      <c r="O2452" s="2">
        <v>3</v>
      </c>
      <c r="P2452" s="17">
        <f>219*(1-S3/100)</f>
        <v>219</v>
      </c>
      <c r="Q2452" s="18"/>
      <c r="R2452" s="10">
        <f t="shared" si="106"/>
        <v>0</v>
      </c>
      <c r="S2452" s="19">
        <f>0.172*Q2452</f>
        <v>0</v>
      </c>
      <c r="T2452" s="20">
        <f>0.00036*Q2452</f>
        <v>0</v>
      </c>
      <c r="U2452" s="21"/>
      <c r="V2452" s="22" t="s">
        <v>11035</v>
      </c>
      <c r="W2452" s="22" t="s">
        <v>49</v>
      </c>
      <c r="X2452" s="3" t="s">
        <v>11008</v>
      </c>
      <c r="Y2452" s="3"/>
      <c r="Z2452" s="3" t="s">
        <v>384</v>
      </c>
      <c r="AA2452" s="3" t="s">
        <v>11010</v>
      </c>
      <c r="AB2452" s="3"/>
      <c r="AC2452" s="3" t="str">
        <f>HYPERLINK("https://knigipp.ru/api/getInfo/image/94a7b2ce-79a5-11e6-97ea-5cf3fc4a2490")</f>
        <v>https://knigipp.ru/api/getInfo/image/94a7b2ce-79a5-11e6-97ea-5cf3fc4a2490</v>
      </c>
      <c r="AD2452" s="32">
        <v>128</v>
      </c>
      <c r="AE2452" s="3"/>
      <c r="AF2452" s="3" t="s">
        <v>127</v>
      </c>
      <c r="AG2452" s="3"/>
      <c r="AH2452" s="3" t="s">
        <v>56</v>
      </c>
      <c r="AI2452" s="3"/>
      <c r="AJ2452" s="3" t="s">
        <v>10793</v>
      </c>
      <c r="AK2452" s="3" t="str">
        <f>HYPERLINK("https://knigipp.ru/api/getInfo/item/94a7b2ce-79a5-11e6-97ea-5cf3fc4a2490")</f>
        <v>https://knigipp.ru/api/getInfo/item/94a7b2ce-79a5-11e6-97ea-5cf3fc4a2490</v>
      </c>
      <c r="AL2452" s="3" t="s">
        <v>10794</v>
      </c>
    </row>
    <row r="2453" spans="1:38" ht="23.1" customHeight="1" outlineLevel="2" x14ac:dyDescent="0.2">
      <c r="A2453" s="47" t="s">
        <v>11036</v>
      </c>
      <c r="B2453" s="47"/>
      <c r="C2453" s="47"/>
      <c r="D2453" s="47"/>
      <c r="E2453" s="47"/>
      <c r="F2453" s="47"/>
    </row>
    <row r="2454" spans="1:38" ht="21" customHeight="1" outlineLevel="3" x14ac:dyDescent="0.2">
      <c r="A2454" s="39">
        <v>1905</v>
      </c>
      <c r="B2454" s="3" t="s">
        <v>11037</v>
      </c>
      <c r="C2454" s="49" t="s">
        <v>11038</v>
      </c>
      <c r="D2454" s="49"/>
      <c r="E2454" s="49"/>
      <c r="F2454" s="49"/>
      <c r="G2454" s="4" t="s">
        <v>11039</v>
      </c>
      <c r="H2454" s="8"/>
      <c r="I2454" s="9" t="s">
        <v>11040</v>
      </c>
      <c r="J2454" s="10"/>
      <c r="K2454" s="11">
        <v>20</v>
      </c>
      <c r="L2454" s="10"/>
      <c r="M2454" s="10" t="s">
        <v>47</v>
      </c>
      <c r="N2454" s="10"/>
      <c r="O2454" s="2">
        <v>1</v>
      </c>
      <c r="P2454" s="17">
        <f>597*(1-S3/100)</f>
        <v>597</v>
      </c>
      <c r="Q2454" s="18"/>
      <c r="R2454" s="10">
        <f>P2454*Q2454</f>
        <v>0</v>
      </c>
      <c r="S2454" s="19">
        <f>0.822*Q2454</f>
        <v>0</v>
      </c>
      <c r="T2454" s="20">
        <f>0.00205*Q2454</f>
        <v>0</v>
      </c>
      <c r="U2454" s="21"/>
      <c r="V2454" s="22" t="s">
        <v>11041</v>
      </c>
      <c r="W2454" s="22" t="s">
        <v>49</v>
      </c>
      <c r="X2454" s="3"/>
      <c r="Y2454" s="3" t="s">
        <v>11042</v>
      </c>
      <c r="Z2454" s="3" t="s">
        <v>384</v>
      </c>
      <c r="AA2454" s="3"/>
      <c r="AB2454" s="3"/>
      <c r="AC2454" s="3" t="str">
        <f>HYPERLINK("https://knigipp.ru/api/getInfo/image/47b8b260-1f49-11ef-a25f-00155d82e908")</f>
        <v>https://knigipp.ru/api/getInfo/image/47b8b260-1f49-11ef-a25f-00155d82e908</v>
      </c>
      <c r="AD2454" s="32">
        <v>160</v>
      </c>
      <c r="AE2454" s="3" t="s">
        <v>54</v>
      </c>
      <c r="AF2454" s="3" t="s">
        <v>127</v>
      </c>
      <c r="AG2454" s="3"/>
      <c r="AH2454" s="3" t="s">
        <v>56</v>
      </c>
      <c r="AI2454" s="3"/>
      <c r="AJ2454" s="3"/>
      <c r="AK2454" s="3" t="str">
        <f>HYPERLINK("https://knigipp.ru/api/getInfo/item/47b8b260-1f49-11ef-a25f-00155d82e908")</f>
        <v>https://knigipp.ru/api/getInfo/item/47b8b260-1f49-11ef-a25f-00155d82e908</v>
      </c>
      <c r="AL2454" s="3" t="s">
        <v>2553</v>
      </c>
    </row>
    <row r="2455" spans="1:38" ht="21" customHeight="1" outlineLevel="3" x14ac:dyDescent="0.2">
      <c r="A2455" s="39">
        <v>1906</v>
      </c>
      <c r="B2455" s="3" t="s">
        <v>11043</v>
      </c>
      <c r="C2455" s="49" t="s">
        <v>11044</v>
      </c>
      <c r="D2455" s="49"/>
      <c r="E2455" s="49"/>
      <c r="F2455" s="49"/>
      <c r="G2455" s="4" t="s">
        <v>11045</v>
      </c>
      <c r="H2455" s="8"/>
      <c r="I2455" s="9" t="s">
        <v>11046</v>
      </c>
      <c r="J2455" s="10"/>
      <c r="K2455" s="11">
        <v>20</v>
      </c>
      <c r="L2455" s="10"/>
      <c r="M2455" s="10" t="s">
        <v>47</v>
      </c>
      <c r="N2455" s="10"/>
      <c r="O2455" s="2">
        <v>1</v>
      </c>
      <c r="P2455" s="17">
        <f>597*(1-S3/100)</f>
        <v>597</v>
      </c>
      <c r="Q2455" s="18"/>
      <c r="R2455" s="10">
        <f>P2455*Q2455</f>
        <v>0</v>
      </c>
      <c r="S2455" s="19">
        <f>0.205*Q2455</f>
        <v>0</v>
      </c>
      <c r="T2455" s="20">
        <f>0.00048*Q2455</f>
        <v>0</v>
      </c>
      <c r="U2455" s="21"/>
      <c r="V2455" s="22" t="s">
        <v>11047</v>
      </c>
      <c r="W2455" s="22" t="s">
        <v>49</v>
      </c>
      <c r="X2455" s="3" t="s">
        <v>11048</v>
      </c>
      <c r="Y2455" s="3" t="s">
        <v>11049</v>
      </c>
      <c r="Z2455" s="3" t="s">
        <v>3329</v>
      </c>
      <c r="AA2455" s="3"/>
      <c r="AB2455" s="3"/>
      <c r="AC2455" s="3" t="str">
        <f>HYPERLINK("https://knigipp.ru/api/getInfo/image/fd87fd6a-25bd-11f0-a279-00155d82e908")</f>
        <v>https://knigipp.ru/api/getInfo/image/fd87fd6a-25bd-11f0-a279-00155d82e908</v>
      </c>
      <c r="AD2455" s="32">
        <v>160</v>
      </c>
      <c r="AE2455" s="3" t="s">
        <v>54</v>
      </c>
      <c r="AF2455" s="3" t="s">
        <v>127</v>
      </c>
      <c r="AG2455" s="3"/>
      <c r="AH2455" s="3" t="s">
        <v>56</v>
      </c>
      <c r="AI2455" s="3"/>
      <c r="AJ2455" s="3"/>
      <c r="AK2455" s="3" t="str">
        <f>HYPERLINK("https://knigipp.ru/api/getInfo/item/fd87fd6a-25bd-11f0-a279-00155d82e908")</f>
        <v>https://knigipp.ru/api/getInfo/item/fd87fd6a-25bd-11f0-a279-00155d82e908</v>
      </c>
      <c r="AL2455" s="3" t="s">
        <v>2553</v>
      </c>
    </row>
    <row r="2456" spans="1:38" ht="23.1" customHeight="1" outlineLevel="3" x14ac:dyDescent="0.2">
      <c r="A2456" s="48" t="s">
        <v>11050</v>
      </c>
      <c r="B2456" s="48"/>
      <c r="C2456" s="48"/>
      <c r="D2456" s="48"/>
      <c r="E2456" s="48"/>
      <c r="F2456" s="48"/>
    </row>
    <row r="2457" spans="1:38" ht="21" customHeight="1" outlineLevel="4" x14ac:dyDescent="0.2">
      <c r="A2457" s="39">
        <v>1907</v>
      </c>
      <c r="B2457" s="3" t="s">
        <v>11051</v>
      </c>
      <c r="C2457" s="49" t="s">
        <v>11052</v>
      </c>
      <c r="D2457" s="49"/>
      <c r="E2457" s="49"/>
      <c r="F2457" s="49"/>
      <c r="G2457" s="4" t="s">
        <v>11053</v>
      </c>
      <c r="H2457" s="8"/>
      <c r="I2457" s="9" t="s">
        <v>11054</v>
      </c>
      <c r="J2457" s="10"/>
      <c r="K2457" s="11">
        <v>12</v>
      </c>
      <c r="L2457" s="10"/>
      <c r="M2457" s="10" t="s">
        <v>47</v>
      </c>
      <c r="N2457" s="10"/>
      <c r="O2457" s="2">
        <v>2</v>
      </c>
      <c r="P2457" s="17">
        <f>497*(1-S3/100)</f>
        <v>497</v>
      </c>
      <c r="Q2457" s="18"/>
      <c r="R2457" s="10">
        <f t="shared" ref="R2457:R2463" si="107">P2457*Q2457</f>
        <v>0</v>
      </c>
      <c r="S2457" s="19">
        <f>0.347*Q2457</f>
        <v>0</v>
      </c>
      <c r="T2457" s="20">
        <f>0.00057*Q2457</f>
        <v>0</v>
      </c>
      <c r="U2457" s="21"/>
      <c r="V2457" s="22" t="s">
        <v>11055</v>
      </c>
      <c r="W2457" s="22" t="s">
        <v>49</v>
      </c>
      <c r="X2457" s="3" t="s">
        <v>11056</v>
      </c>
      <c r="Y2457" s="3" t="s">
        <v>11057</v>
      </c>
      <c r="Z2457" s="3" t="s">
        <v>3329</v>
      </c>
      <c r="AA2457" s="3"/>
      <c r="AB2457" s="3"/>
      <c r="AC2457" s="3" t="str">
        <f>HYPERLINK("https://knigipp.ru/api/getInfo/image/19aa89dd-9e07-11f0-a285-00155d82e908")</f>
        <v>https://knigipp.ru/api/getInfo/image/19aa89dd-9e07-11f0-a285-00155d82e908</v>
      </c>
      <c r="AD2457" s="32">
        <v>48</v>
      </c>
      <c r="AE2457" s="3" t="s">
        <v>54</v>
      </c>
      <c r="AF2457" s="3" t="s">
        <v>127</v>
      </c>
      <c r="AG2457" s="3"/>
      <c r="AH2457" s="3" t="s">
        <v>56</v>
      </c>
      <c r="AI2457" s="3"/>
      <c r="AJ2457" s="3"/>
      <c r="AK2457" s="3" t="str">
        <f>HYPERLINK("https://knigipp.ru/api/getInfo/item/19aa89dd-9e07-11f0-a285-00155d82e908")</f>
        <v>https://knigipp.ru/api/getInfo/item/19aa89dd-9e07-11f0-a285-00155d82e908</v>
      </c>
      <c r="AL2457" s="3" t="s">
        <v>11058</v>
      </c>
    </row>
    <row r="2458" spans="1:38" ht="21" customHeight="1" outlineLevel="4" x14ac:dyDescent="0.2">
      <c r="A2458" s="39">
        <v>1908</v>
      </c>
      <c r="B2458" s="3" t="s">
        <v>11059</v>
      </c>
      <c r="C2458" s="49" t="s">
        <v>11060</v>
      </c>
      <c r="D2458" s="49"/>
      <c r="E2458" s="49"/>
      <c r="F2458" s="49"/>
      <c r="G2458" s="4" t="s">
        <v>11061</v>
      </c>
      <c r="H2458" s="8"/>
      <c r="I2458" s="9" t="s">
        <v>11062</v>
      </c>
      <c r="J2458" s="10"/>
      <c r="K2458" s="11">
        <v>12</v>
      </c>
      <c r="L2458" s="10"/>
      <c r="M2458" s="10" t="s">
        <v>47</v>
      </c>
      <c r="N2458" s="10"/>
      <c r="O2458" s="2">
        <v>2</v>
      </c>
      <c r="P2458" s="17">
        <f>497*(1-S3/100)</f>
        <v>497</v>
      </c>
      <c r="Q2458" s="18"/>
      <c r="R2458" s="10">
        <f t="shared" si="107"/>
        <v>0</v>
      </c>
      <c r="S2458" s="19">
        <f>0.378*Q2458</f>
        <v>0</v>
      </c>
      <c r="T2458" s="30">
        <f>0.0003*Q2458</f>
        <v>0</v>
      </c>
      <c r="U2458" s="21"/>
      <c r="V2458" s="22" t="s">
        <v>11063</v>
      </c>
      <c r="W2458" s="22" t="s">
        <v>49</v>
      </c>
      <c r="X2458" s="3" t="s">
        <v>11064</v>
      </c>
      <c r="Y2458" s="3"/>
      <c r="Z2458" s="3" t="s">
        <v>52</v>
      </c>
      <c r="AA2458" s="3"/>
      <c r="AB2458" s="3"/>
      <c r="AC2458" s="3" t="str">
        <f>HYPERLINK("https://knigipp.ru/api/getInfo/image/1346f495-e19f-11ec-a213-ac1f6b442185")</f>
        <v>https://knigipp.ru/api/getInfo/image/1346f495-e19f-11ec-a213-ac1f6b442185</v>
      </c>
      <c r="AD2458" s="32">
        <v>48</v>
      </c>
      <c r="AE2458" s="3" t="s">
        <v>54</v>
      </c>
      <c r="AF2458" s="3" t="s">
        <v>127</v>
      </c>
      <c r="AG2458" s="3"/>
      <c r="AH2458" s="3" t="s">
        <v>56</v>
      </c>
      <c r="AI2458" s="3"/>
      <c r="AJ2458" s="3"/>
      <c r="AK2458" s="3" t="str">
        <f>HYPERLINK("https://knigipp.ru/api/getInfo/item/1346f495-e19f-11ec-a213-ac1f6b442185")</f>
        <v>https://knigipp.ru/api/getInfo/item/1346f495-e19f-11ec-a213-ac1f6b442185</v>
      </c>
      <c r="AL2458" s="3" t="s">
        <v>11058</v>
      </c>
    </row>
    <row r="2459" spans="1:38" ht="21" customHeight="1" outlineLevel="4" x14ac:dyDescent="0.2">
      <c r="A2459" s="39">
        <v>1909</v>
      </c>
      <c r="B2459" s="3" t="s">
        <v>11065</v>
      </c>
      <c r="C2459" s="49" t="s">
        <v>11066</v>
      </c>
      <c r="D2459" s="49"/>
      <c r="E2459" s="49"/>
      <c r="F2459" s="49"/>
      <c r="G2459" s="4" t="s">
        <v>11067</v>
      </c>
      <c r="H2459" s="8"/>
      <c r="I2459" s="9" t="s">
        <v>11068</v>
      </c>
      <c r="J2459" s="10"/>
      <c r="K2459" s="11">
        <v>12</v>
      </c>
      <c r="L2459" s="10"/>
      <c r="M2459" s="10" t="s">
        <v>47</v>
      </c>
      <c r="N2459" s="10"/>
      <c r="O2459" s="2">
        <v>2</v>
      </c>
      <c r="P2459" s="17">
        <f>497*(1-S3/100)</f>
        <v>497</v>
      </c>
      <c r="Q2459" s="18"/>
      <c r="R2459" s="10">
        <f t="shared" si="107"/>
        <v>0</v>
      </c>
      <c r="S2459" s="19">
        <f>0.378*Q2459</f>
        <v>0</v>
      </c>
      <c r="T2459" s="30">
        <f>0.0003*Q2459</f>
        <v>0</v>
      </c>
      <c r="U2459" s="21"/>
      <c r="V2459" s="22" t="s">
        <v>11069</v>
      </c>
      <c r="W2459" s="22" t="s">
        <v>49</v>
      </c>
      <c r="X2459" s="3" t="s">
        <v>9599</v>
      </c>
      <c r="Y2459" s="3"/>
      <c r="Z2459" s="3" t="s">
        <v>52</v>
      </c>
      <c r="AA2459" s="3"/>
      <c r="AB2459" s="3"/>
      <c r="AC2459" s="3" t="str">
        <f>HYPERLINK("https://knigipp.ru/api/getInfo/image/b6e9abcf-833f-11ec-a211-ac1f6b442185")</f>
        <v>https://knigipp.ru/api/getInfo/image/b6e9abcf-833f-11ec-a211-ac1f6b442185</v>
      </c>
      <c r="AD2459" s="32">
        <v>48</v>
      </c>
      <c r="AE2459" s="3"/>
      <c r="AF2459" s="3" t="s">
        <v>127</v>
      </c>
      <c r="AG2459" s="3"/>
      <c r="AH2459" s="3" t="s">
        <v>56</v>
      </c>
      <c r="AI2459" s="3"/>
      <c r="AJ2459" s="3"/>
      <c r="AK2459" s="3" t="str">
        <f>HYPERLINK("https://knigipp.ru/api/getInfo/item/b6e9abcf-833f-11ec-a211-ac1f6b442185")</f>
        <v>https://knigipp.ru/api/getInfo/item/b6e9abcf-833f-11ec-a211-ac1f6b442185</v>
      </c>
      <c r="AL2459" s="3" t="s">
        <v>11058</v>
      </c>
    </row>
    <row r="2460" spans="1:38" ht="21" customHeight="1" outlineLevel="4" x14ac:dyDescent="0.2">
      <c r="A2460" s="39">
        <v>1910</v>
      </c>
      <c r="B2460" s="3" t="s">
        <v>11070</v>
      </c>
      <c r="C2460" s="49" t="s">
        <v>11071</v>
      </c>
      <c r="D2460" s="49"/>
      <c r="E2460" s="49"/>
      <c r="F2460" s="49"/>
      <c r="G2460" s="4" t="s">
        <v>11072</v>
      </c>
      <c r="H2460" s="8"/>
      <c r="I2460" s="9" t="s">
        <v>11073</v>
      </c>
      <c r="J2460" s="10"/>
      <c r="K2460" s="11">
        <v>12</v>
      </c>
      <c r="L2460" s="10"/>
      <c r="M2460" s="10" t="s">
        <v>47</v>
      </c>
      <c r="N2460" s="10"/>
      <c r="O2460" s="2">
        <v>2</v>
      </c>
      <c r="P2460" s="17">
        <f>497*(1-S3/100)</f>
        <v>497</v>
      </c>
      <c r="Q2460" s="18"/>
      <c r="R2460" s="10">
        <f t="shared" si="107"/>
        <v>0</v>
      </c>
      <c r="S2460" s="19">
        <f>0.378*Q2460</f>
        <v>0</v>
      </c>
      <c r="T2460" s="20">
        <f>0.00031*Q2460</f>
        <v>0</v>
      </c>
      <c r="U2460" s="21"/>
      <c r="V2460" s="22" t="s">
        <v>11074</v>
      </c>
      <c r="W2460" s="22" t="s">
        <v>49</v>
      </c>
      <c r="X2460" s="3" t="s">
        <v>9505</v>
      </c>
      <c r="Y2460" s="3"/>
      <c r="Z2460" s="3" t="s">
        <v>52</v>
      </c>
      <c r="AA2460" s="3"/>
      <c r="AB2460" s="3"/>
      <c r="AC2460" s="3" t="str">
        <f>HYPERLINK("https://knigipp.ru/api/getInfo/image/cc9848f2-7205-11ed-a22a-00155d82e902")</f>
        <v>https://knigipp.ru/api/getInfo/image/cc9848f2-7205-11ed-a22a-00155d82e902</v>
      </c>
      <c r="AD2460" s="32">
        <v>48</v>
      </c>
      <c r="AE2460" s="3" t="s">
        <v>54</v>
      </c>
      <c r="AF2460" s="3" t="s">
        <v>127</v>
      </c>
      <c r="AG2460" s="3"/>
      <c r="AH2460" s="3" t="s">
        <v>56</v>
      </c>
      <c r="AI2460" s="3"/>
      <c r="AJ2460" s="3"/>
      <c r="AK2460" s="3" t="str">
        <f>HYPERLINK("https://knigipp.ru/api/getInfo/item/cc9848f2-7205-11ed-a22a-00155d82e902")</f>
        <v>https://knigipp.ru/api/getInfo/item/cc9848f2-7205-11ed-a22a-00155d82e902</v>
      </c>
      <c r="AL2460" s="3" t="s">
        <v>11058</v>
      </c>
    </row>
    <row r="2461" spans="1:38" ht="21" customHeight="1" outlineLevel="4" x14ac:dyDescent="0.2">
      <c r="A2461" s="39">
        <v>1911</v>
      </c>
      <c r="B2461" s="3" t="s">
        <v>11075</v>
      </c>
      <c r="C2461" s="49" t="s">
        <v>11076</v>
      </c>
      <c r="D2461" s="49"/>
      <c r="E2461" s="49"/>
      <c r="F2461" s="49"/>
      <c r="G2461" s="4" t="s">
        <v>11077</v>
      </c>
      <c r="H2461" s="8"/>
      <c r="I2461" s="9" t="s">
        <v>11078</v>
      </c>
      <c r="J2461" s="10"/>
      <c r="K2461" s="11">
        <v>12</v>
      </c>
      <c r="L2461" s="10"/>
      <c r="M2461" s="10" t="s">
        <v>47</v>
      </c>
      <c r="N2461" s="10"/>
      <c r="O2461" s="2">
        <v>2</v>
      </c>
      <c r="P2461" s="17">
        <f>497*(1-S3/100)</f>
        <v>497</v>
      </c>
      <c r="Q2461" s="18"/>
      <c r="R2461" s="10">
        <f t="shared" si="107"/>
        <v>0</v>
      </c>
      <c r="S2461" s="19">
        <f>0.378*Q2461</f>
        <v>0</v>
      </c>
      <c r="T2461" s="30">
        <f>0.0003*Q2461</f>
        <v>0</v>
      </c>
      <c r="U2461" s="21"/>
      <c r="V2461" s="22" t="s">
        <v>11079</v>
      </c>
      <c r="W2461" s="22" t="s">
        <v>49</v>
      </c>
      <c r="X2461" s="3" t="s">
        <v>11080</v>
      </c>
      <c r="Y2461" s="3" t="s">
        <v>11081</v>
      </c>
      <c r="Z2461" s="3" t="s">
        <v>52</v>
      </c>
      <c r="AA2461" s="3"/>
      <c r="AB2461" s="3"/>
      <c r="AC2461" s="3" t="str">
        <f>HYPERLINK("https://knigipp.ru/api/getInfo/image/dfffa0a7-787a-11ee-a248-00155d82e902")</f>
        <v>https://knigipp.ru/api/getInfo/image/dfffa0a7-787a-11ee-a248-00155d82e902</v>
      </c>
      <c r="AD2461" s="32">
        <v>48</v>
      </c>
      <c r="AE2461" s="3" t="s">
        <v>54</v>
      </c>
      <c r="AF2461" s="3" t="s">
        <v>127</v>
      </c>
      <c r="AG2461" s="3"/>
      <c r="AH2461" s="3" t="s">
        <v>56</v>
      </c>
      <c r="AI2461" s="3"/>
      <c r="AJ2461" s="3"/>
      <c r="AK2461" s="3" t="str">
        <f>HYPERLINK("https://knigipp.ru/api/getInfo/item/dfffa0a7-787a-11ee-a248-00155d82e902")</f>
        <v>https://knigipp.ru/api/getInfo/item/dfffa0a7-787a-11ee-a248-00155d82e902</v>
      </c>
      <c r="AL2461" s="3" t="s">
        <v>11058</v>
      </c>
    </row>
    <row r="2462" spans="1:38" ht="21" customHeight="1" outlineLevel="4" x14ac:dyDescent="0.2">
      <c r="A2462" s="40">
        <v>1912</v>
      </c>
      <c r="B2462" s="6" t="s">
        <v>11082</v>
      </c>
      <c r="C2462" s="54" t="s">
        <v>11083</v>
      </c>
      <c r="D2462" s="54"/>
      <c r="E2462" s="54"/>
      <c r="F2462" s="54"/>
      <c r="G2462" s="7" t="s">
        <v>11084</v>
      </c>
      <c r="H2462" s="12"/>
      <c r="I2462" s="13" t="s">
        <v>11085</v>
      </c>
      <c r="J2462" s="14"/>
      <c r="K2462" s="15">
        <v>12</v>
      </c>
      <c r="L2462" s="14"/>
      <c r="M2462" s="14" t="s">
        <v>47</v>
      </c>
      <c r="N2462" s="14"/>
      <c r="O2462" s="5">
        <v>2</v>
      </c>
      <c r="P2462" s="23">
        <f>497*(1-S3/100)</f>
        <v>497</v>
      </c>
      <c r="Q2462" s="18"/>
      <c r="R2462" s="14">
        <f t="shared" si="107"/>
        <v>0</v>
      </c>
      <c r="S2462" s="24">
        <f>0.358*Q2462</f>
        <v>0</v>
      </c>
      <c r="T2462" s="25">
        <f>0.00044*Q2462</f>
        <v>0</v>
      </c>
      <c r="U2462" s="26" t="s">
        <v>62</v>
      </c>
      <c r="V2462" s="27" t="s">
        <v>11086</v>
      </c>
      <c r="W2462" s="27" t="s">
        <v>49</v>
      </c>
      <c r="X2462" s="6" t="s">
        <v>11087</v>
      </c>
      <c r="Y2462" s="6"/>
      <c r="Z2462" s="6" t="s">
        <v>384</v>
      </c>
      <c r="AA2462" s="6"/>
      <c r="AB2462" s="6"/>
      <c r="AC2462" s="6" t="str">
        <f>HYPERLINK("https://knigipp.ru/api/getInfo/image/73f9679e-7490-11f1-a29a-00155d82e908")</f>
        <v>https://knigipp.ru/api/getInfo/image/73f9679e-7490-11f1-a29a-00155d82e908</v>
      </c>
      <c r="AD2462" s="33">
        <v>48</v>
      </c>
      <c r="AE2462" s="6" t="s">
        <v>54</v>
      </c>
      <c r="AF2462" s="6" t="s">
        <v>127</v>
      </c>
      <c r="AG2462" s="6"/>
      <c r="AH2462" s="6" t="s">
        <v>56</v>
      </c>
      <c r="AI2462" s="6"/>
      <c r="AJ2462" s="6"/>
      <c r="AK2462" s="6" t="str">
        <f>HYPERLINK("https://knigipp.ru/api/getInfo/item/73f9679e-7490-11f1-a29a-00155d82e908")</f>
        <v>https://knigipp.ru/api/getInfo/item/73f9679e-7490-11f1-a29a-00155d82e908</v>
      </c>
      <c r="AL2462" s="6" t="s">
        <v>11088</v>
      </c>
    </row>
    <row r="2463" spans="1:38" ht="21" customHeight="1" outlineLevel="4" x14ac:dyDescent="0.2">
      <c r="A2463" s="39">
        <v>1913</v>
      </c>
      <c r="B2463" s="3" t="s">
        <v>11089</v>
      </c>
      <c r="C2463" s="49" t="s">
        <v>11090</v>
      </c>
      <c r="D2463" s="49"/>
      <c r="E2463" s="49"/>
      <c r="F2463" s="49"/>
      <c r="G2463" s="4" t="s">
        <v>11091</v>
      </c>
      <c r="H2463" s="8"/>
      <c r="I2463" s="9" t="s">
        <v>11092</v>
      </c>
      <c r="J2463" s="10"/>
      <c r="K2463" s="11">
        <v>12</v>
      </c>
      <c r="L2463" s="10"/>
      <c r="M2463" s="10" t="s">
        <v>47</v>
      </c>
      <c r="N2463" s="10"/>
      <c r="O2463" s="2">
        <v>2</v>
      </c>
      <c r="P2463" s="17">
        <f>497*(1-S3/100)</f>
        <v>497</v>
      </c>
      <c r="Q2463" s="18"/>
      <c r="R2463" s="10">
        <f t="shared" si="107"/>
        <v>0</v>
      </c>
      <c r="S2463" s="19">
        <f>0.378*Q2463</f>
        <v>0</v>
      </c>
      <c r="T2463" s="20">
        <f>0.00003*Q2463</f>
        <v>0</v>
      </c>
      <c r="U2463" s="21"/>
      <c r="V2463" s="22" t="s">
        <v>11093</v>
      </c>
      <c r="W2463" s="22" t="s">
        <v>49</v>
      </c>
      <c r="X2463" s="3" t="s">
        <v>9599</v>
      </c>
      <c r="Y2463" s="3"/>
      <c r="Z2463" s="3" t="s">
        <v>52</v>
      </c>
      <c r="AA2463" s="3"/>
      <c r="AB2463" s="3"/>
      <c r="AC2463" s="3" t="str">
        <f>HYPERLINK("https://knigipp.ru/api/getInfo/image/c57e3351-2066-11ec-a20f-ac1f6b442185")</f>
        <v>https://knigipp.ru/api/getInfo/image/c57e3351-2066-11ec-a20f-ac1f6b442185</v>
      </c>
      <c r="AD2463" s="32">
        <v>48</v>
      </c>
      <c r="AE2463" s="3"/>
      <c r="AF2463" s="3" t="s">
        <v>127</v>
      </c>
      <c r="AG2463" s="3"/>
      <c r="AH2463" s="3" t="s">
        <v>56</v>
      </c>
      <c r="AI2463" s="3"/>
      <c r="AJ2463" s="3"/>
      <c r="AK2463" s="3" t="str">
        <f>HYPERLINK("https://knigipp.ru/api/getInfo/item/c57e3351-2066-11ec-a20f-ac1f6b442185")</f>
        <v>https://knigipp.ru/api/getInfo/item/c57e3351-2066-11ec-a20f-ac1f6b442185</v>
      </c>
      <c r="AL2463" s="3" t="s">
        <v>11058</v>
      </c>
    </row>
    <row r="2464" spans="1:38" ht="23.1" customHeight="1" outlineLevel="3" x14ac:dyDescent="0.2">
      <c r="A2464" s="48" t="s">
        <v>11094</v>
      </c>
      <c r="B2464" s="48"/>
      <c r="C2464" s="48"/>
      <c r="D2464" s="48"/>
      <c r="E2464" s="48"/>
      <c r="F2464" s="48"/>
    </row>
    <row r="2465" spans="1:38" ht="21" customHeight="1" outlineLevel="4" x14ac:dyDescent="0.2">
      <c r="A2465" s="39">
        <v>1914</v>
      </c>
      <c r="B2465" s="3" t="s">
        <v>11095</v>
      </c>
      <c r="C2465" s="49" t="s">
        <v>11096</v>
      </c>
      <c r="D2465" s="49"/>
      <c r="E2465" s="49"/>
      <c r="F2465" s="49"/>
      <c r="G2465" s="4" t="s">
        <v>11097</v>
      </c>
      <c r="H2465" s="8"/>
      <c r="I2465" s="9" t="s">
        <v>11098</v>
      </c>
      <c r="J2465" s="10"/>
      <c r="K2465" s="11">
        <v>20</v>
      </c>
      <c r="L2465" s="10"/>
      <c r="M2465" s="10" t="s">
        <v>47</v>
      </c>
      <c r="N2465" s="10"/>
      <c r="O2465" s="2">
        <v>3</v>
      </c>
      <c r="P2465" s="17">
        <f>227*(1-S3/100)</f>
        <v>227</v>
      </c>
      <c r="Q2465" s="18"/>
      <c r="R2465" s="10">
        <f>P2465*Q2465</f>
        <v>0</v>
      </c>
      <c r="S2465" s="19">
        <f>0.082*Q2465</f>
        <v>0</v>
      </c>
      <c r="T2465" s="20">
        <f>0.00013*Q2465</f>
        <v>0</v>
      </c>
      <c r="U2465" s="21"/>
      <c r="V2465" s="22" t="s">
        <v>11099</v>
      </c>
      <c r="W2465" s="22" t="s">
        <v>49</v>
      </c>
      <c r="X2465" s="3"/>
      <c r="Y2465" s="3" t="s">
        <v>11100</v>
      </c>
      <c r="Z2465" s="3" t="s">
        <v>52</v>
      </c>
      <c r="AA2465" s="3"/>
      <c r="AB2465" s="3"/>
      <c r="AC2465" s="3" t="str">
        <f>HYPERLINK("https://knigipp.ru/api/getInfo/image/2826cee9-480a-11ef-a262-00155d82e908")</f>
        <v>https://knigipp.ru/api/getInfo/image/2826cee9-480a-11ef-a262-00155d82e908</v>
      </c>
      <c r="AD2465" s="32">
        <v>64</v>
      </c>
      <c r="AE2465" s="3" t="s">
        <v>54</v>
      </c>
      <c r="AF2465" s="3" t="s">
        <v>55</v>
      </c>
      <c r="AG2465" s="3"/>
      <c r="AH2465" s="3" t="s">
        <v>56</v>
      </c>
      <c r="AI2465" s="3"/>
      <c r="AJ2465" s="3"/>
      <c r="AK2465" s="3" t="str">
        <f>HYPERLINK("https://knigipp.ru/api/getInfo/item/2826cee9-480a-11ef-a262-00155d82e908")</f>
        <v>https://knigipp.ru/api/getInfo/item/2826cee9-480a-11ef-a262-00155d82e908</v>
      </c>
      <c r="AL2465" s="3" t="s">
        <v>11101</v>
      </c>
    </row>
    <row r="2466" spans="1:38" ht="21" customHeight="1" outlineLevel="4" x14ac:dyDescent="0.2">
      <c r="A2466" s="39">
        <v>1915</v>
      </c>
      <c r="B2466" s="3" t="s">
        <v>11102</v>
      </c>
      <c r="C2466" s="49" t="s">
        <v>11103</v>
      </c>
      <c r="D2466" s="49"/>
      <c r="E2466" s="49"/>
      <c r="F2466" s="49"/>
      <c r="G2466" s="4" t="s">
        <v>11104</v>
      </c>
      <c r="H2466" s="8"/>
      <c r="I2466" s="9" t="s">
        <v>11105</v>
      </c>
      <c r="J2466" s="10"/>
      <c r="K2466" s="11">
        <v>20</v>
      </c>
      <c r="L2466" s="10"/>
      <c r="M2466" s="10" t="s">
        <v>47</v>
      </c>
      <c r="N2466" s="10"/>
      <c r="O2466" s="2">
        <v>3</v>
      </c>
      <c r="P2466" s="17">
        <f>227*(1-S3/100)</f>
        <v>227</v>
      </c>
      <c r="Q2466" s="18"/>
      <c r="R2466" s="10">
        <f>P2466*Q2466</f>
        <v>0</v>
      </c>
      <c r="S2466" s="19">
        <f>0.083*Q2466</f>
        <v>0</v>
      </c>
      <c r="T2466" s="20">
        <f>0.00013*Q2466</f>
        <v>0</v>
      </c>
      <c r="U2466" s="21"/>
      <c r="V2466" s="22" t="s">
        <v>11106</v>
      </c>
      <c r="W2466" s="22" t="s">
        <v>49</v>
      </c>
      <c r="X2466" s="3"/>
      <c r="Y2466" s="3" t="s">
        <v>11107</v>
      </c>
      <c r="Z2466" s="3" t="s">
        <v>52</v>
      </c>
      <c r="AA2466" s="3"/>
      <c r="AB2466" s="3"/>
      <c r="AC2466" s="3" t="str">
        <f>HYPERLINK("https://knigipp.ru/api/getInfo/image/b103ea03-4809-11ef-a262-00155d82e908")</f>
        <v>https://knigipp.ru/api/getInfo/image/b103ea03-4809-11ef-a262-00155d82e908</v>
      </c>
      <c r="AD2466" s="32">
        <v>64</v>
      </c>
      <c r="AE2466" s="3" t="s">
        <v>54</v>
      </c>
      <c r="AF2466" s="3" t="s">
        <v>55</v>
      </c>
      <c r="AG2466" s="3"/>
      <c r="AH2466" s="3" t="s">
        <v>56</v>
      </c>
      <c r="AI2466" s="3"/>
      <c r="AJ2466" s="3"/>
      <c r="AK2466" s="3" t="str">
        <f>HYPERLINK("https://knigipp.ru/api/getInfo/item/b103ea03-4809-11ef-a262-00155d82e908")</f>
        <v>https://knigipp.ru/api/getInfo/item/b103ea03-4809-11ef-a262-00155d82e908</v>
      </c>
      <c r="AL2466" s="3" t="s">
        <v>11101</v>
      </c>
    </row>
    <row r="2467" spans="1:38" ht="21" customHeight="1" outlineLevel="4" x14ac:dyDescent="0.2">
      <c r="A2467" s="39">
        <v>1916</v>
      </c>
      <c r="B2467" s="3" t="s">
        <v>11108</v>
      </c>
      <c r="C2467" s="49" t="s">
        <v>11109</v>
      </c>
      <c r="D2467" s="49"/>
      <c r="E2467" s="49"/>
      <c r="F2467" s="49"/>
      <c r="G2467" s="4" t="s">
        <v>11110</v>
      </c>
      <c r="H2467" s="8"/>
      <c r="I2467" s="9" t="s">
        <v>11111</v>
      </c>
      <c r="J2467" s="10"/>
      <c r="K2467" s="11">
        <v>20</v>
      </c>
      <c r="L2467" s="10"/>
      <c r="M2467" s="10" t="s">
        <v>47</v>
      </c>
      <c r="N2467" s="10"/>
      <c r="O2467" s="2">
        <v>3</v>
      </c>
      <c r="P2467" s="17">
        <f>227*(1-S3/100)</f>
        <v>227</v>
      </c>
      <c r="Q2467" s="18"/>
      <c r="R2467" s="10">
        <f>P2467*Q2467</f>
        <v>0</v>
      </c>
      <c r="S2467" s="19">
        <f>0.079*Q2467</f>
        <v>0</v>
      </c>
      <c r="T2467" s="20">
        <f>0.00031*Q2467</f>
        <v>0</v>
      </c>
      <c r="U2467" s="21"/>
      <c r="V2467" s="22" t="s">
        <v>11112</v>
      </c>
      <c r="W2467" s="22" t="s">
        <v>49</v>
      </c>
      <c r="X2467" s="3"/>
      <c r="Y2467" s="3" t="s">
        <v>11113</v>
      </c>
      <c r="Z2467" s="3" t="s">
        <v>52</v>
      </c>
      <c r="AA2467" s="3"/>
      <c r="AB2467" s="3"/>
      <c r="AC2467" s="3" t="str">
        <f>HYPERLINK("https://knigipp.ru/api/getInfo/image/d9447ec5-4809-11ef-a262-00155d82e908")</f>
        <v>https://knigipp.ru/api/getInfo/image/d9447ec5-4809-11ef-a262-00155d82e908</v>
      </c>
      <c r="AD2467" s="32">
        <v>64</v>
      </c>
      <c r="AE2467" s="3" t="s">
        <v>54</v>
      </c>
      <c r="AF2467" s="3" t="s">
        <v>55</v>
      </c>
      <c r="AG2467" s="3"/>
      <c r="AH2467" s="3" t="s">
        <v>56</v>
      </c>
      <c r="AI2467" s="3"/>
      <c r="AJ2467" s="3"/>
      <c r="AK2467" s="3" t="str">
        <f>HYPERLINK("https://knigipp.ru/api/getInfo/item/d9447ec5-4809-11ef-a262-00155d82e908")</f>
        <v>https://knigipp.ru/api/getInfo/item/d9447ec5-4809-11ef-a262-00155d82e908</v>
      </c>
      <c r="AL2467" s="3" t="s">
        <v>11101</v>
      </c>
    </row>
    <row r="2468" spans="1:38" ht="21" customHeight="1" outlineLevel="4" x14ac:dyDescent="0.2">
      <c r="A2468" s="39">
        <v>1917</v>
      </c>
      <c r="B2468" s="3" t="s">
        <v>11114</v>
      </c>
      <c r="C2468" s="49" t="s">
        <v>11115</v>
      </c>
      <c r="D2468" s="49"/>
      <c r="E2468" s="49"/>
      <c r="F2468" s="49"/>
      <c r="G2468" s="4" t="s">
        <v>11116</v>
      </c>
      <c r="H2468" s="8"/>
      <c r="I2468" s="9" t="s">
        <v>11117</v>
      </c>
      <c r="J2468" s="10"/>
      <c r="K2468" s="11">
        <v>20</v>
      </c>
      <c r="L2468" s="10"/>
      <c r="M2468" s="10" t="s">
        <v>47</v>
      </c>
      <c r="N2468" s="10"/>
      <c r="O2468" s="2">
        <v>3</v>
      </c>
      <c r="P2468" s="17">
        <f>227*(1-S3/100)</f>
        <v>227</v>
      </c>
      <c r="Q2468" s="18"/>
      <c r="R2468" s="10">
        <f>P2468*Q2468</f>
        <v>0</v>
      </c>
      <c r="S2468" s="19">
        <f>0.079*Q2468</f>
        <v>0</v>
      </c>
      <c r="T2468" s="20">
        <f>0.00013*Q2468</f>
        <v>0</v>
      </c>
      <c r="U2468" s="21"/>
      <c r="V2468" s="22" t="s">
        <v>11118</v>
      </c>
      <c r="W2468" s="22" t="s">
        <v>49</v>
      </c>
      <c r="X2468" s="3"/>
      <c r="Y2468" s="3" t="s">
        <v>11119</v>
      </c>
      <c r="Z2468" s="3" t="s">
        <v>52</v>
      </c>
      <c r="AA2468" s="3"/>
      <c r="AB2468" s="3"/>
      <c r="AC2468" s="3" t="str">
        <f>HYPERLINK("https://knigipp.ru/api/getInfo/image/fd13ce76-4809-11ef-a262-00155d82e908")</f>
        <v>https://knigipp.ru/api/getInfo/image/fd13ce76-4809-11ef-a262-00155d82e908</v>
      </c>
      <c r="AD2468" s="32">
        <v>64</v>
      </c>
      <c r="AE2468" s="3" t="s">
        <v>54</v>
      </c>
      <c r="AF2468" s="3" t="s">
        <v>55</v>
      </c>
      <c r="AG2468" s="3"/>
      <c r="AH2468" s="3" t="s">
        <v>56</v>
      </c>
      <c r="AI2468" s="3"/>
      <c r="AJ2468" s="3"/>
      <c r="AK2468" s="3" t="str">
        <f>HYPERLINK("https://knigipp.ru/api/getInfo/item/fd13ce76-4809-11ef-a262-00155d82e908")</f>
        <v>https://knigipp.ru/api/getInfo/item/fd13ce76-4809-11ef-a262-00155d82e908</v>
      </c>
      <c r="AL2468" s="3" t="s">
        <v>11101</v>
      </c>
    </row>
    <row r="2469" spans="1:38" ht="23.1" customHeight="1" outlineLevel="3" x14ac:dyDescent="0.2">
      <c r="A2469" s="48" t="s">
        <v>11120</v>
      </c>
      <c r="B2469" s="48"/>
      <c r="C2469" s="48"/>
      <c r="D2469" s="48"/>
      <c r="E2469" s="48"/>
      <c r="F2469" s="48"/>
    </row>
    <row r="2470" spans="1:38" ht="23.1" customHeight="1" outlineLevel="4" x14ac:dyDescent="0.2">
      <c r="A2470" s="55" t="s">
        <v>11121</v>
      </c>
      <c r="B2470" s="55"/>
      <c r="C2470" s="55"/>
      <c r="D2470" s="55"/>
      <c r="E2470" s="55"/>
      <c r="F2470" s="55"/>
    </row>
    <row r="2471" spans="1:38" ht="21" customHeight="1" outlineLevel="5" x14ac:dyDescent="0.2">
      <c r="A2471" s="39">
        <v>1918</v>
      </c>
      <c r="B2471" s="3" t="s">
        <v>11122</v>
      </c>
      <c r="C2471" s="49" t="s">
        <v>11123</v>
      </c>
      <c r="D2471" s="49"/>
      <c r="E2471" s="49"/>
      <c r="F2471" s="49"/>
      <c r="G2471" s="4" t="s">
        <v>11124</v>
      </c>
      <c r="H2471" s="8"/>
      <c r="I2471" s="9" t="s">
        <v>11125</v>
      </c>
      <c r="J2471" s="10"/>
      <c r="K2471" s="11">
        <v>25</v>
      </c>
      <c r="L2471" s="10"/>
      <c r="M2471" s="10" t="s">
        <v>47</v>
      </c>
      <c r="N2471" s="10"/>
      <c r="O2471" s="2">
        <v>3</v>
      </c>
      <c r="P2471" s="17">
        <f>249*(1-S3/100)</f>
        <v>249</v>
      </c>
      <c r="Q2471" s="18"/>
      <c r="R2471" s="10">
        <f t="shared" ref="R2471:R2478" si="108">P2471*Q2471</f>
        <v>0</v>
      </c>
      <c r="S2471" s="35">
        <f>3.5*Q2471</f>
        <v>0</v>
      </c>
      <c r="T2471" s="20">
        <f>0.00324*Q2471</f>
        <v>0</v>
      </c>
      <c r="U2471" s="21"/>
      <c r="V2471" s="22" t="s">
        <v>11126</v>
      </c>
      <c r="W2471" s="22" t="s">
        <v>49</v>
      </c>
      <c r="X2471" s="3"/>
      <c r="Y2471" s="3"/>
      <c r="Z2471" s="3" t="s">
        <v>52</v>
      </c>
      <c r="AA2471" s="3"/>
      <c r="AB2471" s="3"/>
      <c r="AC2471" s="3" t="str">
        <f>HYPERLINK("https://knigipp.ru/api/getInfo/image/40cfafe6-e01c-11ec-a213-ac1f6b442185")</f>
        <v>https://knigipp.ru/api/getInfo/image/40cfafe6-e01c-11ec-a213-ac1f6b442185</v>
      </c>
      <c r="AD2471" s="32">
        <v>32</v>
      </c>
      <c r="AE2471" s="3"/>
      <c r="AF2471" s="3" t="s">
        <v>136</v>
      </c>
      <c r="AG2471" s="3"/>
      <c r="AH2471" s="3" t="s">
        <v>56</v>
      </c>
      <c r="AI2471" s="3"/>
      <c r="AJ2471" s="3"/>
      <c r="AK2471" s="3" t="str">
        <f>HYPERLINK("https://knigipp.ru/api/getInfo/item/40cfafe6-e01c-11ec-a213-ac1f6b442185")</f>
        <v>https://knigipp.ru/api/getInfo/item/40cfafe6-e01c-11ec-a213-ac1f6b442185</v>
      </c>
      <c r="AL2471" s="3" t="s">
        <v>7762</v>
      </c>
    </row>
    <row r="2472" spans="1:38" ht="21" customHeight="1" outlineLevel="5" x14ac:dyDescent="0.2">
      <c r="A2472" s="39">
        <v>1919</v>
      </c>
      <c r="B2472" s="3" t="s">
        <v>11127</v>
      </c>
      <c r="C2472" s="49" t="s">
        <v>11128</v>
      </c>
      <c r="D2472" s="49"/>
      <c r="E2472" s="49"/>
      <c r="F2472" s="49"/>
      <c r="G2472" s="4" t="s">
        <v>11129</v>
      </c>
      <c r="H2472" s="8"/>
      <c r="I2472" s="9" t="s">
        <v>11130</v>
      </c>
      <c r="J2472" s="10"/>
      <c r="K2472" s="11">
        <v>25</v>
      </c>
      <c r="L2472" s="10"/>
      <c r="M2472" s="10" t="s">
        <v>47</v>
      </c>
      <c r="N2472" s="10"/>
      <c r="O2472" s="2">
        <v>3</v>
      </c>
      <c r="P2472" s="17">
        <f>249*(1-S3/100)</f>
        <v>249</v>
      </c>
      <c r="Q2472" s="18"/>
      <c r="R2472" s="10">
        <f t="shared" si="108"/>
        <v>0</v>
      </c>
      <c r="S2472" s="19">
        <f>0.043*Q2472</f>
        <v>0</v>
      </c>
      <c r="T2472" s="20">
        <f>0.00017*Q2472</f>
        <v>0</v>
      </c>
      <c r="U2472" s="21"/>
      <c r="V2472" s="22" t="s">
        <v>11131</v>
      </c>
      <c r="W2472" s="22" t="s">
        <v>49</v>
      </c>
      <c r="X2472" s="3"/>
      <c r="Y2472" s="3"/>
      <c r="Z2472" s="3" t="s">
        <v>52</v>
      </c>
      <c r="AA2472" s="3"/>
      <c r="AB2472" s="3"/>
      <c r="AC2472" s="3" t="str">
        <f>HYPERLINK("https://knigipp.ru/api/getInfo/image/c6792790-e016-11ec-a213-ac1f6b442185")</f>
        <v>https://knigipp.ru/api/getInfo/image/c6792790-e016-11ec-a213-ac1f6b442185</v>
      </c>
      <c r="AD2472" s="32">
        <v>32</v>
      </c>
      <c r="AE2472" s="3"/>
      <c r="AF2472" s="3" t="s">
        <v>136</v>
      </c>
      <c r="AG2472" s="3"/>
      <c r="AH2472" s="3" t="s">
        <v>56</v>
      </c>
      <c r="AI2472" s="3"/>
      <c r="AJ2472" s="3"/>
      <c r="AK2472" s="3" t="str">
        <f>HYPERLINK("https://knigipp.ru/api/getInfo/item/c6792790-e016-11ec-a213-ac1f6b442185")</f>
        <v>https://knigipp.ru/api/getInfo/item/c6792790-e016-11ec-a213-ac1f6b442185</v>
      </c>
      <c r="AL2472" s="3" t="s">
        <v>7762</v>
      </c>
    </row>
    <row r="2473" spans="1:38" ht="21" customHeight="1" outlineLevel="5" x14ac:dyDescent="0.2">
      <c r="A2473" s="39">
        <v>1920</v>
      </c>
      <c r="B2473" s="3" t="s">
        <v>11132</v>
      </c>
      <c r="C2473" s="49" t="s">
        <v>11133</v>
      </c>
      <c r="D2473" s="49"/>
      <c r="E2473" s="49"/>
      <c r="F2473" s="49"/>
      <c r="G2473" s="4" t="s">
        <v>11134</v>
      </c>
      <c r="H2473" s="8"/>
      <c r="I2473" s="9" t="s">
        <v>11130</v>
      </c>
      <c r="J2473" s="10"/>
      <c r="K2473" s="11">
        <v>25</v>
      </c>
      <c r="L2473" s="10"/>
      <c r="M2473" s="10" t="s">
        <v>47</v>
      </c>
      <c r="N2473" s="10"/>
      <c r="O2473" s="2">
        <v>3</v>
      </c>
      <c r="P2473" s="17">
        <f>249*(1-S3/100)</f>
        <v>249</v>
      </c>
      <c r="Q2473" s="18"/>
      <c r="R2473" s="10">
        <f t="shared" si="108"/>
        <v>0</v>
      </c>
      <c r="S2473" s="19">
        <f>0.043*Q2473</f>
        <v>0</v>
      </c>
      <c r="T2473" s="20">
        <f>0.00009*Q2473</f>
        <v>0</v>
      </c>
      <c r="U2473" s="21"/>
      <c r="V2473" s="22" t="s">
        <v>11135</v>
      </c>
      <c r="W2473" s="22" t="s">
        <v>49</v>
      </c>
      <c r="X2473" s="3"/>
      <c r="Y2473" s="3"/>
      <c r="Z2473" s="3" t="s">
        <v>52</v>
      </c>
      <c r="AA2473" s="3"/>
      <c r="AB2473" s="3"/>
      <c r="AC2473" s="3" t="str">
        <f>HYPERLINK("https://knigipp.ru/api/getInfo/image/8c1a22f5-e016-11ec-a213-ac1f6b442185")</f>
        <v>https://knigipp.ru/api/getInfo/image/8c1a22f5-e016-11ec-a213-ac1f6b442185</v>
      </c>
      <c r="AD2473" s="32">
        <v>32</v>
      </c>
      <c r="AE2473" s="3"/>
      <c r="AF2473" s="3" t="s">
        <v>136</v>
      </c>
      <c r="AG2473" s="3"/>
      <c r="AH2473" s="3" t="s">
        <v>56</v>
      </c>
      <c r="AI2473" s="3"/>
      <c r="AJ2473" s="3"/>
      <c r="AK2473" s="3" t="str">
        <f>HYPERLINK("https://knigipp.ru/api/getInfo/item/8c1a22f5-e016-11ec-a213-ac1f6b442185")</f>
        <v>https://knigipp.ru/api/getInfo/item/8c1a22f5-e016-11ec-a213-ac1f6b442185</v>
      </c>
      <c r="AL2473" s="3" t="s">
        <v>7762</v>
      </c>
    </row>
    <row r="2474" spans="1:38" ht="21" customHeight="1" outlineLevel="5" x14ac:dyDescent="0.2">
      <c r="A2474" s="39">
        <v>1921</v>
      </c>
      <c r="B2474" s="3" t="s">
        <v>11136</v>
      </c>
      <c r="C2474" s="49" t="s">
        <v>11137</v>
      </c>
      <c r="D2474" s="49"/>
      <c r="E2474" s="49"/>
      <c r="F2474" s="49"/>
      <c r="G2474" s="4" t="s">
        <v>11138</v>
      </c>
      <c r="H2474" s="8"/>
      <c r="I2474" s="9" t="s">
        <v>11139</v>
      </c>
      <c r="J2474" s="10"/>
      <c r="K2474" s="11">
        <v>25</v>
      </c>
      <c r="L2474" s="10"/>
      <c r="M2474" s="10" t="s">
        <v>78</v>
      </c>
      <c r="N2474" s="10"/>
      <c r="O2474" s="2">
        <v>3</v>
      </c>
      <c r="P2474" s="17">
        <f>249*(1-S3/100)</f>
        <v>249</v>
      </c>
      <c r="Q2474" s="18"/>
      <c r="R2474" s="10">
        <f t="shared" si="108"/>
        <v>0</v>
      </c>
      <c r="S2474" s="19">
        <f>0.043*Q2474</f>
        <v>0</v>
      </c>
      <c r="T2474" s="20">
        <f>0.00009*Q2474</f>
        <v>0</v>
      </c>
      <c r="U2474" s="21"/>
      <c r="V2474" s="22" t="s">
        <v>11140</v>
      </c>
      <c r="W2474" s="22" t="s">
        <v>49</v>
      </c>
      <c r="X2474" s="3"/>
      <c r="Y2474" s="3"/>
      <c r="Z2474" s="3" t="s">
        <v>52</v>
      </c>
      <c r="AA2474" s="3"/>
      <c r="AB2474" s="3"/>
      <c r="AC2474" s="3" t="str">
        <f>HYPERLINK("https://knigipp.ru/api/getInfo/image/0ea2de6d-e01c-11ec-a213-ac1f6b442185")</f>
        <v>https://knigipp.ru/api/getInfo/image/0ea2de6d-e01c-11ec-a213-ac1f6b442185</v>
      </c>
      <c r="AD2474" s="32">
        <v>32</v>
      </c>
      <c r="AE2474" s="3"/>
      <c r="AF2474" s="3" t="s">
        <v>136</v>
      </c>
      <c r="AG2474" s="3"/>
      <c r="AH2474" s="3" t="s">
        <v>56</v>
      </c>
      <c r="AI2474" s="3"/>
      <c r="AJ2474" s="3"/>
      <c r="AK2474" s="3" t="str">
        <f>HYPERLINK("https://knigipp.ru/api/getInfo/item/0ea2de6d-e01c-11ec-a213-ac1f6b442185")</f>
        <v>https://knigipp.ru/api/getInfo/item/0ea2de6d-e01c-11ec-a213-ac1f6b442185</v>
      </c>
      <c r="AL2474" s="3" t="s">
        <v>7762</v>
      </c>
    </row>
    <row r="2475" spans="1:38" ht="21" customHeight="1" outlineLevel="5" x14ac:dyDescent="0.2">
      <c r="A2475" s="39">
        <v>1922</v>
      </c>
      <c r="B2475" s="3" t="s">
        <v>11141</v>
      </c>
      <c r="C2475" s="49" t="s">
        <v>11142</v>
      </c>
      <c r="D2475" s="49"/>
      <c r="E2475" s="49"/>
      <c r="F2475" s="49"/>
      <c r="G2475" s="4" t="s">
        <v>11143</v>
      </c>
      <c r="H2475" s="8"/>
      <c r="I2475" s="9" t="s">
        <v>11130</v>
      </c>
      <c r="J2475" s="10"/>
      <c r="K2475" s="11">
        <v>25</v>
      </c>
      <c r="L2475" s="10"/>
      <c r="M2475" s="10" t="s">
        <v>47</v>
      </c>
      <c r="N2475" s="10"/>
      <c r="O2475" s="2">
        <v>3</v>
      </c>
      <c r="P2475" s="17">
        <f>249*(1-S3/100)</f>
        <v>249</v>
      </c>
      <c r="Q2475" s="18"/>
      <c r="R2475" s="10">
        <f t="shared" si="108"/>
        <v>0</v>
      </c>
      <c r="S2475" s="19">
        <f>0.141*Q2475</f>
        <v>0</v>
      </c>
      <c r="T2475" s="20">
        <f>0.00116*Q2475</f>
        <v>0</v>
      </c>
      <c r="U2475" s="21"/>
      <c r="V2475" s="22" t="s">
        <v>11144</v>
      </c>
      <c r="W2475" s="22" t="s">
        <v>49</v>
      </c>
      <c r="X2475" s="3"/>
      <c r="Y2475" s="3"/>
      <c r="Z2475" s="3" t="s">
        <v>52</v>
      </c>
      <c r="AA2475" s="3"/>
      <c r="AB2475" s="3"/>
      <c r="AC2475" s="3" t="str">
        <f>HYPERLINK("https://knigipp.ru/api/getInfo/image/f9f181e7-e016-11ec-a213-ac1f6b442185")</f>
        <v>https://knigipp.ru/api/getInfo/image/f9f181e7-e016-11ec-a213-ac1f6b442185</v>
      </c>
      <c r="AD2475" s="32">
        <v>32</v>
      </c>
      <c r="AE2475" s="3"/>
      <c r="AF2475" s="3" t="s">
        <v>136</v>
      </c>
      <c r="AG2475" s="3"/>
      <c r="AH2475" s="3" t="s">
        <v>56</v>
      </c>
      <c r="AI2475" s="3"/>
      <c r="AJ2475" s="3"/>
      <c r="AK2475" s="3" t="str">
        <f>HYPERLINK("https://knigipp.ru/api/getInfo/item/f9f181e7-e016-11ec-a213-ac1f6b442185")</f>
        <v>https://knigipp.ru/api/getInfo/item/f9f181e7-e016-11ec-a213-ac1f6b442185</v>
      </c>
      <c r="AL2475" s="3" t="s">
        <v>7762</v>
      </c>
    </row>
    <row r="2476" spans="1:38" ht="21" customHeight="1" outlineLevel="5" x14ac:dyDescent="0.2">
      <c r="A2476" s="39">
        <v>1923</v>
      </c>
      <c r="B2476" s="3" t="s">
        <v>11145</v>
      </c>
      <c r="C2476" s="49" t="s">
        <v>11146</v>
      </c>
      <c r="D2476" s="49"/>
      <c r="E2476" s="49"/>
      <c r="F2476" s="49"/>
      <c r="G2476" s="4" t="s">
        <v>11147</v>
      </c>
      <c r="H2476" s="8"/>
      <c r="I2476" s="9" t="s">
        <v>11148</v>
      </c>
      <c r="J2476" s="10"/>
      <c r="K2476" s="11">
        <v>25</v>
      </c>
      <c r="L2476" s="10"/>
      <c r="M2476" s="10" t="s">
        <v>47</v>
      </c>
      <c r="N2476" s="10"/>
      <c r="O2476" s="2">
        <v>3</v>
      </c>
      <c r="P2476" s="17">
        <f>249*(1-S3/100)</f>
        <v>249</v>
      </c>
      <c r="Q2476" s="18"/>
      <c r="R2476" s="10">
        <f t="shared" si="108"/>
        <v>0</v>
      </c>
      <c r="S2476" s="19">
        <f>0.043*Q2476</f>
        <v>0</v>
      </c>
      <c r="T2476" s="20">
        <f>0.00017*Q2476</f>
        <v>0</v>
      </c>
      <c r="U2476" s="21"/>
      <c r="V2476" s="22" t="s">
        <v>11149</v>
      </c>
      <c r="W2476" s="22" t="s">
        <v>49</v>
      </c>
      <c r="X2476" s="3"/>
      <c r="Y2476" s="3"/>
      <c r="Z2476" s="3" t="s">
        <v>52</v>
      </c>
      <c r="AA2476" s="3"/>
      <c r="AB2476" s="3"/>
      <c r="AC2476" s="3" t="str">
        <f>HYPERLINK("https://knigipp.ru/api/getInfo/image/7b8965dd-e01c-11ec-a213-ac1f6b442185")</f>
        <v>https://knigipp.ru/api/getInfo/image/7b8965dd-e01c-11ec-a213-ac1f6b442185</v>
      </c>
      <c r="AD2476" s="32">
        <v>32</v>
      </c>
      <c r="AE2476" s="3"/>
      <c r="AF2476" s="3" t="s">
        <v>136</v>
      </c>
      <c r="AG2476" s="3"/>
      <c r="AH2476" s="3" t="s">
        <v>56</v>
      </c>
      <c r="AI2476" s="3"/>
      <c r="AJ2476" s="3"/>
      <c r="AK2476" s="3" t="str">
        <f>HYPERLINK("https://knigipp.ru/api/getInfo/item/7b8965dd-e01c-11ec-a213-ac1f6b442185")</f>
        <v>https://knigipp.ru/api/getInfo/item/7b8965dd-e01c-11ec-a213-ac1f6b442185</v>
      </c>
      <c r="AL2476" s="3" t="s">
        <v>7762</v>
      </c>
    </row>
    <row r="2477" spans="1:38" ht="21" customHeight="1" outlineLevel="5" x14ac:dyDescent="0.2">
      <c r="A2477" s="39">
        <v>1924</v>
      </c>
      <c r="B2477" s="3" t="s">
        <v>11150</v>
      </c>
      <c r="C2477" s="49" t="s">
        <v>11151</v>
      </c>
      <c r="D2477" s="49"/>
      <c r="E2477" s="49"/>
      <c r="F2477" s="49"/>
      <c r="G2477" s="4" t="s">
        <v>11152</v>
      </c>
      <c r="H2477" s="8"/>
      <c r="I2477" s="9" t="s">
        <v>11130</v>
      </c>
      <c r="J2477" s="10"/>
      <c r="K2477" s="11">
        <v>25</v>
      </c>
      <c r="L2477" s="10"/>
      <c r="M2477" s="10" t="s">
        <v>47</v>
      </c>
      <c r="N2477" s="10"/>
      <c r="O2477" s="2">
        <v>3</v>
      </c>
      <c r="P2477" s="17">
        <f>249*(1-S3/100)</f>
        <v>249</v>
      </c>
      <c r="Q2477" s="18"/>
      <c r="R2477" s="10">
        <f t="shared" si="108"/>
        <v>0</v>
      </c>
      <c r="S2477" s="19">
        <f>0.043*Q2477</f>
        <v>0</v>
      </c>
      <c r="T2477" s="20">
        <f>0.00017*Q2477</f>
        <v>0</v>
      </c>
      <c r="U2477" s="21"/>
      <c r="V2477" s="22" t="s">
        <v>11153</v>
      </c>
      <c r="W2477" s="22" t="s">
        <v>49</v>
      </c>
      <c r="X2477" s="3"/>
      <c r="Y2477" s="3"/>
      <c r="Z2477" s="3" t="s">
        <v>52</v>
      </c>
      <c r="AA2477" s="3"/>
      <c r="AB2477" s="3"/>
      <c r="AC2477" s="3" t="str">
        <f>HYPERLINK("https://knigipp.ru/api/getInfo/image/22ef5069-e017-11ec-a213-ac1f6b442185")</f>
        <v>https://knigipp.ru/api/getInfo/image/22ef5069-e017-11ec-a213-ac1f6b442185</v>
      </c>
      <c r="AD2477" s="32">
        <v>32</v>
      </c>
      <c r="AE2477" s="3"/>
      <c r="AF2477" s="3" t="s">
        <v>136</v>
      </c>
      <c r="AG2477" s="3"/>
      <c r="AH2477" s="3" t="s">
        <v>56</v>
      </c>
      <c r="AI2477" s="3"/>
      <c r="AJ2477" s="3"/>
      <c r="AK2477" s="3" t="str">
        <f>HYPERLINK("https://knigipp.ru/api/getInfo/item/22ef5069-e017-11ec-a213-ac1f6b442185")</f>
        <v>https://knigipp.ru/api/getInfo/item/22ef5069-e017-11ec-a213-ac1f6b442185</v>
      </c>
      <c r="AL2477" s="3" t="s">
        <v>7762</v>
      </c>
    </row>
    <row r="2478" spans="1:38" ht="21" customHeight="1" outlineLevel="5" x14ac:dyDescent="0.2">
      <c r="A2478" s="39">
        <v>1925</v>
      </c>
      <c r="B2478" s="3" t="s">
        <v>11154</v>
      </c>
      <c r="C2478" s="49" t="s">
        <v>11155</v>
      </c>
      <c r="D2478" s="49"/>
      <c r="E2478" s="49"/>
      <c r="F2478" s="49"/>
      <c r="G2478" s="4" t="s">
        <v>11156</v>
      </c>
      <c r="H2478" s="8"/>
      <c r="I2478" s="9" t="s">
        <v>11157</v>
      </c>
      <c r="J2478" s="10"/>
      <c r="K2478" s="11">
        <v>25</v>
      </c>
      <c r="L2478" s="10"/>
      <c r="M2478" s="10" t="s">
        <v>47</v>
      </c>
      <c r="N2478" s="10"/>
      <c r="O2478" s="2">
        <v>3</v>
      </c>
      <c r="P2478" s="17">
        <f>249*(1-S3/100)</f>
        <v>249</v>
      </c>
      <c r="Q2478" s="18"/>
      <c r="R2478" s="10">
        <f t="shared" si="108"/>
        <v>0</v>
      </c>
      <c r="S2478" s="19">
        <f>0.043*Q2478</f>
        <v>0</v>
      </c>
      <c r="T2478" s="20">
        <f>0.00014*Q2478</f>
        <v>0</v>
      </c>
      <c r="U2478" s="21"/>
      <c r="V2478" s="22" t="s">
        <v>11158</v>
      </c>
      <c r="W2478" s="22" t="s">
        <v>49</v>
      </c>
      <c r="X2478" s="3"/>
      <c r="Y2478" s="3"/>
      <c r="Z2478" s="3" t="s">
        <v>52</v>
      </c>
      <c r="AA2478" s="3"/>
      <c r="AB2478" s="3"/>
      <c r="AC2478" s="3" t="str">
        <f>HYPERLINK("https://knigipp.ru/api/getInfo/image/d98958d2-e01b-11ec-a213-ac1f6b442185")</f>
        <v>https://knigipp.ru/api/getInfo/image/d98958d2-e01b-11ec-a213-ac1f6b442185</v>
      </c>
      <c r="AD2478" s="32">
        <v>32</v>
      </c>
      <c r="AE2478" s="3"/>
      <c r="AF2478" s="3" t="s">
        <v>136</v>
      </c>
      <c r="AG2478" s="3"/>
      <c r="AH2478" s="3" t="s">
        <v>56</v>
      </c>
      <c r="AI2478" s="3"/>
      <c r="AJ2478" s="3"/>
      <c r="AK2478" s="3" t="str">
        <f>HYPERLINK("https://knigipp.ru/api/getInfo/item/d98958d2-e01b-11ec-a213-ac1f6b442185")</f>
        <v>https://knigipp.ru/api/getInfo/item/d98958d2-e01b-11ec-a213-ac1f6b442185</v>
      </c>
      <c r="AL2478" s="3" t="s">
        <v>7762</v>
      </c>
    </row>
    <row r="2479" spans="1:38" ht="23.1" customHeight="1" outlineLevel="3" x14ac:dyDescent="0.2">
      <c r="A2479" s="48" t="s">
        <v>11159</v>
      </c>
      <c r="B2479" s="48"/>
      <c r="C2479" s="48"/>
      <c r="D2479" s="48"/>
      <c r="E2479" s="48"/>
      <c r="F2479" s="48"/>
    </row>
    <row r="2480" spans="1:38" ht="21" customHeight="1" outlineLevel="4" x14ac:dyDescent="0.2">
      <c r="A2480" s="39">
        <v>1926</v>
      </c>
      <c r="B2480" s="3" t="s">
        <v>11160</v>
      </c>
      <c r="C2480" s="49" t="s">
        <v>11161</v>
      </c>
      <c r="D2480" s="49"/>
      <c r="E2480" s="49"/>
      <c r="F2480" s="49"/>
      <c r="G2480" s="4" t="s">
        <v>11162</v>
      </c>
      <c r="H2480" s="8"/>
      <c r="I2480" s="9" t="s">
        <v>11163</v>
      </c>
      <c r="J2480" s="10"/>
      <c r="K2480" s="11">
        <v>10</v>
      </c>
      <c r="L2480" s="10"/>
      <c r="M2480" s="10" t="s">
        <v>47</v>
      </c>
      <c r="N2480" s="10"/>
      <c r="O2480" s="2">
        <v>1</v>
      </c>
      <c r="P2480" s="17">
        <f>644*(1-S3/100)</f>
        <v>644</v>
      </c>
      <c r="Q2480" s="18"/>
      <c r="R2480" s="10">
        <f>P2480*Q2480</f>
        <v>0</v>
      </c>
      <c r="S2480" s="10">
        <v>0</v>
      </c>
      <c r="T2480" s="10">
        <v>0</v>
      </c>
      <c r="U2480" s="21"/>
      <c r="V2480" s="22" t="s">
        <v>11164</v>
      </c>
      <c r="W2480" s="22" t="s">
        <v>49</v>
      </c>
      <c r="X2480" s="3" t="s">
        <v>11165</v>
      </c>
      <c r="Y2480" s="3"/>
      <c r="Z2480" s="3" t="s">
        <v>52</v>
      </c>
      <c r="AA2480" s="3"/>
      <c r="AB2480" s="3"/>
      <c r="AC2480" s="3" t="str">
        <f>HYPERLINK("https://knigipp.ru/api/getInfo/image/37be1dc6-d1cf-11ec-a212-ac1f6b442185")</f>
        <v>https://knigipp.ru/api/getInfo/image/37be1dc6-d1cf-11ec-a212-ac1f6b442185</v>
      </c>
      <c r="AD2480" s="32">
        <v>128</v>
      </c>
      <c r="AE2480" s="3"/>
      <c r="AF2480" s="3" t="s">
        <v>127</v>
      </c>
      <c r="AG2480" s="3"/>
      <c r="AH2480" s="3" t="s">
        <v>56</v>
      </c>
      <c r="AI2480" s="3"/>
      <c r="AJ2480" s="3"/>
      <c r="AK2480" s="3" t="str">
        <f>HYPERLINK("https://knigipp.ru/api/getInfo/item/37be1dc6-d1cf-11ec-a212-ac1f6b442185")</f>
        <v>https://knigipp.ru/api/getInfo/item/37be1dc6-d1cf-11ec-a212-ac1f6b442185</v>
      </c>
      <c r="AL2480" s="3" t="s">
        <v>11166</v>
      </c>
    </row>
    <row r="2481" spans="1:38" ht="21" customHeight="1" outlineLevel="4" x14ac:dyDescent="0.2">
      <c r="A2481" s="39">
        <v>1927</v>
      </c>
      <c r="B2481" s="3" t="s">
        <v>11167</v>
      </c>
      <c r="C2481" s="49" t="s">
        <v>11168</v>
      </c>
      <c r="D2481" s="49"/>
      <c r="E2481" s="49"/>
      <c r="F2481" s="49"/>
      <c r="G2481" s="4" t="s">
        <v>11169</v>
      </c>
      <c r="H2481" s="8"/>
      <c r="I2481" s="9" t="s">
        <v>11170</v>
      </c>
      <c r="J2481" s="10"/>
      <c r="K2481" s="11">
        <v>6</v>
      </c>
      <c r="L2481" s="10"/>
      <c r="M2481" s="10" t="s">
        <v>47</v>
      </c>
      <c r="N2481" s="10"/>
      <c r="O2481" s="2">
        <v>1</v>
      </c>
      <c r="P2481" s="17">
        <f>997*(1-S3/100)</f>
        <v>997</v>
      </c>
      <c r="Q2481" s="18"/>
      <c r="R2481" s="10">
        <f>P2481*Q2481</f>
        <v>0</v>
      </c>
      <c r="S2481" s="19">
        <f>0.833*Q2481</f>
        <v>0</v>
      </c>
      <c r="T2481" s="20">
        <f>0.00138*Q2481</f>
        <v>0</v>
      </c>
      <c r="U2481" s="21"/>
      <c r="V2481" s="22" t="s">
        <v>11171</v>
      </c>
      <c r="W2481" s="22" t="s">
        <v>49</v>
      </c>
      <c r="X2481" s="3"/>
      <c r="Y2481" s="3" t="s">
        <v>11172</v>
      </c>
      <c r="Z2481" s="3" t="s">
        <v>3329</v>
      </c>
      <c r="AA2481" s="3"/>
      <c r="AB2481" s="3"/>
      <c r="AC2481" s="3" t="str">
        <f>HYPERLINK("https://knigipp.ru/api/getInfo/image/4b5e04f7-522f-11e9-a222-ac1f6b442184")</f>
        <v>https://knigipp.ru/api/getInfo/image/4b5e04f7-522f-11e9-a222-ac1f6b442184</v>
      </c>
      <c r="AD2481" s="32">
        <v>208</v>
      </c>
      <c r="AE2481" s="3"/>
      <c r="AF2481" s="3" t="s">
        <v>127</v>
      </c>
      <c r="AG2481" s="3"/>
      <c r="AH2481" s="3" t="s">
        <v>56</v>
      </c>
      <c r="AI2481" s="3"/>
      <c r="AJ2481" s="3"/>
      <c r="AK2481" s="3" t="str">
        <f>HYPERLINK("https://knigipp.ru/api/getInfo/item/4b5e04f7-522f-11e9-a222-ac1f6b442184")</f>
        <v>https://knigipp.ru/api/getInfo/item/4b5e04f7-522f-11e9-a222-ac1f6b442184</v>
      </c>
      <c r="AL2481" s="3" t="s">
        <v>11173</v>
      </c>
    </row>
    <row r="2482" spans="1:38" ht="21" customHeight="1" outlineLevel="4" x14ac:dyDescent="0.2">
      <c r="A2482" s="39">
        <v>1928</v>
      </c>
      <c r="B2482" s="3" t="s">
        <v>11174</v>
      </c>
      <c r="C2482" s="49" t="s">
        <v>11175</v>
      </c>
      <c r="D2482" s="49"/>
      <c r="E2482" s="49"/>
      <c r="F2482" s="49"/>
      <c r="G2482" s="4" t="s">
        <v>11176</v>
      </c>
      <c r="H2482" s="8"/>
      <c r="I2482" s="9" t="s">
        <v>11177</v>
      </c>
      <c r="J2482" s="10"/>
      <c r="K2482" s="11">
        <v>10</v>
      </c>
      <c r="L2482" s="10"/>
      <c r="M2482" s="10" t="s">
        <v>47</v>
      </c>
      <c r="N2482" s="10"/>
      <c r="O2482" s="2">
        <v>1</v>
      </c>
      <c r="P2482" s="17">
        <f>699*(1-S3/100)</f>
        <v>699</v>
      </c>
      <c r="Q2482" s="18"/>
      <c r="R2482" s="10">
        <f>P2482*Q2482</f>
        <v>0</v>
      </c>
      <c r="S2482" s="19">
        <f>0.599*Q2482</f>
        <v>0</v>
      </c>
      <c r="T2482" s="20">
        <f>0.00089*Q2482</f>
        <v>0</v>
      </c>
      <c r="U2482" s="21"/>
      <c r="V2482" s="22" t="s">
        <v>11178</v>
      </c>
      <c r="W2482" s="22" t="s">
        <v>49</v>
      </c>
      <c r="X2482" s="3" t="s">
        <v>9570</v>
      </c>
      <c r="Y2482" s="3"/>
      <c r="Z2482" s="3" t="s">
        <v>52</v>
      </c>
      <c r="AA2482" s="3"/>
      <c r="AB2482" s="3"/>
      <c r="AC2482" s="3" t="str">
        <f>HYPERLINK("https://knigipp.ru/api/getInfo/image/6a33ca5e-d1cf-11ec-a212-ac1f6b442185")</f>
        <v>https://knigipp.ru/api/getInfo/image/6a33ca5e-d1cf-11ec-a212-ac1f6b442185</v>
      </c>
      <c r="AD2482" s="32">
        <v>128</v>
      </c>
      <c r="AE2482" s="3"/>
      <c r="AF2482" s="3" t="s">
        <v>127</v>
      </c>
      <c r="AG2482" s="3"/>
      <c r="AH2482" s="3" t="s">
        <v>56</v>
      </c>
      <c r="AI2482" s="3"/>
      <c r="AJ2482" s="3"/>
      <c r="AK2482" s="3" t="str">
        <f>HYPERLINK("https://knigipp.ru/api/getInfo/item/6a33ca5e-d1cf-11ec-a212-ac1f6b442185")</f>
        <v>https://knigipp.ru/api/getInfo/item/6a33ca5e-d1cf-11ec-a212-ac1f6b442185</v>
      </c>
      <c r="AL2482" s="3" t="s">
        <v>11166</v>
      </c>
    </row>
    <row r="2483" spans="1:38" ht="21" customHeight="1" outlineLevel="4" x14ac:dyDescent="0.2">
      <c r="A2483" s="39">
        <v>1929</v>
      </c>
      <c r="B2483" s="3" t="s">
        <v>11179</v>
      </c>
      <c r="C2483" s="49" t="s">
        <v>11180</v>
      </c>
      <c r="D2483" s="49"/>
      <c r="E2483" s="49"/>
      <c r="F2483" s="49"/>
      <c r="G2483" s="4" t="s">
        <v>11181</v>
      </c>
      <c r="H2483" s="8"/>
      <c r="I2483" s="9" t="s">
        <v>11182</v>
      </c>
      <c r="J2483" s="10"/>
      <c r="K2483" s="11">
        <v>10</v>
      </c>
      <c r="L2483" s="10"/>
      <c r="M2483" s="10" t="s">
        <v>47</v>
      </c>
      <c r="N2483" s="10"/>
      <c r="O2483" s="2">
        <v>1</v>
      </c>
      <c r="P2483" s="17">
        <f>997*(1-S3/100)</f>
        <v>997</v>
      </c>
      <c r="Q2483" s="18"/>
      <c r="R2483" s="10">
        <f>P2483*Q2483</f>
        <v>0</v>
      </c>
      <c r="S2483" s="19">
        <f>0.719*Q2483</f>
        <v>0</v>
      </c>
      <c r="T2483" s="30">
        <f>0.0013*Q2483</f>
        <v>0</v>
      </c>
      <c r="U2483" s="21"/>
      <c r="V2483" s="22" t="s">
        <v>11183</v>
      </c>
      <c r="W2483" s="22" t="s">
        <v>49</v>
      </c>
      <c r="X2483" s="3" t="s">
        <v>9570</v>
      </c>
      <c r="Y2483" s="3"/>
      <c r="Z2483" s="3" t="s">
        <v>52</v>
      </c>
      <c r="AA2483" s="3"/>
      <c r="AB2483" s="3"/>
      <c r="AC2483" s="3" t="str">
        <f>HYPERLINK("https://knigipp.ru/api/getInfo/image/c250c310-d1cf-11ec-a212-ac1f6b442185")</f>
        <v>https://knigipp.ru/api/getInfo/image/c250c310-d1cf-11ec-a212-ac1f6b442185</v>
      </c>
      <c r="AD2483" s="32">
        <v>176</v>
      </c>
      <c r="AE2483" s="3"/>
      <c r="AF2483" s="3" t="s">
        <v>127</v>
      </c>
      <c r="AG2483" s="3"/>
      <c r="AH2483" s="3" t="s">
        <v>56</v>
      </c>
      <c r="AI2483" s="3"/>
      <c r="AJ2483" s="3"/>
      <c r="AK2483" s="3" t="str">
        <f>HYPERLINK("https://knigipp.ru/api/getInfo/item/c250c310-d1cf-11ec-a212-ac1f6b442185")</f>
        <v>https://knigipp.ru/api/getInfo/item/c250c310-d1cf-11ec-a212-ac1f6b442185</v>
      </c>
      <c r="AL2483" s="3" t="s">
        <v>11184</v>
      </c>
    </row>
    <row r="2484" spans="1:38" ht="23.1" customHeight="1" outlineLevel="3" x14ac:dyDescent="0.2">
      <c r="A2484" s="48" t="s">
        <v>11185</v>
      </c>
      <c r="B2484" s="48"/>
      <c r="C2484" s="48"/>
      <c r="D2484" s="48"/>
      <c r="E2484" s="48"/>
      <c r="F2484" s="48"/>
    </row>
    <row r="2485" spans="1:38" ht="21" customHeight="1" outlineLevel="4" x14ac:dyDescent="0.2">
      <c r="A2485" s="39">
        <v>1930</v>
      </c>
      <c r="B2485" s="3" t="s">
        <v>11186</v>
      </c>
      <c r="C2485" s="49" t="s">
        <v>11187</v>
      </c>
      <c r="D2485" s="49"/>
      <c r="E2485" s="49"/>
      <c r="F2485" s="49"/>
      <c r="G2485" s="4" t="s">
        <v>11188</v>
      </c>
      <c r="H2485" s="8"/>
      <c r="I2485" s="9" t="s">
        <v>11189</v>
      </c>
      <c r="J2485" s="10"/>
      <c r="K2485" s="11">
        <v>10</v>
      </c>
      <c r="L2485" s="10"/>
      <c r="M2485" s="10" t="s">
        <v>78</v>
      </c>
      <c r="N2485" s="10"/>
      <c r="O2485" s="2">
        <v>1</v>
      </c>
      <c r="P2485" s="17">
        <f>375.52*(1-S3/100)</f>
        <v>375.52</v>
      </c>
      <c r="Q2485" s="18"/>
      <c r="R2485" s="10">
        <f>P2485*Q2485</f>
        <v>0</v>
      </c>
      <c r="S2485" s="28">
        <f>0.42*Q2485</f>
        <v>0</v>
      </c>
      <c r="T2485" s="30">
        <f>0.0005*Q2485</f>
        <v>0</v>
      </c>
      <c r="U2485" s="21"/>
      <c r="V2485" s="22" t="s">
        <v>11190</v>
      </c>
      <c r="W2485" s="22" t="s">
        <v>49</v>
      </c>
      <c r="X2485" s="3" t="s">
        <v>1281</v>
      </c>
      <c r="Y2485" s="3" t="s">
        <v>11191</v>
      </c>
      <c r="Z2485" s="3" t="s">
        <v>52</v>
      </c>
      <c r="AA2485" s="3"/>
      <c r="AB2485" s="3"/>
      <c r="AC2485" s="3" t="str">
        <f>HYPERLINK("https://knigipp.ru/api/getInfo/image/94b8cf17-d9b3-11eb-a209-ac1f6b442185")</f>
        <v>https://knigipp.ru/api/getInfo/image/94b8cf17-d9b3-11eb-a209-ac1f6b442185</v>
      </c>
      <c r="AD2485" s="32">
        <v>48</v>
      </c>
      <c r="AE2485" s="3"/>
      <c r="AF2485" s="3" t="s">
        <v>127</v>
      </c>
      <c r="AG2485" s="3"/>
      <c r="AH2485" s="3" t="s">
        <v>56</v>
      </c>
      <c r="AI2485" s="3"/>
      <c r="AJ2485" s="3"/>
      <c r="AK2485" s="3" t="str">
        <f>HYPERLINK("https://knigipp.ru/api/getInfo/item/94b8cf17-d9b3-11eb-a209-ac1f6b442185")</f>
        <v>https://knigipp.ru/api/getInfo/item/94b8cf17-d9b3-11eb-a209-ac1f6b442185</v>
      </c>
      <c r="AL2485" s="3" t="s">
        <v>377</v>
      </c>
    </row>
    <row r="2486" spans="1:38" ht="21" customHeight="1" outlineLevel="4" x14ac:dyDescent="0.2">
      <c r="A2486" s="39">
        <v>1931</v>
      </c>
      <c r="B2486" s="3" t="s">
        <v>11192</v>
      </c>
      <c r="C2486" s="49" t="s">
        <v>11193</v>
      </c>
      <c r="D2486" s="49"/>
      <c r="E2486" s="49"/>
      <c r="F2486" s="49"/>
      <c r="G2486" s="4" t="s">
        <v>11194</v>
      </c>
      <c r="H2486" s="8"/>
      <c r="I2486" s="9" t="s">
        <v>11195</v>
      </c>
      <c r="J2486" s="10"/>
      <c r="K2486" s="11">
        <v>20</v>
      </c>
      <c r="L2486" s="10"/>
      <c r="M2486" s="10" t="s">
        <v>47</v>
      </c>
      <c r="N2486" s="10"/>
      <c r="O2486" s="2">
        <v>1</v>
      </c>
      <c r="P2486" s="17">
        <f>677*(1-S3/100)</f>
        <v>677</v>
      </c>
      <c r="Q2486" s="18"/>
      <c r="R2486" s="10">
        <f>P2486*Q2486</f>
        <v>0</v>
      </c>
      <c r="S2486" s="19">
        <f>0.176*Q2486</f>
        <v>0</v>
      </c>
      <c r="T2486" s="20">
        <f>0.00046*Q2486</f>
        <v>0</v>
      </c>
      <c r="U2486" s="21"/>
      <c r="V2486" s="22" t="s">
        <v>11196</v>
      </c>
      <c r="W2486" s="22" t="s">
        <v>49</v>
      </c>
      <c r="X2486" s="3" t="s">
        <v>1337</v>
      </c>
      <c r="Y2486" s="3" t="s">
        <v>11197</v>
      </c>
      <c r="Z2486" s="3" t="s">
        <v>52</v>
      </c>
      <c r="AA2486" s="3"/>
      <c r="AB2486" s="3"/>
      <c r="AC2486" s="3" t="str">
        <f>HYPERLINK("https://knigipp.ru/api/getInfo/image/8be58a60-cc64-11f0-a28a-00155d82e908")</f>
        <v>https://knigipp.ru/api/getInfo/image/8be58a60-cc64-11f0-a28a-00155d82e908</v>
      </c>
      <c r="AD2486" s="32">
        <v>80</v>
      </c>
      <c r="AE2486" s="3" t="s">
        <v>54</v>
      </c>
      <c r="AF2486" s="3" t="s">
        <v>55</v>
      </c>
      <c r="AG2486" s="3"/>
      <c r="AH2486" s="3" t="s">
        <v>56</v>
      </c>
      <c r="AI2486" s="3"/>
      <c r="AJ2486" s="3"/>
      <c r="AK2486" s="3" t="str">
        <f>HYPERLINK("https://knigipp.ru/api/getInfo/item/8be58a60-cc64-11f0-a28a-00155d82e908")</f>
        <v>https://knigipp.ru/api/getInfo/item/8be58a60-cc64-11f0-a28a-00155d82e908</v>
      </c>
      <c r="AL2486" s="3" t="s">
        <v>11198</v>
      </c>
    </row>
    <row r="2487" spans="1:38" ht="21" customHeight="1" outlineLevel="4" x14ac:dyDescent="0.2">
      <c r="A2487" s="39">
        <v>1932</v>
      </c>
      <c r="B2487" s="3" t="s">
        <v>11199</v>
      </c>
      <c r="C2487" s="49" t="s">
        <v>11200</v>
      </c>
      <c r="D2487" s="49"/>
      <c r="E2487" s="49"/>
      <c r="F2487" s="49"/>
      <c r="G2487" s="4" t="s">
        <v>11201</v>
      </c>
      <c r="H2487" s="8"/>
      <c r="I2487" s="9" t="s">
        <v>11202</v>
      </c>
      <c r="J2487" s="10"/>
      <c r="K2487" s="11">
        <v>10</v>
      </c>
      <c r="L2487" s="10"/>
      <c r="M2487" s="10" t="s">
        <v>78</v>
      </c>
      <c r="N2487" s="10"/>
      <c r="O2487" s="2">
        <v>1</v>
      </c>
      <c r="P2487" s="17">
        <f>687*(1-S3/100)</f>
        <v>687</v>
      </c>
      <c r="Q2487" s="18"/>
      <c r="R2487" s="10">
        <f>P2487*Q2487</f>
        <v>0</v>
      </c>
      <c r="S2487" s="19">
        <f>0.338*Q2487</f>
        <v>0</v>
      </c>
      <c r="T2487" s="20">
        <f>0.00063*Q2487</f>
        <v>0</v>
      </c>
      <c r="U2487" s="21"/>
      <c r="V2487" s="22" t="s">
        <v>11203</v>
      </c>
      <c r="W2487" s="22" t="s">
        <v>49</v>
      </c>
      <c r="X2487" s="3" t="s">
        <v>1337</v>
      </c>
      <c r="Y2487" s="3" t="s">
        <v>11204</v>
      </c>
      <c r="Z2487" s="3" t="s">
        <v>52</v>
      </c>
      <c r="AA2487" s="3"/>
      <c r="AB2487" s="3"/>
      <c r="AC2487" s="3" t="str">
        <f>HYPERLINK("https://knigipp.ru/api/getInfo/image/2c34db2a-b664-11f0-a286-00155d82e908")</f>
        <v>https://knigipp.ru/api/getInfo/image/2c34db2a-b664-11f0-a286-00155d82e908</v>
      </c>
      <c r="AD2487" s="32">
        <v>64</v>
      </c>
      <c r="AE2487" s="3" t="s">
        <v>481</v>
      </c>
      <c r="AF2487" s="3" t="s">
        <v>127</v>
      </c>
      <c r="AG2487" s="3"/>
      <c r="AH2487" s="3" t="s">
        <v>56</v>
      </c>
      <c r="AI2487" s="3"/>
      <c r="AJ2487" s="3"/>
      <c r="AK2487" s="3" t="str">
        <f>HYPERLINK("https://knigipp.ru/api/getInfo/item/2c34db2a-b664-11f0-a286-00155d82e908")</f>
        <v>https://knigipp.ru/api/getInfo/item/2c34db2a-b664-11f0-a286-00155d82e908</v>
      </c>
      <c r="AL2487" s="3" t="s">
        <v>11205</v>
      </c>
    </row>
    <row r="2488" spans="1:38" ht="21" customHeight="1" outlineLevel="4" x14ac:dyDescent="0.2">
      <c r="A2488" s="39">
        <v>1933</v>
      </c>
      <c r="B2488" s="3" t="s">
        <v>11206</v>
      </c>
      <c r="C2488" s="49" t="s">
        <v>11207</v>
      </c>
      <c r="D2488" s="49"/>
      <c r="E2488" s="49"/>
      <c r="F2488" s="49"/>
      <c r="G2488" s="4" t="s">
        <v>11208</v>
      </c>
      <c r="H2488" s="8"/>
      <c r="I2488" s="9" t="s">
        <v>11209</v>
      </c>
      <c r="J2488" s="10"/>
      <c r="K2488" s="11">
        <v>10</v>
      </c>
      <c r="L2488" s="10"/>
      <c r="M2488" s="10" t="s">
        <v>304</v>
      </c>
      <c r="N2488" s="10"/>
      <c r="O2488" s="2">
        <v>1</v>
      </c>
      <c r="P2488" s="17">
        <f>307*(1-S3/100)</f>
        <v>307</v>
      </c>
      <c r="Q2488" s="18"/>
      <c r="R2488" s="10">
        <f>P2488*Q2488</f>
        <v>0</v>
      </c>
      <c r="S2488" s="28">
        <f>0.43*Q2488</f>
        <v>0</v>
      </c>
      <c r="T2488" s="20">
        <f>0.00044*Q2488</f>
        <v>0</v>
      </c>
      <c r="U2488" s="21"/>
      <c r="V2488" s="22" t="s">
        <v>11210</v>
      </c>
      <c r="W2488" s="22" t="s">
        <v>49</v>
      </c>
      <c r="X2488" s="3" t="s">
        <v>11211</v>
      </c>
      <c r="Y2488" s="3"/>
      <c r="Z2488" s="3" t="s">
        <v>52</v>
      </c>
      <c r="AA2488" s="3"/>
      <c r="AB2488" s="3"/>
      <c r="AC2488" s="3" t="str">
        <f>HYPERLINK("https://knigipp.ru/api/getInfo/image/6a970b60-257d-11ea-a239-ac1f6b442184")</f>
        <v>https://knigipp.ru/api/getInfo/image/6a970b60-257d-11ea-a239-ac1f6b442184</v>
      </c>
      <c r="AD2488" s="32">
        <v>32</v>
      </c>
      <c r="AE2488" s="3"/>
      <c r="AF2488" s="3" t="s">
        <v>127</v>
      </c>
      <c r="AG2488" s="3"/>
      <c r="AH2488" s="3" t="s">
        <v>56</v>
      </c>
      <c r="AI2488" s="3"/>
      <c r="AJ2488" s="3"/>
      <c r="AK2488" s="3" t="str">
        <f>HYPERLINK("https://knigipp.ru/api/getInfo/item/6a970b60-257d-11ea-a239-ac1f6b442184")</f>
        <v>https://knigipp.ru/api/getInfo/item/6a970b60-257d-11ea-a239-ac1f6b442184</v>
      </c>
      <c r="AL2488" s="3" t="s">
        <v>11212</v>
      </c>
    </row>
    <row r="2489" spans="1:38" ht="23.1" customHeight="1" outlineLevel="3" x14ac:dyDescent="0.2">
      <c r="A2489" s="48" t="s">
        <v>11213</v>
      </c>
      <c r="B2489" s="48"/>
      <c r="C2489" s="48"/>
      <c r="D2489" s="48"/>
      <c r="E2489" s="48"/>
      <c r="F2489" s="48"/>
    </row>
    <row r="2490" spans="1:38" ht="21" customHeight="1" outlineLevel="4" x14ac:dyDescent="0.2">
      <c r="A2490" s="39">
        <v>1934</v>
      </c>
      <c r="B2490" s="3" t="s">
        <v>11214</v>
      </c>
      <c r="C2490" s="49" t="s">
        <v>11215</v>
      </c>
      <c r="D2490" s="49"/>
      <c r="E2490" s="49"/>
      <c r="F2490" s="49"/>
      <c r="G2490" s="4" t="s">
        <v>11216</v>
      </c>
      <c r="H2490" s="8"/>
      <c r="I2490" s="9" t="s">
        <v>11217</v>
      </c>
      <c r="J2490" s="10"/>
      <c r="K2490" s="11">
        <v>20</v>
      </c>
      <c r="L2490" s="10"/>
      <c r="M2490" s="10" t="s">
        <v>78</v>
      </c>
      <c r="N2490" s="10"/>
      <c r="O2490" s="2">
        <v>2</v>
      </c>
      <c r="P2490" s="17">
        <f>399*(1-S3/100)</f>
        <v>399</v>
      </c>
      <c r="Q2490" s="18"/>
      <c r="R2490" s="10">
        <f>P2490*Q2490</f>
        <v>0</v>
      </c>
      <c r="S2490" s="19">
        <f>0.161*Q2490</f>
        <v>0</v>
      </c>
      <c r="T2490" s="20">
        <f>0.00031*Q2490</f>
        <v>0</v>
      </c>
      <c r="U2490" s="21"/>
      <c r="V2490" s="22" t="s">
        <v>11218</v>
      </c>
      <c r="W2490" s="22" t="s">
        <v>49</v>
      </c>
      <c r="X2490" s="3" t="s">
        <v>11219</v>
      </c>
      <c r="Y2490" s="3"/>
      <c r="Z2490" s="3" t="s">
        <v>52</v>
      </c>
      <c r="AA2490" s="3"/>
      <c r="AB2490" s="3"/>
      <c r="AC2490" s="3" t="str">
        <f>HYPERLINK("https://knigipp.ru/api/getInfo/image/36ec521a-c0fd-11ee-a25a-00155d82e908")</f>
        <v>https://knigipp.ru/api/getInfo/image/36ec521a-c0fd-11ee-a25a-00155d82e908</v>
      </c>
      <c r="AD2490" s="32">
        <v>96</v>
      </c>
      <c r="AE2490" s="3" t="s">
        <v>54</v>
      </c>
      <c r="AF2490" s="3" t="s">
        <v>55</v>
      </c>
      <c r="AG2490" s="3"/>
      <c r="AH2490" s="3" t="s">
        <v>56</v>
      </c>
      <c r="AI2490" s="3"/>
      <c r="AJ2490" s="3"/>
      <c r="AK2490" s="3" t="str">
        <f>HYPERLINK("https://knigipp.ru/api/getInfo/item/36ec521a-c0fd-11ee-a25a-00155d82e908")</f>
        <v>https://knigipp.ru/api/getInfo/item/36ec521a-c0fd-11ee-a25a-00155d82e908</v>
      </c>
      <c r="AL2490" s="3" t="s">
        <v>11220</v>
      </c>
    </row>
    <row r="2491" spans="1:38" ht="21" customHeight="1" outlineLevel="4" x14ac:dyDescent="0.2">
      <c r="A2491" s="39">
        <v>1935</v>
      </c>
      <c r="B2491" s="3" t="s">
        <v>11221</v>
      </c>
      <c r="C2491" s="49" t="s">
        <v>11222</v>
      </c>
      <c r="D2491" s="49"/>
      <c r="E2491" s="49"/>
      <c r="F2491" s="49"/>
      <c r="G2491" s="4" t="s">
        <v>11223</v>
      </c>
      <c r="H2491" s="8"/>
      <c r="I2491" s="9" t="s">
        <v>11224</v>
      </c>
      <c r="J2491" s="10"/>
      <c r="K2491" s="11">
        <v>20</v>
      </c>
      <c r="L2491" s="10"/>
      <c r="M2491" s="10" t="s">
        <v>304</v>
      </c>
      <c r="N2491" s="10"/>
      <c r="O2491" s="2">
        <v>2</v>
      </c>
      <c r="P2491" s="17">
        <f>399*(1-S3/100)</f>
        <v>399</v>
      </c>
      <c r="Q2491" s="18"/>
      <c r="R2491" s="10">
        <f>P2491*Q2491</f>
        <v>0</v>
      </c>
      <c r="S2491" s="19">
        <f>0.159*Q2491</f>
        <v>0</v>
      </c>
      <c r="T2491" s="20">
        <f>0.00025*Q2491</f>
        <v>0</v>
      </c>
      <c r="U2491" s="21"/>
      <c r="V2491" s="22" t="s">
        <v>11225</v>
      </c>
      <c r="W2491" s="22" t="s">
        <v>49</v>
      </c>
      <c r="X2491" s="3" t="s">
        <v>11219</v>
      </c>
      <c r="Y2491" s="3"/>
      <c r="Z2491" s="3" t="s">
        <v>52</v>
      </c>
      <c r="AA2491" s="3"/>
      <c r="AB2491" s="3"/>
      <c r="AC2491" s="3" t="str">
        <f>HYPERLINK("https://knigipp.ru/api/getInfo/image/6cfcaae7-c0fd-11ee-a25a-00155d82e908")</f>
        <v>https://knigipp.ru/api/getInfo/image/6cfcaae7-c0fd-11ee-a25a-00155d82e908</v>
      </c>
      <c r="AD2491" s="32">
        <v>96</v>
      </c>
      <c r="AE2491" s="3" t="s">
        <v>54</v>
      </c>
      <c r="AF2491" s="3" t="s">
        <v>55</v>
      </c>
      <c r="AG2491" s="3"/>
      <c r="AH2491" s="3" t="s">
        <v>56</v>
      </c>
      <c r="AI2491" s="3"/>
      <c r="AJ2491" s="3"/>
      <c r="AK2491" s="3" t="str">
        <f>HYPERLINK("https://knigipp.ru/api/getInfo/item/6cfcaae7-c0fd-11ee-a25a-00155d82e908")</f>
        <v>https://knigipp.ru/api/getInfo/item/6cfcaae7-c0fd-11ee-a25a-00155d82e908</v>
      </c>
      <c r="AL2491" s="3" t="s">
        <v>11220</v>
      </c>
    </row>
    <row r="2492" spans="1:38" ht="23.1" customHeight="1" outlineLevel="3" x14ac:dyDescent="0.2">
      <c r="A2492" s="48" t="s">
        <v>11226</v>
      </c>
      <c r="B2492" s="48"/>
      <c r="C2492" s="48"/>
      <c r="D2492" s="48"/>
      <c r="E2492" s="48"/>
      <c r="F2492" s="48"/>
    </row>
    <row r="2493" spans="1:38" ht="21" customHeight="1" outlineLevel="4" x14ac:dyDescent="0.2">
      <c r="A2493" s="39">
        <v>1936</v>
      </c>
      <c r="B2493" s="3" t="s">
        <v>11227</v>
      </c>
      <c r="C2493" s="49" t="s">
        <v>11228</v>
      </c>
      <c r="D2493" s="49"/>
      <c r="E2493" s="49"/>
      <c r="F2493" s="49"/>
      <c r="G2493" s="4" t="s">
        <v>11229</v>
      </c>
      <c r="H2493" s="8"/>
      <c r="I2493" s="9" t="s">
        <v>11230</v>
      </c>
      <c r="J2493" s="10"/>
      <c r="K2493" s="11">
        <v>8</v>
      </c>
      <c r="L2493" s="10"/>
      <c r="M2493" s="10" t="s">
        <v>47</v>
      </c>
      <c r="N2493" s="10"/>
      <c r="O2493" s="2">
        <v>2</v>
      </c>
      <c r="P2493" s="17">
        <f>477*(1-S3/100)</f>
        <v>477</v>
      </c>
      <c r="Q2493" s="18"/>
      <c r="R2493" s="10">
        <f t="shared" ref="R2493:R2499" si="109">P2493*Q2493</f>
        <v>0</v>
      </c>
      <c r="S2493" s="19">
        <f>0.304*Q2493</f>
        <v>0</v>
      </c>
      <c r="T2493" s="20">
        <f>0.00045*Q2493</f>
        <v>0</v>
      </c>
      <c r="U2493" s="21"/>
      <c r="V2493" s="22" t="s">
        <v>11231</v>
      </c>
      <c r="W2493" s="22" t="s">
        <v>49</v>
      </c>
      <c r="X2493" s="3" t="s">
        <v>11232</v>
      </c>
      <c r="Y2493" s="3" t="s">
        <v>11233</v>
      </c>
      <c r="Z2493" s="3" t="s">
        <v>52</v>
      </c>
      <c r="AA2493" s="3"/>
      <c r="AB2493" s="3"/>
      <c r="AC2493" s="3" t="str">
        <f>HYPERLINK("https://knigipp.ru/api/getInfo/image/15f33ed4-9de8-11eb-a201-ac1f6b442185")</f>
        <v>https://knigipp.ru/api/getInfo/image/15f33ed4-9de8-11eb-a201-ac1f6b442185</v>
      </c>
      <c r="AD2493" s="32">
        <v>48</v>
      </c>
      <c r="AE2493" s="3"/>
      <c r="AF2493" s="3" t="s">
        <v>127</v>
      </c>
      <c r="AG2493" s="3"/>
      <c r="AH2493" s="3" t="s">
        <v>56</v>
      </c>
      <c r="AI2493" s="3"/>
      <c r="AJ2493" s="3"/>
      <c r="AK2493" s="3" t="str">
        <f>HYPERLINK("https://knigipp.ru/api/getInfo/item/15f33ed4-9de8-11eb-a201-ac1f6b442185")</f>
        <v>https://knigipp.ru/api/getInfo/item/15f33ed4-9de8-11eb-a201-ac1f6b442185</v>
      </c>
      <c r="AL2493" s="3" t="s">
        <v>11234</v>
      </c>
    </row>
    <row r="2494" spans="1:38" ht="21" customHeight="1" outlineLevel="4" x14ac:dyDescent="0.2">
      <c r="A2494" s="39">
        <v>1937</v>
      </c>
      <c r="B2494" s="3" t="s">
        <v>11235</v>
      </c>
      <c r="C2494" s="49" t="s">
        <v>11236</v>
      </c>
      <c r="D2494" s="49"/>
      <c r="E2494" s="49"/>
      <c r="F2494" s="49"/>
      <c r="G2494" s="4" t="s">
        <v>11237</v>
      </c>
      <c r="H2494" s="8"/>
      <c r="I2494" s="9" t="s">
        <v>11238</v>
      </c>
      <c r="J2494" s="10"/>
      <c r="K2494" s="11">
        <v>8</v>
      </c>
      <c r="L2494" s="10"/>
      <c r="M2494" s="10" t="s">
        <v>47</v>
      </c>
      <c r="N2494" s="10"/>
      <c r="O2494" s="2">
        <v>2</v>
      </c>
      <c r="P2494" s="17">
        <f>477*(1-S3/100)</f>
        <v>477</v>
      </c>
      <c r="Q2494" s="18"/>
      <c r="R2494" s="10">
        <f t="shared" si="109"/>
        <v>0</v>
      </c>
      <c r="S2494" s="19">
        <f>0.289*Q2494</f>
        <v>0</v>
      </c>
      <c r="T2494" s="20">
        <f>0.00056*Q2494</f>
        <v>0</v>
      </c>
      <c r="U2494" s="21"/>
      <c r="V2494" s="22" t="s">
        <v>11239</v>
      </c>
      <c r="W2494" s="22" t="s">
        <v>49</v>
      </c>
      <c r="X2494" s="3" t="s">
        <v>11240</v>
      </c>
      <c r="Y2494" s="3" t="s">
        <v>11241</v>
      </c>
      <c r="Z2494" s="3" t="s">
        <v>52</v>
      </c>
      <c r="AA2494" s="3"/>
      <c r="AB2494" s="3"/>
      <c r="AC2494" s="3" t="str">
        <f>HYPERLINK("https://knigipp.ru/api/getInfo/image/40d679cc-9de8-11eb-a201-ac1f6b442185")</f>
        <v>https://knigipp.ru/api/getInfo/image/40d679cc-9de8-11eb-a201-ac1f6b442185</v>
      </c>
      <c r="AD2494" s="32">
        <v>48</v>
      </c>
      <c r="AE2494" s="3"/>
      <c r="AF2494" s="3" t="s">
        <v>127</v>
      </c>
      <c r="AG2494" s="3"/>
      <c r="AH2494" s="3" t="s">
        <v>56</v>
      </c>
      <c r="AI2494" s="3"/>
      <c r="AJ2494" s="3"/>
      <c r="AK2494" s="3" t="str">
        <f>HYPERLINK("https://knigipp.ru/api/getInfo/item/40d679cc-9de8-11eb-a201-ac1f6b442185")</f>
        <v>https://knigipp.ru/api/getInfo/item/40d679cc-9de8-11eb-a201-ac1f6b442185</v>
      </c>
      <c r="AL2494" s="3" t="s">
        <v>11234</v>
      </c>
    </row>
    <row r="2495" spans="1:38" ht="21" customHeight="1" outlineLevel="4" x14ac:dyDescent="0.2">
      <c r="A2495" s="39">
        <v>1938</v>
      </c>
      <c r="B2495" s="3" t="s">
        <v>11242</v>
      </c>
      <c r="C2495" s="49" t="s">
        <v>11243</v>
      </c>
      <c r="D2495" s="49"/>
      <c r="E2495" s="49"/>
      <c r="F2495" s="49"/>
      <c r="G2495" s="4" t="s">
        <v>11244</v>
      </c>
      <c r="H2495" s="8"/>
      <c r="I2495" s="9" t="s">
        <v>11245</v>
      </c>
      <c r="J2495" s="10"/>
      <c r="K2495" s="11">
        <v>8</v>
      </c>
      <c r="L2495" s="10"/>
      <c r="M2495" s="10" t="s">
        <v>47</v>
      </c>
      <c r="N2495" s="10"/>
      <c r="O2495" s="2">
        <v>2</v>
      </c>
      <c r="P2495" s="17">
        <f>477*(1-S3/100)</f>
        <v>477</v>
      </c>
      <c r="Q2495" s="18"/>
      <c r="R2495" s="10">
        <f t="shared" si="109"/>
        <v>0</v>
      </c>
      <c r="S2495" s="19">
        <f>0.297*Q2495</f>
        <v>0</v>
      </c>
      <c r="T2495" s="20">
        <f>0.00037*Q2495</f>
        <v>0</v>
      </c>
      <c r="U2495" s="21"/>
      <c r="V2495" s="22" t="s">
        <v>11246</v>
      </c>
      <c r="W2495" s="22" t="s">
        <v>49</v>
      </c>
      <c r="X2495" s="3" t="s">
        <v>11247</v>
      </c>
      <c r="Y2495" s="3" t="s">
        <v>11248</v>
      </c>
      <c r="Z2495" s="3" t="s">
        <v>52</v>
      </c>
      <c r="AA2495" s="3"/>
      <c r="AB2495" s="3"/>
      <c r="AC2495" s="3" t="str">
        <f>HYPERLINK("https://knigipp.ru/api/getInfo/image/a6a0f44e-9de7-11eb-a201-ac1f6b442185")</f>
        <v>https://knigipp.ru/api/getInfo/image/a6a0f44e-9de7-11eb-a201-ac1f6b442185</v>
      </c>
      <c r="AD2495" s="32">
        <v>48</v>
      </c>
      <c r="AE2495" s="3"/>
      <c r="AF2495" s="3" t="s">
        <v>127</v>
      </c>
      <c r="AG2495" s="3"/>
      <c r="AH2495" s="3" t="s">
        <v>56</v>
      </c>
      <c r="AI2495" s="3"/>
      <c r="AJ2495" s="3"/>
      <c r="AK2495" s="3" t="str">
        <f>HYPERLINK("https://knigipp.ru/api/getInfo/item/a6a0f44e-9de7-11eb-a201-ac1f6b442185")</f>
        <v>https://knigipp.ru/api/getInfo/item/a6a0f44e-9de7-11eb-a201-ac1f6b442185</v>
      </c>
      <c r="AL2495" s="3" t="s">
        <v>11234</v>
      </c>
    </row>
    <row r="2496" spans="1:38" ht="21" customHeight="1" outlineLevel="4" x14ac:dyDescent="0.2">
      <c r="A2496" s="39">
        <v>1939</v>
      </c>
      <c r="B2496" s="3" t="s">
        <v>11249</v>
      </c>
      <c r="C2496" s="49" t="s">
        <v>11250</v>
      </c>
      <c r="D2496" s="49"/>
      <c r="E2496" s="49"/>
      <c r="F2496" s="49"/>
      <c r="G2496" s="4" t="s">
        <v>11251</v>
      </c>
      <c r="H2496" s="8"/>
      <c r="I2496" s="9" t="s">
        <v>11252</v>
      </c>
      <c r="J2496" s="10"/>
      <c r="K2496" s="11">
        <v>8</v>
      </c>
      <c r="L2496" s="10"/>
      <c r="M2496" s="10" t="s">
        <v>47</v>
      </c>
      <c r="N2496" s="10"/>
      <c r="O2496" s="2">
        <v>2</v>
      </c>
      <c r="P2496" s="17">
        <f>477*(1-S3/100)</f>
        <v>477</v>
      </c>
      <c r="Q2496" s="18"/>
      <c r="R2496" s="10">
        <f t="shared" si="109"/>
        <v>0</v>
      </c>
      <c r="S2496" s="35">
        <f>0.3*Q2496</f>
        <v>0</v>
      </c>
      <c r="T2496" s="20">
        <f>0.00031*Q2496</f>
        <v>0</v>
      </c>
      <c r="U2496" s="21"/>
      <c r="V2496" s="22" t="s">
        <v>11253</v>
      </c>
      <c r="W2496" s="22" t="s">
        <v>49</v>
      </c>
      <c r="X2496" s="3" t="s">
        <v>11240</v>
      </c>
      <c r="Y2496" s="3" t="s">
        <v>11254</v>
      </c>
      <c r="Z2496" s="3" t="s">
        <v>52</v>
      </c>
      <c r="AA2496" s="3"/>
      <c r="AB2496" s="3"/>
      <c r="AC2496" s="3" t="str">
        <f>HYPERLINK("https://knigipp.ru/api/getInfo/image/676ce1f0-da67-11eb-a209-ac1f6b442185")</f>
        <v>https://knigipp.ru/api/getInfo/image/676ce1f0-da67-11eb-a209-ac1f6b442185</v>
      </c>
      <c r="AD2496" s="32">
        <v>48</v>
      </c>
      <c r="AE2496" s="3"/>
      <c r="AF2496" s="3" t="s">
        <v>127</v>
      </c>
      <c r="AG2496" s="3"/>
      <c r="AH2496" s="3" t="s">
        <v>56</v>
      </c>
      <c r="AI2496" s="3"/>
      <c r="AJ2496" s="3"/>
      <c r="AK2496" s="3" t="str">
        <f>HYPERLINK("https://knigipp.ru/api/getInfo/item/676ce1f0-da67-11eb-a209-ac1f6b442185")</f>
        <v>https://knigipp.ru/api/getInfo/item/676ce1f0-da67-11eb-a209-ac1f6b442185</v>
      </c>
      <c r="AL2496" s="3" t="s">
        <v>11234</v>
      </c>
    </row>
    <row r="2497" spans="1:38" ht="21" customHeight="1" outlineLevel="4" x14ac:dyDescent="0.2">
      <c r="A2497" s="39">
        <v>1940</v>
      </c>
      <c r="B2497" s="3" t="s">
        <v>11255</v>
      </c>
      <c r="C2497" s="49" t="s">
        <v>11256</v>
      </c>
      <c r="D2497" s="49"/>
      <c r="E2497" s="49"/>
      <c r="F2497" s="49"/>
      <c r="G2497" s="4" t="s">
        <v>11257</v>
      </c>
      <c r="H2497" s="8"/>
      <c r="I2497" s="9" t="s">
        <v>11258</v>
      </c>
      <c r="J2497" s="10"/>
      <c r="K2497" s="11">
        <v>8</v>
      </c>
      <c r="L2497" s="10"/>
      <c r="M2497" s="10" t="s">
        <v>47</v>
      </c>
      <c r="N2497" s="10"/>
      <c r="O2497" s="2">
        <v>2</v>
      </c>
      <c r="P2497" s="17">
        <f>477*(1-S3/100)</f>
        <v>477</v>
      </c>
      <c r="Q2497" s="18"/>
      <c r="R2497" s="10">
        <f t="shared" si="109"/>
        <v>0</v>
      </c>
      <c r="S2497" s="19">
        <f>0.295*Q2497</f>
        <v>0</v>
      </c>
      <c r="T2497" s="20">
        <f>0.00064*Q2497</f>
        <v>0</v>
      </c>
      <c r="U2497" s="21"/>
      <c r="V2497" s="22" t="s">
        <v>11259</v>
      </c>
      <c r="W2497" s="22" t="s">
        <v>49</v>
      </c>
      <c r="X2497" s="3" t="s">
        <v>11260</v>
      </c>
      <c r="Y2497" s="3" t="s">
        <v>11261</v>
      </c>
      <c r="Z2497" s="3" t="s">
        <v>52</v>
      </c>
      <c r="AA2497" s="3"/>
      <c r="AB2497" s="3"/>
      <c r="AC2497" s="3" t="str">
        <f>HYPERLINK("https://knigipp.ru/api/getInfo/image/c568038b-da67-11eb-a209-ac1f6b442185")</f>
        <v>https://knigipp.ru/api/getInfo/image/c568038b-da67-11eb-a209-ac1f6b442185</v>
      </c>
      <c r="AD2497" s="32">
        <v>48</v>
      </c>
      <c r="AE2497" s="3"/>
      <c r="AF2497" s="3" t="s">
        <v>127</v>
      </c>
      <c r="AG2497" s="3"/>
      <c r="AH2497" s="3" t="s">
        <v>56</v>
      </c>
      <c r="AI2497" s="3"/>
      <c r="AJ2497" s="3"/>
      <c r="AK2497" s="3" t="str">
        <f>HYPERLINK("https://knigipp.ru/api/getInfo/item/c568038b-da67-11eb-a209-ac1f6b442185")</f>
        <v>https://knigipp.ru/api/getInfo/item/c568038b-da67-11eb-a209-ac1f6b442185</v>
      </c>
      <c r="AL2497" s="3" t="s">
        <v>11234</v>
      </c>
    </row>
    <row r="2498" spans="1:38" ht="21" customHeight="1" outlineLevel="4" x14ac:dyDescent="0.2">
      <c r="A2498" s="39">
        <v>1941</v>
      </c>
      <c r="B2498" s="3" t="s">
        <v>11262</v>
      </c>
      <c r="C2498" s="49" t="s">
        <v>11263</v>
      </c>
      <c r="D2498" s="49"/>
      <c r="E2498" s="49"/>
      <c r="F2498" s="49"/>
      <c r="G2498" s="4" t="s">
        <v>11264</v>
      </c>
      <c r="H2498" s="8"/>
      <c r="I2498" s="9" t="s">
        <v>11265</v>
      </c>
      <c r="J2498" s="10"/>
      <c r="K2498" s="11">
        <v>8</v>
      </c>
      <c r="L2498" s="10"/>
      <c r="M2498" s="10" t="s">
        <v>47</v>
      </c>
      <c r="N2498" s="10"/>
      <c r="O2498" s="2">
        <v>2</v>
      </c>
      <c r="P2498" s="17">
        <f>477*(1-S3/100)</f>
        <v>477</v>
      </c>
      <c r="Q2498" s="18"/>
      <c r="R2498" s="10">
        <f t="shared" si="109"/>
        <v>0</v>
      </c>
      <c r="S2498" s="19">
        <f>2.459*Q2498</f>
        <v>0</v>
      </c>
      <c r="T2498" s="20">
        <f>0.00371*Q2498</f>
        <v>0</v>
      </c>
      <c r="U2498" s="21"/>
      <c r="V2498" s="22" t="s">
        <v>11266</v>
      </c>
      <c r="W2498" s="22" t="s">
        <v>49</v>
      </c>
      <c r="X2498" s="3" t="s">
        <v>11260</v>
      </c>
      <c r="Y2498" s="3" t="s">
        <v>11267</v>
      </c>
      <c r="Z2498" s="3" t="s">
        <v>52</v>
      </c>
      <c r="AA2498" s="3"/>
      <c r="AB2498" s="3"/>
      <c r="AC2498" s="3" t="str">
        <f>HYPERLINK("https://knigipp.ru/api/getInfo/image/9005acdd-da67-11eb-a209-ac1f6b442185")</f>
        <v>https://knigipp.ru/api/getInfo/image/9005acdd-da67-11eb-a209-ac1f6b442185</v>
      </c>
      <c r="AD2498" s="32">
        <v>48</v>
      </c>
      <c r="AE2498" s="3"/>
      <c r="AF2498" s="3" t="s">
        <v>127</v>
      </c>
      <c r="AG2498" s="3"/>
      <c r="AH2498" s="3" t="s">
        <v>56</v>
      </c>
      <c r="AI2498" s="3"/>
      <c r="AJ2498" s="3"/>
      <c r="AK2498" s="3" t="str">
        <f>HYPERLINK("https://knigipp.ru/api/getInfo/item/9005acdd-da67-11eb-a209-ac1f6b442185")</f>
        <v>https://knigipp.ru/api/getInfo/item/9005acdd-da67-11eb-a209-ac1f6b442185</v>
      </c>
      <c r="AL2498" s="3" t="s">
        <v>11234</v>
      </c>
    </row>
    <row r="2499" spans="1:38" ht="21" customHeight="1" outlineLevel="4" x14ac:dyDescent="0.2">
      <c r="A2499" s="39">
        <v>1942</v>
      </c>
      <c r="B2499" s="3" t="s">
        <v>11268</v>
      </c>
      <c r="C2499" s="49" t="s">
        <v>11269</v>
      </c>
      <c r="D2499" s="49"/>
      <c r="E2499" s="49"/>
      <c r="F2499" s="49"/>
      <c r="G2499" s="4" t="s">
        <v>11270</v>
      </c>
      <c r="H2499" s="8"/>
      <c r="I2499" s="9" t="s">
        <v>11271</v>
      </c>
      <c r="J2499" s="10"/>
      <c r="K2499" s="11">
        <v>8</v>
      </c>
      <c r="L2499" s="10"/>
      <c r="M2499" s="10" t="s">
        <v>47</v>
      </c>
      <c r="N2499" s="10"/>
      <c r="O2499" s="2">
        <v>2</v>
      </c>
      <c r="P2499" s="17">
        <f>477*(1-S3/100)</f>
        <v>477</v>
      </c>
      <c r="Q2499" s="18"/>
      <c r="R2499" s="10">
        <f t="shared" si="109"/>
        <v>0</v>
      </c>
      <c r="S2499" s="19">
        <f>0.302*Q2499</f>
        <v>0</v>
      </c>
      <c r="T2499" s="20">
        <f>0.00044*Q2499</f>
        <v>0</v>
      </c>
      <c r="U2499" s="21"/>
      <c r="V2499" s="22" t="s">
        <v>11272</v>
      </c>
      <c r="W2499" s="22" t="s">
        <v>49</v>
      </c>
      <c r="X2499" s="3" t="s">
        <v>11273</v>
      </c>
      <c r="Y2499" s="3" t="s">
        <v>11274</v>
      </c>
      <c r="Z2499" s="3" t="s">
        <v>52</v>
      </c>
      <c r="AA2499" s="3"/>
      <c r="AB2499" s="3"/>
      <c r="AC2499" s="3" t="str">
        <f>HYPERLINK("https://knigipp.ru/api/getInfo/image/d33d4070-9de7-11eb-a201-ac1f6b442185")</f>
        <v>https://knigipp.ru/api/getInfo/image/d33d4070-9de7-11eb-a201-ac1f6b442185</v>
      </c>
      <c r="AD2499" s="32">
        <v>48</v>
      </c>
      <c r="AE2499" s="3"/>
      <c r="AF2499" s="3" t="s">
        <v>127</v>
      </c>
      <c r="AG2499" s="3"/>
      <c r="AH2499" s="3" t="s">
        <v>56</v>
      </c>
      <c r="AI2499" s="3"/>
      <c r="AJ2499" s="3"/>
      <c r="AK2499" s="3" t="str">
        <f>HYPERLINK("https://knigipp.ru/api/getInfo/item/d33d4070-9de7-11eb-a201-ac1f6b442185")</f>
        <v>https://knigipp.ru/api/getInfo/item/d33d4070-9de7-11eb-a201-ac1f6b442185</v>
      </c>
      <c r="AL2499" s="3" t="s">
        <v>11234</v>
      </c>
    </row>
    <row r="2500" spans="1:38" ht="23.1" customHeight="1" outlineLevel="3" x14ac:dyDescent="0.2">
      <c r="A2500" s="48" t="s">
        <v>11275</v>
      </c>
      <c r="B2500" s="48"/>
      <c r="C2500" s="48"/>
      <c r="D2500" s="48"/>
      <c r="E2500" s="48"/>
      <c r="F2500" s="48"/>
    </row>
    <row r="2501" spans="1:38" ht="21" customHeight="1" outlineLevel="4" x14ac:dyDescent="0.2">
      <c r="A2501" s="39">
        <v>1943</v>
      </c>
      <c r="B2501" s="3" t="s">
        <v>11276</v>
      </c>
      <c r="C2501" s="49" t="s">
        <v>11277</v>
      </c>
      <c r="D2501" s="49"/>
      <c r="E2501" s="49"/>
      <c r="F2501" s="49"/>
      <c r="G2501" s="4" t="s">
        <v>11278</v>
      </c>
      <c r="H2501" s="8"/>
      <c r="I2501" s="9" t="s">
        <v>11279</v>
      </c>
      <c r="J2501" s="10"/>
      <c r="K2501" s="11">
        <v>20</v>
      </c>
      <c r="L2501" s="10"/>
      <c r="M2501" s="10" t="s">
        <v>47</v>
      </c>
      <c r="N2501" s="10"/>
      <c r="O2501" s="2">
        <v>3</v>
      </c>
      <c r="P2501" s="17">
        <f>299*(1-S3/100)</f>
        <v>299</v>
      </c>
      <c r="Q2501" s="18"/>
      <c r="R2501" s="10">
        <f>P2501*Q2501</f>
        <v>0</v>
      </c>
      <c r="S2501" s="19">
        <f>0.206*Q2501</f>
        <v>0</v>
      </c>
      <c r="T2501" s="20">
        <f>0.00016*Q2501</f>
        <v>0</v>
      </c>
      <c r="U2501" s="21"/>
      <c r="V2501" s="22" t="s">
        <v>11280</v>
      </c>
      <c r="W2501" s="22" t="s">
        <v>49</v>
      </c>
      <c r="X2501" s="3" t="s">
        <v>11281</v>
      </c>
      <c r="Y2501" s="3"/>
      <c r="Z2501" s="3" t="s">
        <v>52</v>
      </c>
      <c r="AA2501" s="3"/>
      <c r="AB2501" s="3"/>
      <c r="AC2501" s="3" t="str">
        <f>HYPERLINK("https://knigipp.ru/api/getInfo/image/419ea642-49e1-11eb-a25e-ac1f6b442184")</f>
        <v>https://knigipp.ru/api/getInfo/image/419ea642-49e1-11eb-a25e-ac1f6b442184</v>
      </c>
      <c r="AD2501" s="32">
        <v>64</v>
      </c>
      <c r="AE2501" s="3"/>
      <c r="AF2501" s="3" t="s">
        <v>127</v>
      </c>
      <c r="AG2501" s="3"/>
      <c r="AH2501" s="3" t="s">
        <v>56</v>
      </c>
      <c r="AI2501" s="3"/>
      <c r="AJ2501" s="3"/>
      <c r="AK2501" s="3" t="str">
        <f>HYPERLINK("https://knigipp.ru/api/getInfo/item/419ea642-49e1-11eb-a25e-ac1f6b442184")</f>
        <v>https://knigipp.ru/api/getInfo/item/419ea642-49e1-11eb-a25e-ac1f6b442184</v>
      </c>
      <c r="AL2501" s="3" t="s">
        <v>11282</v>
      </c>
    </row>
    <row r="2502" spans="1:38" ht="21" customHeight="1" outlineLevel="4" x14ac:dyDescent="0.2">
      <c r="A2502" s="39">
        <v>1944</v>
      </c>
      <c r="B2502" s="3" t="s">
        <v>11283</v>
      </c>
      <c r="C2502" s="49" t="s">
        <v>11284</v>
      </c>
      <c r="D2502" s="49"/>
      <c r="E2502" s="49"/>
      <c r="F2502" s="49"/>
      <c r="G2502" s="4" t="s">
        <v>11285</v>
      </c>
      <c r="H2502" s="8"/>
      <c r="I2502" s="9" t="s">
        <v>11286</v>
      </c>
      <c r="J2502" s="10"/>
      <c r="K2502" s="11">
        <v>20</v>
      </c>
      <c r="L2502" s="10"/>
      <c r="M2502" s="10" t="s">
        <v>78</v>
      </c>
      <c r="N2502" s="10"/>
      <c r="O2502" s="2">
        <v>3</v>
      </c>
      <c r="P2502" s="17">
        <f>299*(1-S3/100)</f>
        <v>299</v>
      </c>
      <c r="Q2502" s="18"/>
      <c r="R2502" s="10">
        <f>P2502*Q2502</f>
        <v>0</v>
      </c>
      <c r="S2502" s="19">
        <f>0.205*Q2502</f>
        <v>0</v>
      </c>
      <c r="T2502" s="20">
        <f>0.00035*Q2502</f>
        <v>0</v>
      </c>
      <c r="U2502" s="21"/>
      <c r="V2502" s="22" t="s">
        <v>11287</v>
      </c>
      <c r="W2502" s="22" t="s">
        <v>49</v>
      </c>
      <c r="X2502" s="3" t="s">
        <v>11288</v>
      </c>
      <c r="Y2502" s="3"/>
      <c r="Z2502" s="3" t="s">
        <v>52</v>
      </c>
      <c r="AA2502" s="3" t="s">
        <v>11289</v>
      </c>
      <c r="AB2502" s="3"/>
      <c r="AC2502" s="3" t="str">
        <f>HYPERLINK("https://knigipp.ru/api/getInfo/image/d263ba1c-6fad-11e8-84c9-5cf3fc4a2490")</f>
        <v>https://knigipp.ru/api/getInfo/image/d263ba1c-6fad-11e8-84c9-5cf3fc4a2490</v>
      </c>
      <c r="AD2502" s="32">
        <v>64</v>
      </c>
      <c r="AE2502" s="3"/>
      <c r="AF2502" s="3" t="s">
        <v>127</v>
      </c>
      <c r="AG2502" s="3"/>
      <c r="AH2502" s="3" t="s">
        <v>56</v>
      </c>
      <c r="AI2502" s="3"/>
      <c r="AJ2502" s="3"/>
      <c r="AK2502" s="3" t="str">
        <f>HYPERLINK("https://knigipp.ru/api/getInfo/item/d263ba1c-6fad-11e8-84c9-5cf3fc4a2490")</f>
        <v>https://knigipp.ru/api/getInfo/item/d263ba1c-6fad-11e8-84c9-5cf3fc4a2490</v>
      </c>
      <c r="AL2502" s="3" t="s">
        <v>11282</v>
      </c>
    </row>
    <row r="2503" spans="1:38" ht="21" customHeight="1" outlineLevel="4" x14ac:dyDescent="0.2">
      <c r="A2503" s="39">
        <v>1945</v>
      </c>
      <c r="B2503" s="3" t="s">
        <v>11290</v>
      </c>
      <c r="C2503" s="49" t="s">
        <v>11291</v>
      </c>
      <c r="D2503" s="49"/>
      <c r="E2503" s="49"/>
      <c r="F2503" s="49"/>
      <c r="G2503" s="4" t="s">
        <v>11292</v>
      </c>
      <c r="H2503" s="8"/>
      <c r="I2503" s="9" t="s">
        <v>11293</v>
      </c>
      <c r="J2503" s="10"/>
      <c r="K2503" s="11">
        <v>20</v>
      </c>
      <c r="L2503" s="10"/>
      <c r="M2503" s="10" t="s">
        <v>47</v>
      </c>
      <c r="N2503" s="10"/>
      <c r="O2503" s="2">
        <v>3</v>
      </c>
      <c r="P2503" s="17">
        <f>299*(1-S3/100)</f>
        <v>299</v>
      </c>
      <c r="Q2503" s="18"/>
      <c r="R2503" s="10">
        <f>P2503*Q2503</f>
        <v>0</v>
      </c>
      <c r="S2503" s="19">
        <f>0.206*Q2503</f>
        <v>0</v>
      </c>
      <c r="T2503" s="20">
        <f>0.00025*Q2503</f>
        <v>0</v>
      </c>
      <c r="U2503" s="21"/>
      <c r="V2503" s="22" t="s">
        <v>11294</v>
      </c>
      <c r="W2503" s="22" t="s">
        <v>49</v>
      </c>
      <c r="X2503" s="3" t="s">
        <v>281</v>
      </c>
      <c r="Y2503" s="3"/>
      <c r="Z2503" s="3" t="s">
        <v>52</v>
      </c>
      <c r="AA2503" s="3" t="s">
        <v>11289</v>
      </c>
      <c r="AB2503" s="3"/>
      <c r="AC2503" s="3" t="str">
        <f>HYPERLINK("https://knigipp.ru/api/getInfo/image/deb8195c-6fad-11e8-84c9-5cf3fc4a2490")</f>
        <v>https://knigipp.ru/api/getInfo/image/deb8195c-6fad-11e8-84c9-5cf3fc4a2490</v>
      </c>
      <c r="AD2503" s="32">
        <v>64</v>
      </c>
      <c r="AE2503" s="3"/>
      <c r="AF2503" s="3" t="s">
        <v>127</v>
      </c>
      <c r="AG2503" s="3"/>
      <c r="AH2503" s="3" t="s">
        <v>56</v>
      </c>
      <c r="AI2503" s="3"/>
      <c r="AJ2503" s="3"/>
      <c r="AK2503" s="3" t="str">
        <f>HYPERLINK("https://knigipp.ru/api/getInfo/item/deb8195c-6fad-11e8-84c9-5cf3fc4a2490")</f>
        <v>https://knigipp.ru/api/getInfo/item/deb8195c-6fad-11e8-84c9-5cf3fc4a2490</v>
      </c>
      <c r="AL2503" s="3" t="s">
        <v>11282</v>
      </c>
    </row>
    <row r="2504" spans="1:38" ht="23.1" customHeight="1" outlineLevel="3" x14ac:dyDescent="0.2">
      <c r="A2504" s="48" t="s">
        <v>11295</v>
      </c>
      <c r="B2504" s="48"/>
      <c r="C2504" s="48"/>
      <c r="D2504" s="48"/>
      <c r="E2504" s="48"/>
      <c r="F2504" s="48"/>
    </row>
    <row r="2505" spans="1:38" ht="21" customHeight="1" outlineLevel="4" x14ac:dyDescent="0.2">
      <c r="A2505" s="39">
        <v>1946</v>
      </c>
      <c r="B2505" s="3" t="s">
        <v>11296</v>
      </c>
      <c r="C2505" s="49" t="s">
        <v>11297</v>
      </c>
      <c r="D2505" s="49"/>
      <c r="E2505" s="49"/>
      <c r="F2505" s="49"/>
      <c r="G2505" s="4" t="s">
        <v>11298</v>
      </c>
      <c r="H2505" s="8"/>
      <c r="I2505" s="9" t="s">
        <v>11299</v>
      </c>
      <c r="J2505" s="10"/>
      <c r="K2505" s="11">
        <v>8</v>
      </c>
      <c r="L2505" s="10"/>
      <c r="M2505" s="10" t="s">
        <v>47</v>
      </c>
      <c r="N2505" s="10"/>
      <c r="O2505" s="2">
        <v>2</v>
      </c>
      <c r="P2505" s="17">
        <f>487*(1-S3/100)</f>
        <v>487</v>
      </c>
      <c r="Q2505" s="18"/>
      <c r="R2505" s="10">
        <f t="shared" ref="R2505:R2517" si="110">P2505*Q2505</f>
        <v>0</v>
      </c>
      <c r="S2505" s="19">
        <f t="shared" ref="S2505:S2512" si="111">0.491*Q2505</f>
        <v>0</v>
      </c>
      <c r="T2505" s="20">
        <f t="shared" ref="T2505:T2512" si="112">0.00054*Q2505</f>
        <v>0</v>
      </c>
      <c r="U2505" s="21"/>
      <c r="V2505" s="22" t="s">
        <v>11300</v>
      </c>
      <c r="W2505" s="22" t="s">
        <v>49</v>
      </c>
      <c r="X2505" s="3" t="s">
        <v>11301</v>
      </c>
      <c r="Y2505" s="3"/>
      <c r="Z2505" s="3" t="s">
        <v>384</v>
      </c>
      <c r="AA2505" s="3"/>
      <c r="AB2505" s="3"/>
      <c r="AC2505" s="3" t="str">
        <f>HYPERLINK("https://knigipp.ru/api/getInfo/image/94a26a5c-c397-11eb-a206-ac1f6b442185")</f>
        <v>https://knigipp.ru/api/getInfo/image/94a26a5c-c397-11eb-a206-ac1f6b442185</v>
      </c>
      <c r="AD2505" s="32">
        <v>64</v>
      </c>
      <c r="AE2505" s="3"/>
      <c r="AF2505" s="3" t="s">
        <v>127</v>
      </c>
      <c r="AG2505" s="3"/>
      <c r="AH2505" s="3" t="s">
        <v>56</v>
      </c>
      <c r="AI2505" s="3"/>
      <c r="AJ2505" s="3"/>
      <c r="AK2505" s="3" t="str">
        <f>HYPERLINK("https://knigipp.ru/api/getInfo/item/94a26a5c-c397-11eb-a206-ac1f6b442185")</f>
        <v>https://knigipp.ru/api/getInfo/item/94a26a5c-c397-11eb-a206-ac1f6b442185</v>
      </c>
      <c r="AL2505" s="3" t="s">
        <v>11302</v>
      </c>
    </row>
    <row r="2506" spans="1:38" ht="21" customHeight="1" outlineLevel="4" x14ac:dyDescent="0.2">
      <c r="A2506" s="39">
        <v>1947</v>
      </c>
      <c r="B2506" s="3" t="s">
        <v>11303</v>
      </c>
      <c r="C2506" s="49" t="s">
        <v>11304</v>
      </c>
      <c r="D2506" s="49"/>
      <c r="E2506" s="49"/>
      <c r="F2506" s="49"/>
      <c r="G2506" s="4" t="s">
        <v>11305</v>
      </c>
      <c r="H2506" s="8"/>
      <c r="I2506" s="9" t="s">
        <v>11306</v>
      </c>
      <c r="J2506" s="10"/>
      <c r="K2506" s="11">
        <v>8</v>
      </c>
      <c r="L2506" s="10"/>
      <c r="M2506" s="10" t="s">
        <v>47</v>
      </c>
      <c r="N2506" s="10"/>
      <c r="O2506" s="2">
        <v>2</v>
      </c>
      <c r="P2506" s="17">
        <f>487*(1-S3/100)</f>
        <v>487</v>
      </c>
      <c r="Q2506" s="18"/>
      <c r="R2506" s="10">
        <f t="shared" si="110"/>
        <v>0</v>
      </c>
      <c r="S2506" s="19">
        <f t="shared" si="111"/>
        <v>0</v>
      </c>
      <c r="T2506" s="20">
        <f t="shared" si="112"/>
        <v>0</v>
      </c>
      <c r="U2506" s="21"/>
      <c r="V2506" s="22" t="s">
        <v>11307</v>
      </c>
      <c r="W2506" s="22" t="s">
        <v>49</v>
      </c>
      <c r="X2506" s="3" t="s">
        <v>11219</v>
      </c>
      <c r="Y2506" s="3"/>
      <c r="Z2506" s="3" t="s">
        <v>384</v>
      </c>
      <c r="AA2506" s="3"/>
      <c r="AB2506" s="3"/>
      <c r="AC2506" s="3" t="str">
        <f>HYPERLINK("https://knigipp.ru/api/getInfo/image/1a97854c-c397-11eb-a206-ac1f6b442185")</f>
        <v>https://knigipp.ru/api/getInfo/image/1a97854c-c397-11eb-a206-ac1f6b442185</v>
      </c>
      <c r="AD2506" s="32">
        <v>64</v>
      </c>
      <c r="AE2506" s="3"/>
      <c r="AF2506" s="3" t="s">
        <v>127</v>
      </c>
      <c r="AG2506" s="3"/>
      <c r="AH2506" s="3" t="s">
        <v>56</v>
      </c>
      <c r="AI2506" s="3"/>
      <c r="AJ2506" s="3"/>
      <c r="AK2506" s="3" t="str">
        <f>HYPERLINK("https://knigipp.ru/api/getInfo/item/1a97854c-c397-11eb-a206-ac1f6b442185")</f>
        <v>https://knigipp.ru/api/getInfo/item/1a97854c-c397-11eb-a206-ac1f6b442185</v>
      </c>
      <c r="AL2506" s="3" t="s">
        <v>11302</v>
      </c>
    </row>
    <row r="2507" spans="1:38" ht="21" customHeight="1" outlineLevel="4" x14ac:dyDescent="0.2">
      <c r="A2507" s="39">
        <v>1948</v>
      </c>
      <c r="B2507" s="3" t="s">
        <v>11308</v>
      </c>
      <c r="C2507" s="49" t="s">
        <v>11309</v>
      </c>
      <c r="D2507" s="49"/>
      <c r="E2507" s="49"/>
      <c r="F2507" s="49"/>
      <c r="G2507" s="4" t="s">
        <v>11310</v>
      </c>
      <c r="H2507" s="8"/>
      <c r="I2507" s="9" t="s">
        <v>11311</v>
      </c>
      <c r="J2507" s="10"/>
      <c r="K2507" s="11">
        <v>8</v>
      </c>
      <c r="L2507" s="10"/>
      <c r="M2507" s="10" t="s">
        <v>47</v>
      </c>
      <c r="N2507" s="10"/>
      <c r="O2507" s="2">
        <v>2</v>
      </c>
      <c r="P2507" s="17">
        <f>487*(1-S3/100)</f>
        <v>487</v>
      </c>
      <c r="Q2507" s="18"/>
      <c r="R2507" s="10">
        <f t="shared" si="110"/>
        <v>0</v>
      </c>
      <c r="S2507" s="19">
        <f t="shared" si="111"/>
        <v>0</v>
      </c>
      <c r="T2507" s="20">
        <f t="shared" si="112"/>
        <v>0</v>
      </c>
      <c r="U2507" s="21"/>
      <c r="V2507" s="22" t="s">
        <v>11312</v>
      </c>
      <c r="W2507" s="22" t="s">
        <v>49</v>
      </c>
      <c r="X2507" s="3" t="s">
        <v>11219</v>
      </c>
      <c r="Y2507" s="3"/>
      <c r="Z2507" s="3" t="s">
        <v>384</v>
      </c>
      <c r="AA2507" s="3"/>
      <c r="AB2507" s="3"/>
      <c r="AC2507" s="3" t="str">
        <f>HYPERLINK("https://knigipp.ru/api/getInfo/image/8d928133-c398-11eb-a206-ac1f6b442185")</f>
        <v>https://knigipp.ru/api/getInfo/image/8d928133-c398-11eb-a206-ac1f6b442185</v>
      </c>
      <c r="AD2507" s="32">
        <v>64</v>
      </c>
      <c r="AE2507" s="3"/>
      <c r="AF2507" s="3" t="s">
        <v>127</v>
      </c>
      <c r="AG2507" s="3"/>
      <c r="AH2507" s="3" t="s">
        <v>56</v>
      </c>
      <c r="AI2507" s="3"/>
      <c r="AJ2507" s="3"/>
      <c r="AK2507" s="3" t="str">
        <f>HYPERLINK("https://knigipp.ru/api/getInfo/item/8d928133-c398-11eb-a206-ac1f6b442185")</f>
        <v>https://knigipp.ru/api/getInfo/item/8d928133-c398-11eb-a206-ac1f6b442185</v>
      </c>
      <c r="AL2507" s="3" t="s">
        <v>11302</v>
      </c>
    </row>
    <row r="2508" spans="1:38" ht="21" customHeight="1" outlineLevel="4" x14ac:dyDescent="0.2">
      <c r="A2508" s="39">
        <v>1949</v>
      </c>
      <c r="B2508" s="3" t="s">
        <v>11313</v>
      </c>
      <c r="C2508" s="49" t="s">
        <v>11314</v>
      </c>
      <c r="D2508" s="49"/>
      <c r="E2508" s="49"/>
      <c r="F2508" s="49"/>
      <c r="G2508" s="4" t="s">
        <v>11315</v>
      </c>
      <c r="H2508" s="8"/>
      <c r="I2508" s="9" t="s">
        <v>11316</v>
      </c>
      <c r="J2508" s="10"/>
      <c r="K2508" s="11">
        <v>8</v>
      </c>
      <c r="L2508" s="10"/>
      <c r="M2508" s="10" t="s">
        <v>47</v>
      </c>
      <c r="N2508" s="10"/>
      <c r="O2508" s="2">
        <v>2</v>
      </c>
      <c r="P2508" s="17">
        <f>487*(1-S3/100)</f>
        <v>487</v>
      </c>
      <c r="Q2508" s="18"/>
      <c r="R2508" s="10">
        <f t="shared" si="110"/>
        <v>0</v>
      </c>
      <c r="S2508" s="19">
        <f t="shared" si="111"/>
        <v>0</v>
      </c>
      <c r="T2508" s="20">
        <f t="shared" si="112"/>
        <v>0</v>
      </c>
      <c r="U2508" s="21"/>
      <c r="V2508" s="22" t="s">
        <v>11317</v>
      </c>
      <c r="W2508" s="22" t="s">
        <v>49</v>
      </c>
      <c r="X2508" s="3" t="s">
        <v>11318</v>
      </c>
      <c r="Y2508" s="3"/>
      <c r="Z2508" s="3" t="s">
        <v>384</v>
      </c>
      <c r="AA2508" s="3"/>
      <c r="AB2508" s="3"/>
      <c r="AC2508" s="3" t="str">
        <f>HYPERLINK("https://knigipp.ru/api/getInfo/image/dcdf46b7-c398-11eb-a206-ac1f6b442185")</f>
        <v>https://knigipp.ru/api/getInfo/image/dcdf46b7-c398-11eb-a206-ac1f6b442185</v>
      </c>
      <c r="AD2508" s="32">
        <v>64</v>
      </c>
      <c r="AE2508" s="3"/>
      <c r="AF2508" s="3" t="s">
        <v>127</v>
      </c>
      <c r="AG2508" s="3"/>
      <c r="AH2508" s="3" t="s">
        <v>56</v>
      </c>
      <c r="AI2508" s="3"/>
      <c r="AJ2508" s="3"/>
      <c r="AK2508" s="3" t="str">
        <f>HYPERLINK("https://knigipp.ru/api/getInfo/item/dcdf46b7-c398-11eb-a206-ac1f6b442185")</f>
        <v>https://knigipp.ru/api/getInfo/item/dcdf46b7-c398-11eb-a206-ac1f6b442185</v>
      </c>
      <c r="AL2508" s="3" t="s">
        <v>11302</v>
      </c>
    </row>
    <row r="2509" spans="1:38" ht="21" customHeight="1" outlineLevel="4" x14ac:dyDescent="0.2">
      <c r="A2509" s="39">
        <v>1950</v>
      </c>
      <c r="B2509" s="3" t="s">
        <v>11319</v>
      </c>
      <c r="C2509" s="49" t="s">
        <v>11320</v>
      </c>
      <c r="D2509" s="49"/>
      <c r="E2509" s="49"/>
      <c r="F2509" s="49"/>
      <c r="G2509" s="4" t="s">
        <v>11321</v>
      </c>
      <c r="H2509" s="8"/>
      <c r="I2509" s="9" t="s">
        <v>11322</v>
      </c>
      <c r="J2509" s="10"/>
      <c r="K2509" s="11">
        <v>8</v>
      </c>
      <c r="L2509" s="10"/>
      <c r="M2509" s="10" t="s">
        <v>47</v>
      </c>
      <c r="N2509" s="10"/>
      <c r="O2509" s="2">
        <v>2</v>
      </c>
      <c r="P2509" s="17">
        <f>487*(1-S3/100)</f>
        <v>487</v>
      </c>
      <c r="Q2509" s="18"/>
      <c r="R2509" s="10">
        <f t="shared" si="110"/>
        <v>0</v>
      </c>
      <c r="S2509" s="19">
        <f t="shared" si="111"/>
        <v>0</v>
      </c>
      <c r="T2509" s="20">
        <f t="shared" si="112"/>
        <v>0</v>
      </c>
      <c r="U2509" s="21"/>
      <c r="V2509" s="22" t="s">
        <v>11323</v>
      </c>
      <c r="W2509" s="22" t="s">
        <v>49</v>
      </c>
      <c r="X2509" s="3" t="s">
        <v>11318</v>
      </c>
      <c r="Y2509" s="3"/>
      <c r="Z2509" s="3" t="s">
        <v>384</v>
      </c>
      <c r="AA2509" s="3"/>
      <c r="AB2509" s="3"/>
      <c r="AC2509" s="3" t="str">
        <f>HYPERLINK("https://knigipp.ru/api/getInfo/image/2b7fe012-c39a-11eb-a206-ac1f6b442185")</f>
        <v>https://knigipp.ru/api/getInfo/image/2b7fe012-c39a-11eb-a206-ac1f6b442185</v>
      </c>
      <c r="AD2509" s="32">
        <v>64</v>
      </c>
      <c r="AE2509" s="3"/>
      <c r="AF2509" s="3" t="s">
        <v>127</v>
      </c>
      <c r="AG2509" s="3"/>
      <c r="AH2509" s="3" t="s">
        <v>56</v>
      </c>
      <c r="AI2509" s="3"/>
      <c r="AJ2509" s="3"/>
      <c r="AK2509" s="3" t="str">
        <f>HYPERLINK("https://knigipp.ru/api/getInfo/item/2b7fe012-c39a-11eb-a206-ac1f6b442185")</f>
        <v>https://knigipp.ru/api/getInfo/item/2b7fe012-c39a-11eb-a206-ac1f6b442185</v>
      </c>
      <c r="AL2509" s="3" t="s">
        <v>11302</v>
      </c>
    </row>
    <row r="2510" spans="1:38" ht="21" customHeight="1" outlineLevel="4" x14ac:dyDescent="0.2">
      <c r="A2510" s="39">
        <v>1951</v>
      </c>
      <c r="B2510" s="3" t="s">
        <v>11324</v>
      </c>
      <c r="C2510" s="49" t="s">
        <v>11325</v>
      </c>
      <c r="D2510" s="49"/>
      <c r="E2510" s="49"/>
      <c r="F2510" s="49"/>
      <c r="G2510" s="4" t="s">
        <v>11326</v>
      </c>
      <c r="H2510" s="8"/>
      <c r="I2510" s="9" t="s">
        <v>11327</v>
      </c>
      <c r="J2510" s="10"/>
      <c r="K2510" s="11">
        <v>8</v>
      </c>
      <c r="L2510" s="10"/>
      <c r="M2510" s="10" t="s">
        <v>47</v>
      </c>
      <c r="N2510" s="10"/>
      <c r="O2510" s="2">
        <v>2</v>
      </c>
      <c r="P2510" s="17">
        <f>487*(1-S3/100)</f>
        <v>487</v>
      </c>
      <c r="Q2510" s="18"/>
      <c r="R2510" s="10">
        <f t="shared" si="110"/>
        <v>0</v>
      </c>
      <c r="S2510" s="19">
        <f t="shared" si="111"/>
        <v>0</v>
      </c>
      <c r="T2510" s="20">
        <f t="shared" si="112"/>
        <v>0</v>
      </c>
      <c r="U2510" s="21"/>
      <c r="V2510" s="22" t="s">
        <v>11328</v>
      </c>
      <c r="W2510" s="22" t="s">
        <v>49</v>
      </c>
      <c r="X2510" s="3" t="s">
        <v>11318</v>
      </c>
      <c r="Y2510" s="3"/>
      <c r="Z2510" s="3" t="s">
        <v>384</v>
      </c>
      <c r="AA2510" s="3"/>
      <c r="AB2510" s="3"/>
      <c r="AC2510" s="3" t="str">
        <f>HYPERLINK("https://knigipp.ru/api/getInfo/image/740dc1a2-c397-11eb-a206-ac1f6b442185")</f>
        <v>https://knigipp.ru/api/getInfo/image/740dc1a2-c397-11eb-a206-ac1f6b442185</v>
      </c>
      <c r="AD2510" s="32">
        <v>64</v>
      </c>
      <c r="AE2510" s="3"/>
      <c r="AF2510" s="3" t="s">
        <v>127</v>
      </c>
      <c r="AG2510" s="3"/>
      <c r="AH2510" s="3" t="s">
        <v>56</v>
      </c>
      <c r="AI2510" s="3"/>
      <c r="AJ2510" s="3"/>
      <c r="AK2510" s="3" t="str">
        <f>HYPERLINK("https://knigipp.ru/api/getInfo/item/740dc1a2-c397-11eb-a206-ac1f6b442185")</f>
        <v>https://knigipp.ru/api/getInfo/item/740dc1a2-c397-11eb-a206-ac1f6b442185</v>
      </c>
      <c r="AL2510" s="3" t="s">
        <v>11302</v>
      </c>
    </row>
    <row r="2511" spans="1:38" ht="21" customHeight="1" outlineLevel="4" x14ac:dyDescent="0.2">
      <c r="A2511" s="39">
        <v>1952</v>
      </c>
      <c r="B2511" s="3" t="s">
        <v>11329</v>
      </c>
      <c r="C2511" s="49" t="s">
        <v>11330</v>
      </c>
      <c r="D2511" s="49"/>
      <c r="E2511" s="49"/>
      <c r="F2511" s="49"/>
      <c r="G2511" s="4" t="s">
        <v>11331</v>
      </c>
      <c r="H2511" s="8"/>
      <c r="I2511" s="9" t="s">
        <v>11332</v>
      </c>
      <c r="J2511" s="10"/>
      <c r="K2511" s="11">
        <v>8</v>
      </c>
      <c r="L2511" s="10"/>
      <c r="M2511" s="10" t="s">
        <v>47</v>
      </c>
      <c r="N2511" s="10"/>
      <c r="O2511" s="2">
        <v>2</v>
      </c>
      <c r="P2511" s="17">
        <f>487*(1-S3/100)</f>
        <v>487</v>
      </c>
      <c r="Q2511" s="18"/>
      <c r="R2511" s="10">
        <f t="shared" si="110"/>
        <v>0</v>
      </c>
      <c r="S2511" s="19">
        <f t="shared" si="111"/>
        <v>0</v>
      </c>
      <c r="T2511" s="20">
        <f t="shared" si="112"/>
        <v>0</v>
      </c>
      <c r="U2511" s="21"/>
      <c r="V2511" s="22" t="s">
        <v>11333</v>
      </c>
      <c r="W2511" s="22" t="s">
        <v>49</v>
      </c>
      <c r="X2511" s="3" t="s">
        <v>11318</v>
      </c>
      <c r="Y2511" s="3"/>
      <c r="Z2511" s="3" t="s">
        <v>384</v>
      </c>
      <c r="AA2511" s="3"/>
      <c r="AB2511" s="3"/>
      <c r="AC2511" s="3" t="str">
        <f>HYPERLINK("https://knigipp.ru/api/getInfo/image/02a37aef-c39a-11eb-a206-ac1f6b442185")</f>
        <v>https://knigipp.ru/api/getInfo/image/02a37aef-c39a-11eb-a206-ac1f6b442185</v>
      </c>
      <c r="AD2511" s="32">
        <v>64</v>
      </c>
      <c r="AE2511" s="3"/>
      <c r="AF2511" s="3" t="s">
        <v>127</v>
      </c>
      <c r="AG2511" s="3"/>
      <c r="AH2511" s="3" t="s">
        <v>56</v>
      </c>
      <c r="AI2511" s="3"/>
      <c r="AJ2511" s="3"/>
      <c r="AK2511" s="3" t="str">
        <f>HYPERLINK("https://knigipp.ru/api/getInfo/item/02a37aef-c39a-11eb-a206-ac1f6b442185")</f>
        <v>https://knigipp.ru/api/getInfo/item/02a37aef-c39a-11eb-a206-ac1f6b442185</v>
      </c>
      <c r="AL2511" s="3" t="s">
        <v>11302</v>
      </c>
    </row>
    <row r="2512" spans="1:38" ht="21" customHeight="1" outlineLevel="4" x14ac:dyDescent="0.2">
      <c r="A2512" s="39">
        <v>1953</v>
      </c>
      <c r="B2512" s="3" t="s">
        <v>11334</v>
      </c>
      <c r="C2512" s="49" t="s">
        <v>11335</v>
      </c>
      <c r="D2512" s="49"/>
      <c r="E2512" s="49"/>
      <c r="F2512" s="49"/>
      <c r="G2512" s="4" t="s">
        <v>11336</v>
      </c>
      <c r="H2512" s="8"/>
      <c r="I2512" s="9" t="s">
        <v>11337</v>
      </c>
      <c r="J2512" s="10"/>
      <c r="K2512" s="11">
        <v>8</v>
      </c>
      <c r="L2512" s="10"/>
      <c r="M2512" s="10" t="s">
        <v>47</v>
      </c>
      <c r="N2512" s="10"/>
      <c r="O2512" s="2">
        <v>2</v>
      </c>
      <c r="P2512" s="17">
        <f>487*(1-S3/100)</f>
        <v>487</v>
      </c>
      <c r="Q2512" s="18"/>
      <c r="R2512" s="10">
        <f t="shared" si="110"/>
        <v>0</v>
      </c>
      <c r="S2512" s="19">
        <f t="shared" si="111"/>
        <v>0</v>
      </c>
      <c r="T2512" s="20">
        <f t="shared" si="112"/>
        <v>0</v>
      </c>
      <c r="U2512" s="21"/>
      <c r="V2512" s="22" t="s">
        <v>11338</v>
      </c>
      <c r="W2512" s="22" t="s">
        <v>49</v>
      </c>
      <c r="X2512" s="3" t="s">
        <v>11219</v>
      </c>
      <c r="Y2512" s="3"/>
      <c r="Z2512" s="3" t="s">
        <v>384</v>
      </c>
      <c r="AA2512" s="3"/>
      <c r="AB2512" s="3"/>
      <c r="AC2512" s="3" t="str">
        <f>HYPERLINK("https://knigipp.ru/api/getInfo/image/84653a75-c399-11eb-a206-ac1f6b442185")</f>
        <v>https://knigipp.ru/api/getInfo/image/84653a75-c399-11eb-a206-ac1f6b442185</v>
      </c>
      <c r="AD2512" s="32">
        <v>64</v>
      </c>
      <c r="AE2512" s="3"/>
      <c r="AF2512" s="3" t="s">
        <v>127</v>
      </c>
      <c r="AG2512" s="3"/>
      <c r="AH2512" s="3" t="s">
        <v>56</v>
      </c>
      <c r="AI2512" s="3"/>
      <c r="AJ2512" s="3"/>
      <c r="AK2512" s="3" t="str">
        <f>HYPERLINK("https://knigipp.ru/api/getInfo/item/84653a75-c399-11eb-a206-ac1f6b442185")</f>
        <v>https://knigipp.ru/api/getInfo/item/84653a75-c399-11eb-a206-ac1f6b442185</v>
      </c>
      <c r="AL2512" s="3" t="s">
        <v>11302</v>
      </c>
    </row>
    <row r="2513" spans="1:38" ht="21" customHeight="1" outlineLevel="4" x14ac:dyDescent="0.2">
      <c r="A2513" s="39">
        <v>1954</v>
      </c>
      <c r="B2513" s="3" t="s">
        <v>11339</v>
      </c>
      <c r="C2513" s="49" t="s">
        <v>11340</v>
      </c>
      <c r="D2513" s="49"/>
      <c r="E2513" s="49"/>
      <c r="F2513" s="49"/>
      <c r="G2513" s="4" t="s">
        <v>11341</v>
      </c>
      <c r="H2513" s="8"/>
      <c r="I2513" s="9" t="s">
        <v>11342</v>
      </c>
      <c r="J2513" s="10"/>
      <c r="K2513" s="11">
        <v>8</v>
      </c>
      <c r="L2513" s="10"/>
      <c r="M2513" s="10" t="s">
        <v>304</v>
      </c>
      <c r="N2513" s="10"/>
      <c r="O2513" s="2">
        <v>2</v>
      </c>
      <c r="P2513" s="17">
        <f>487*(1-S3/100)</f>
        <v>487</v>
      </c>
      <c r="Q2513" s="18"/>
      <c r="R2513" s="10">
        <f t="shared" si="110"/>
        <v>0</v>
      </c>
      <c r="S2513" s="10">
        <v>0</v>
      </c>
      <c r="T2513" s="10">
        <v>0</v>
      </c>
      <c r="U2513" s="21"/>
      <c r="V2513" s="22" t="s">
        <v>11343</v>
      </c>
      <c r="W2513" s="22" t="s">
        <v>49</v>
      </c>
      <c r="X2513" s="3" t="s">
        <v>11318</v>
      </c>
      <c r="Y2513" s="3"/>
      <c r="Z2513" s="3" t="s">
        <v>384</v>
      </c>
      <c r="AA2513" s="3"/>
      <c r="AB2513" s="3"/>
      <c r="AC2513" s="3" t="str">
        <f>HYPERLINK("https://knigipp.ru/api/getInfo/image/5f31e74a-c399-11eb-a206-ac1f6b442185")</f>
        <v>https://knigipp.ru/api/getInfo/image/5f31e74a-c399-11eb-a206-ac1f6b442185</v>
      </c>
      <c r="AD2513" s="32">
        <v>64</v>
      </c>
      <c r="AE2513" s="3"/>
      <c r="AF2513" s="3" t="s">
        <v>127</v>
      </c>
      <c r="AG2513" s="3"/>
      <c r="AH2513" s="3" t="s">
        <v>56</v>
      </c>
      <c r="AI2513" s="3"/>
      <c r="AJ2513" s="3"/>
      <c r="AK2513" s="3" t="str">
        <f>HYPERLINK("https://knigipp.ru/api/getInfo/item/5f31e74a-c399-11eb-a206-ac1f6b442185")</f>
        <v>https://knigipp.ru/api/getInfo/item/5f31e74a-c399-11eb-a206-ac1f6b442185</v>
      </c>
      <c r="AL2513" s="3" t="s">
        <v>11302</v>
      </c>
    </row>
    <row r="2514" spans="1:38" ht="21" customHeight="1" outlineLevel="4" x14ac:dyDescent="0.2">
      <c r="A2514" s="39">
        <v>1955</v>
      </c>
      <c r="B2514" s="3" t="s">
        <v>11344</v>
      </c>
      <c r="C2514" s="49" t="s">
        <v>11345</v>
      </c>
      <c r="D2514" s="49"/>
      <c r="E2514" s="49"/>
      <c r="F2514" s="49"/>
      <c r="G2514" s="4" t="s">
        <v>11346</v>
      </c>
      <c r="H2514" s="8"/>
      <c r="I2514" s="9" t="s">
        <v>11347</v>
      </c>
      <c r="J2514" s="10"/>
      <c r="K2514" s="11">
        <v>8</v>
      </c>
      <c r="L2514" s="10"/>
      <c r="M2514" s="10" t="s">
        <v>47</v>
      </c>
      <c r="N2514" s="10"/>
      <c r="O2514" s="2">
        <v>2</v>
      </c>
      <c r="P2514" s="17">
        <f>487*(1-S3/100)</f>
        <v>487</v>
      </c>
      <c r="Q2514" s="18"/>
      <c r="R2514" s="10">
        <f t="shared" si="110"/>
        <v>0</v>
      </c>
      <c r="S2514" s="19">
        <f>0.491*Q2514</f>
        <v>0</v>
      </c>
      <c r="T2514" s="20">
        <f>0.00054*Q2514</f>
        <v>0</v>
      </c>
      <c r="U2514" s="21"/>
      <c r="V2514" s="22" t="s">
        <v>11348</v>
      </c>
      <c r="W2514" s="22" t="s">
        <v>49</v>
      </c>
      <c r="X2514" s="3" t="s">
        <v>11301</v>
      </c>
      <c r="Y2514" s="3"/>
      <c r="Z2514" s="3" t="s">
        <v>384</v>
      </c>
      <c r="AA2514" s="3"/>
      <c r="AB2514" s="3"/>
      <c r="AC2514" s="3" t="str">
        <f>HYPERLINK("https://knigipp.ru/api/getInfo/image/6b1fdaf0-c39a-11eb-a206-ac1f6b442185")</f>
        <v>https://knigipp.ru/api/getInfo/image/6b1fdaf0-c39a-11eb-a206-ac1f6b442185</v>
      </c>
      <c r="AD2514" s="32">
        <v>64</v>
      </c>
      <c r="AE2514" s="3"/>
      <c r="AF2514" s="3" t="s">
        <v>127</v>
      </c>
      <c r="AG2514" s="3"/>
      <c r="AH2514" s="3" t="s">
        <v>56</v>
      </c>
      <c r="AI2514" s="3"/>
      <c r="AJ2514" s="3"/>
      <c r="AK2514" s="3" t="str">
        <f>HYPERLINK("https://knigipp.ru/api/getInfo/item/6b1fdaf0-c39a-11eb-a206-ac1f6b442185")</f>
        <v>https://knigipp.ru/api/getInfo/item/6b1fdaf0-c39a-11eb-a206-ac1f6b442185</v>
      </c>
      <c r="AL2514" s="3" t="s">
        <v>11302</v>
      </c>
    </row>
    <row r="2515" spans="1:38" ht="21" customHeight="1" outlineLevel="4" x14ac:dyDescent="0.2">
      <c r="A2515" s="39">
        <v>1956</v>
      </c>
      <c r="B2515" s="3" t="s">
        <v>11349</v>
      </c>
      <c r="C2515" s="49" t="s">
        <v>11350</v>
      </c>
      <c r="D2515" s="49"/>
      <c r="E2515" s="49"/>
      <c r="F2515" s="49"/>
      <c r="G2515" s="4" t="s">
        <v>11351</v>
      </c>
      <c r="H2515" s="8"/>
      <c r="I2515" s="9" t="s">
        <v>11352</v>
      </c>
      <c r="J2515" s="10"/>
      <c r="K2515" s="11">
        <v>8</v>
      </c>
      <c r="L2515" s="10"/>
      <c r="M2515" s="10" t="s">
        <v>47</v>
      </c>
      <c r="N2515" s="10"/>
      <c r="O2515" s="2">
        <v>2</v>
      </c>
      <c r="P2515" s="17">
        <f>487*(1-S3/100)</f>
        <v>487</v>
      </c>
      <c r="Q2515" s="18"/>
      <c r="R2515" s="10">
        <f t="shared" si="110"/>
        <v>0</v>
      </c>
      <c r="S2515" s="19">
        <f>0.482*Q2515</f>
        <v>0</v>
      </c>
      <c r="T2515" s="20">
        <f>0.00054*Q2515</f>
        <v>0</v>
      </c>
      <c r="U2515" s="21"/>
      <c r="V2515" s="22" t="s">
        <v>11353</v>
      </c>
      <c r="W2515" s="22" t="s">
        <v>49</v>
      </c>
      <c r="X2515" s="3" t="s">
        <v>11219</v>
      </c>
      <c r="Y2515" s="3"/>
      <c r="Z2515" s="3" t="s">
        <v>384</v>
      </c>
      <c r="AA2515" s="3"/>
      <c r="AB2515" s="3"/>
      <c r="AC2515" s="3" t="str">
        <f>HYPERLINK("https://knigipp.ru/api/getInfo/image/d36f4de5-c399-11eb-a206-ac1f6b442185")</f>
        <v>https://knigipp.ru/api/getInfo/image/d36f4de5-c399-11eb-a206-ac1f6b442185</v>
      </c>
      <c r="AD2515" s="32">
        <v>64</v>
      </c>
      <c r="AE2515" s="3"/>
      <c r="AF2515" s="3" t="s">
        <v>127</v>
      </c>
      <c r="AG2515" s="3"/>
      <c r="AH2515" s="3" t="s">
        <v>56</v>
      </c>
      <c r="AI2515" s="3"/>
      <c r="AJ2515" s="3"/>
      <c r="AK2515" s="3" t="str">
        <f>HYPERLINK("https://knigipp.ru/api/getInfo/item/d36f4de5-c399-11eb-a206-ac1f6b442185")</f>
        <v>https://knigipp.ru/api/getInfo/item/d36f4de5-c399-11eb-a206-ac1f6b442185</v>
      </c>
      <c r="AL2515" s="3" t="s">
        <v>11302</v>
      </c>
    </row>
    <row r="2516" spans="1:38" ht="21" customHeight="1" outlineLevel="4" x14ac:dyDescent="0.2">
      <c r="A2516" s="39">
        <v>1957</v>
      </c>
      <c r="B2516" s="3" t="s">
        <v>11354</v>
      </c>
      <c r="C2516" s="49" t="s">
        <v>11355</v>
      </c>
      <c r="D2516" s="49"/>
      <c r="E2516" s="49"/>
      <c r="F2516" s="49"/>
      <c r="G2516" s="4" t="s">
        <v>11356</v>
      </c>
      <c r="H2516" s="8"/>
      <c r="I2516" s="9" t="s">
        <v>11357</v>
      </c>
      <c r="J2516" s="10"/>
      <c r="K2516" s="11">
        <v>8</v>
      </c>
      <c r="L2516" s="10"/>
      <c r="M2516" s="10" t="s">
        <v>47</v>
      </c>
      <c r="N2516" s="10"/>
      <c r="O2516" s="2">
        <v>2</v>
      </c>
      <c r="P2516" s="17">
        <f>487*(1-S3/100)</f>
        <v>487</v>
      </c>
      <c r="Q2516" s="18"/>
      <c r="R2516" s="10">
        <f t="shared" si="110"/>
        <v>0</v>
      </c>
      <c r="S2516" s="19">
        <f>0.482*Q2516</f>
        <v>0</v>
      </c>
      <c r="T2516" s="20">
        <f>0.00054*Q2516</f>
        <v>0</v>
      </c>
      <c r="U2516" s="21"/>
      <c r="V2516" s="22" t="s">
        <v>11358</v>
      </c>
      <c r="W2516" s="22" t="s">
        <v>49</v>
      </c>
      <c r="X2516" s="3" t="s">
        <v>11301</v>
      </c>
      <c r="Y2516" s="3"/>
      <c r="Z2516" s="3" t="s">
        <v>384</v>
      </c>
      <c r="AA2516" s="3"/>
      <c r="AB2516" s="3"/>
      <c r="AC2516" s="3" t="str">
        <f>HYPERLINK("https://knigipp.ru/api/getInfo/image/241733dd-c398-11eb-a206-ac1f6b442185")</f>
        <v>https://knigipp.ru/api/getInfo/image/241733dd-c398-11eb-a206-ac1f6b442185</v>
      </c>
      <c r="AD2516" s="32">
        <v>64</v>
      </c>
      <c r="AE2516" s="3"/>
      <c r="AF2516" s="3" t="s">
        <v>127</v>
      </c>
      <c r="AG2516" s="3"/>
      <c r="AH2516" s="3" t="s">
        <v>56</v>
      </c>
      <c r="AI2516" s="3"/>
      <c r="AJ2516" s="3"/>
      <c r="AK2516" s="3" t="str">
        <f>HYPERLINK("https://knigipp.ru/api/getInfo/item/241733dd-c398-11eb-a206-ac1f6b442185")</f>
        <v>https://knigipp.ru/api/getInfo/item/241733dd-c398-11eb-a206-ac1f6b442185</v>
      </c>
      <c r="AL2516" s="3" t="s">
        <v>11302</v>
      </c>
    </row>
    <row r="2517" spans="1:38" ht="21" customHeight="1" outlineLevel="4" x14ac:dyDescent="0.2">
      <c r="A2517" s="39">
        <v>1958</v>
      </c>
      <c r="B2517" s="3" t="s">
        <v>11359</v>
      </c>
      <c r="C2517" s="49" t="s">
        <v>11360</v>
      </c>
      <c r="D2517" s="49"/>
      <c r="E2517" s="49"/>
      <c r="F2517" s="49"/>
      <c r="G2517" s="4" t="s">
        <v>11361</v>
      </c>
      <c r="H2517" s="8"/>
      <c r="I2517" s="9" t="s">
        <v>11362</v>
      </c>
      <c r="J2517" s="10"/>
      <c r="K2517" s="11">
        <v>8</v>
      </c>
      <c r="L2517" s="10"/>
      <c r="M2517" s="10" t="s">
        <v>47</v>
      </c>
      <c r="N2517" s="10"/>
      <c r="O2517" s="2">
        <v>2</v>
      </c>
      <c r="P2517" s="17">
        <f>487*(1-S3/100)</f>
        <v>487</v>
      </c>
      <c r="Q2517" s="18"/>
      <c r="R2517" s="10">
        <f t="shared" si="110"/>
        <v>0</v>
      </c>
      <c r="S2517" s="19">
        <f>0.491*Q2517</f>
        <v>0</v>
      </c>
      <c r="T2517" s="20">
        <f>0.00054*Q2517</f>
        <v>0</v>
      </c>
      <c r="U2517" s="21"/>
      <c r="V2517" s="22" t="s">
        <v>11363</v>
      </c>
      <c r="W2517" s="22" t="s">
        <v>49</v>
      </c>
      <c r="X2517" s="3" t="s">
        <v>11364</v>
      </c>
      <c r="Y2517" s="3"/>
      <c r="Z2517" s="3" t="s">
        <v>384</v>
      </c>
      <c r="AA2517" s="3"/>
      <c r="AB2517" s="3"/>
      <c r="AC2517" s="3" t="str">
        <f>HYPERLINK("https://knigipp.ru/api/getInfo/image/49304c97-c398-11eb-a206-ac1f6b442185")</f>
        <v>https://knigipp.ru/api/getInfo/image/49304c97-c398-11eb-a206-ac1f6b442185</v>
      </c>
      <c r="AD2517" s="32">
        <v>64</v>
      </c>
      <c r="AE2517" s="3"/>
      <c r="AF2517" s="3" t="s">
        <v>127</v>
      </c>
      <c r="AG2517" s="3"/>
      <c r="AH2517" s="3" t="s">
        <v>56</v>
      </c>
      <c r="AI2517" s="3"/>
      <c r="AJ2517" s="3"/>
      <c r="AK2517" s="3" t="str">
        <f>HYPERLINK("https://knigipp.ru/api/getInfo/item/49304c97-c398-11eb-a206-ac1f6b442185")</f>
        <v>https://knigipp.ru/api/getInfo/item/49304c97-c398-11eb-a206-ac1f6b442185</v>
      </c>
      <c r="AL2517" s="3" t="s">
        <v>11302</v>
      </c>
    </row>
    <row r="2518" spans="1:38" ht="23.1" customHeight="1" outlineLevel="3" x14ac:dyDescent="0.2">
      <c r="A2518" s="48" t="s">
        <v>11365</v>
      </c>
      <c r="B2518" s="48"/>
      <c r="C2518" s="48"/>
      <c r="D2518" s="48"/>
      <c r="E2518" s="48"/>
      <c r="F2518" s="48"/>
    </row>
    <row r="2519" spans="1:38" ht="21" customHeight="1" outlineLevel="4" x14ac:dyDescent="0.2">
      <c r="A2519" s="39">
        <v>1959</v>
      </c>
      <c r="B2519" s="3" t="s">
        <v>11366</v>
      </c>
      <c r="C2519" s="49" t="s">
        <v>11367</v>
      </c>
      <c r="D2519" s="49"/>
      <c r="E2519" s="49"/>
      <c r="F2519" s="49"/>
      <c r="G2519" s="4" t="s">
        <v>11368</v>
      </c>
      <c r="H2519" s="8"/>
      <c r="I2519" s="9" t="s">
        <v>11369</v>
      </c>
      <c r="J2519" s="10"/>
      <c r="K2519" s="11">
        <v>24</v>
      </c>
      <c r="L2519" s="10"/>
      <c r="M2519" s="10" t="s">
        <v>78</v>
      </c>
      <c r="N2519" s="10"/>
      <c r="O2519" s="2">
        <v>3</v>
      </c>
      <c r="P2519" s="17">
        <f>199*(1-S3/100)</f>
        <v>199</v>
      </c>
      <c r="Q2519" s="18"/>
      <c r="R2519" s="10">
        <f t="shared" ref="R2519:R2526" si="113">P2519*Q2519</f>
        <v>0</v>
      </c>
      <c r="S2519" s="28">
        <f>0.45*Q2519</f>
        <v>0</v>
      </c>
      <c r="T2519" s="20">
        <f>0.00201*Q2519</f>
        <v>0</v>
      </c>
      <c r="U2519" s="21"/>
      <c r="V2519" s="22" t="s">
        <v>11370</v>
      </c>
      <c r="W2519" s="22" t="s">
        <v>49</v>
      </c>
      <c r="X2519" s="3" t="s">
        <v>11371</v>
      </c>
      <c r="Y2519" s="3"/>
      <c r="Z2519" s="3" t="s">
        <v>52</v>
      </c>
      <c r="AA2519" s="3"/>
      <c r="AB2519" s="3"/>
      <c r="AC2519" s="3" t="str">
        <f>HYPERLINK("https://knigipp.ru/api/getInfo/image/26593def-10e0-11ee-a23b-00155d82e902")</f>
        <v>https://knigipp.ru/api/getInfo/image/26593def-10e0-11ee-a23b-00155d82e902</v>
      </c>
      <c r="AD2519" s="32">
        <v>48</v>
      </c>
      <c r="AE2519" s="3" t="s">
        <v>54</v>
      </c>
      <c r="AF2519" s="3" t="s">
        <v>127</v>
      </c>
      <c r="AG2519" s="3"/>
      <c r="AH2519" s="3" t="s">
        <v>56</v>
      </c>
      <c r="AI2519" s="3"/>
      <c r="AJ2519" s="3"/>
      <c r="AK2519" s="3" t="str">
        <f>HYPERLINK("https://knigipp.ru/api/getInfo/item/26593def-10e0-11ee-a23b-00155d82e902")</f>
        <v>https://knigipp.ru/api/getInfo/item/26593def-10e0-11ee-a23b-00155d82e902</v>
      </c>
      <c r="AL2519" s="3" t="s">
        <v>363</v>
      </c>
    </row>
    <row r="2520" spans="1:38" ht="21" customHeight="1" outlineLevel="4" x14ac:dyDescent="0.2">
      <c r="A2520" s="39">
        <v>1960</v>
      </c>
      <c r="B2520" s="3" t="s">
        <v>11372</v>
      </c>
      <c r="C2520" s="49" t="s">
        <v>11373</v>
      </c>
      <c r="D2520" s="49"/>
      <c r="E2520" s="49"/>
      <c r="F2520" s="49"/>
      <c r="G2520" s="4" t="s">
        <v>11374</v>
      </c>
      <c r="H2520" s="8"/>
      <c r="I2520" s="9" t="s">
        <v>11375</v>
      </c>
      <c r="J2520" s="10"/>
      <c r="K2520" s="11">
        <v>24</v>
      </c>
      <c r="L2520" s="10"/>
      <c r="M2520" s="10" t="s">
        <v>47</v>
      </c>
      <c r="N2520" s="10"/>
      <c r="O2520" s="2">
        <v>3</v>
      </c>
      <c r="P2520" s="17">
        <f>199*(1-S3/100)</f>
        <v>199</v>
      </c>
      <c r="Q2520" s="18"/>
      <c r="R2520" s="10">
        <f t="shared" si="113"/>
        <v>0</v>
      </c>
      <c r="S2520" s="19">
        <f>0.149*Q2520</f>
        <v>0</v>
      </c>
      <c r="T2520" s="20">
        <f>0.00016*Q2520</f>
        <v>0</v>
      </c>
      <c r="U2520" s="21"/>
      <c r="V2520" s="22" t="s">
        <v>11376</v>
      </c>
      <c r="W2520" s="22" t="s">
        <v>49</v>
      </c>
      <c r="X2520" s="3" t="s">
        <v>11377</v>
      </c>
      <c r="Y2520" s="3"/>
      <c r="Z2520" s="3" t="s">
        <v>52</v>
      </c>
      <c r="AA2520" s="3"/>
      <c r="AB2520" s="3"/>
      <c r="AC2520" s="3" t="str">
        <f>HYPERLINK("https://knigipp.ru/api/getInfo/image/713f0923-10e0-11ee-a23b-00155d82e902")</f>
        <v>https://knigipp.ru/api/getInfo/image/713f0923-10e0-11ee-a23b-00155d82e902</v>
      </c>
      <c r="AD2520" s="32">
        <v>48</v>
      </c>
      <c r="AE2520" s="3" t="s">
        <v>54</v>
      </c>
      <c r="AF2520" s="3" t="s">
        <v>127</v>
      </c>
      <c r="AG2520" s="3"/>
      <c r="AH2520" s="3" t="s">
        <v>56</v>
      </c>
      <c r="AI2520" s="3"/>
      <c r="AJ2520" s="3"/>
      <c r="AK2520" s="3" t="str">
        <f>HYPERLINK("https://knigipp.ru/api/getInfo/item/713f0923-10e0-11ee-a23b-00155d82e902")</f>
        <v>https://knigipp.ru/api/getInfo/item/713f0923-10e0-11ee-a23b-00155d82e902</v>
      </c>
      <c r="AL2520" s="3" t="s">
        <v>363</v>
      </c>
    </row>
    <row r="2521" spans="1:38" ht="21" customHeight="1" outlineLevel="4" x14ac:dyDescent="0.2">
      <c r="A2521" s="39">
        <v>1961</v>
      </c>
      <c r="B2521" s="3" t="s">
        <v>11378</v>
      </c>
      <c r="C2521" s="49" t="s">
        <v>11379</v>
      </c>
      <c r="D2521" s="49"/>
      <c r="E2521" s="49"/>
      <c r="F2521" s="49"/>
      <c r="G2521" s="4" t="s">
        <v>11380</v>
      </c>
      <c r="H2521" s="8"/>
      <c r="I2521" s="9" t="s">
        <v>11381</v>
      </c>
      <c r="J2521" s="10"/>
      <c r="K2521" s="11">
        <v>24</v>
      </c>
      <c r="L2521" s="10"/>
      <c r="M2521" s="10" t="s">
        <v>47</v>
      </c>
      <c r="N2521" s="10"/>
      <c r="O2521" s="2">
        <v>3</v>
      </c>
      <c r="P2521" s="17">
        <f>199*(1-S3/100)</f>
        <v>199</v>
      </c>
      <c r="Q2521" s="18"/>
      <c r="R2521" s="10">
        <f t="shared" si="113"/>
        <v>0</v>
      </c>
      <c r="S2521" s="19">
        <f>0.144*Q2521</f>
        <v>0</v>
      </c>
      <c r="T2521" s="20">
        <f>0.00028*Q2521</f>
        <v>0</v>
      </c>
      <c r="U2521" s="21"/>
      <c r="V2521" s="22" t="s">
        <v>11382</v>
      </c>
      <c r="W2521" s="22" t="s">
        <v>49</v>
      </c>
      <c r="X2521" s="3" t="s">
        <v>11371</v>
      </c>
      <c r="Y2521" s="3"/>
      <c r="Z2521" s="3" t="s">
        <v>52</v>
      </c>
      <c r="AA2521" s="3"/>
      <c r="AB2521" s="3"/>
      <c r="AC2521" s="3" t="str">
        <f>HYPERLINK("https://knigipp.ru/api/getInfo/image/e71c8239-10df-11ee-a23b-00155d82e902")</f>
        <v>https://knigipp.ru/api/getInfo/image/e71c8239-10df-11ee-a23b-00155d82e902</v>
      </c>
      <c r="AD2521" s="32">
        <v>48</v>
      </c>
      <c r="AE2521" s="3" t="s">
        <v>54</v>
      </c>
      <c r="AF2521" s="3" t="s">
        <v>127</v>
      </c>
      <c r="AG2521" s="3"/>
      <c r="AH2521" s="3" t="s">
        <v>56</v>
      </c>
      <c r="AI2521" s="3"/>
      <c r="AJ2521" s="3"/>
      <c r="AK2521" s="3" t="str">
        <f>HYPERLINK("https://knigipp.ru/api/getInfo/item/e71c8239-10df-11ee-a23b-00155d82e902")</f>
        <v>https://knigipp.ru/api/getInfo/item/e71c8239-10df-11ee-a23b-00155d82e902</v>
      </c>
      <c r="AL2521" s="3" t="s">
        <v>363</v>
      </c>
    </row>
    <row r="2522" spans="1:38" ht="21" customHeight="1" outlineLevel="4" x14ac:dyDescent="0.2">
      <c r="A2522" s="39">
        <v>1962</v>
      </c>
      <c r="B2522" s="3" t="s">
        <v>11383</v>
      </c>
      <c r="C2522" s="49" t="s">
        <v>11384</v>
      </c>
      <c r="D2522" s="49"/>
      <c r="E2522" s="49"/>
      <c r="F2522" s="49"/>
      <c r="G2522" s="4" t="s">
        <v>11385</v>
      </c>
      <c r="H2522" s="8"/>
      <c r="I2522" s="9" t="s">
        <v>11386</v>
      </c>
      <c r="J2522" s="10"/>
      <c r="K2522" s="11">
        <v>24</v>
      </c>
      <c r="L2522" s="10"/>
      <c r="M2522" s="10" t="s">
        <v>47</v>
      </c>
      <c r="N2522" s="10"/>
      <c r="O2522" s="2">
        <v>3</v>
      </c>
      <c r="P2522" s="17">
        <f>199*(1-S3/100)</f>
        <v>199</v>
      </c>
      <c r="Q2522" s="18"/>
      <c r="R2522" s="10">
        <f t="shared" si="113"/>
        <v>0</v>
      </c>
      <c r="S2522" s="19">
        <f>0.149*Q2522</f>
        <v>0</v>
      </c>
      <c r="T2522" s="20">
        <f>0.00016*Q2522</f>
        <v>0</v>
      </c>
      <c r="U2522" s="21"/>
      <c r="V2522" s="22" t="s">
        <v>11387</v>
      </c>
      <c r="W2522" s="22" t="s">
        <v>49</v>
      </c>
      <c r="X2522" s="3" t="s">
        <v>11377</v>
      </c>
      <c r="Y2522" s="3"/>
      <c r="Z2522" s="3" t="s">
        <v>52</v>
      </c>
      <c r="AA2522" s="3"/>
      <c r="AB2522" s="3"/>
      <c r="AC2522" s="3" t="str">
        <f>HYPERLINK("https://knigipp.ru/api/getInfo/image/4d4e5802-10e0-11ee-a23b-00155d82e902")</f>
        <v>https://knigipp.ru/api/getInfo/image/4d4e5802-10e0-11ee-a23b-00155d82e902</v>
      </c>
      <c r="AD2522" s="32">
        <v>48</v>
      </c>
      <c r="AE2522" s="3" t="s">
        <v>54</v>
      </c>
      <c r="AF2522" s="3" t="s">
        <v>127</v>
      </c>
      <c r="AG2522" s="3"/>
      <c r="AH2522" s="3" t="s">
        <v>56</v>
      </c>
      <c r="AI2522" s="3"/>
      <c r="AJ2522" s="3"/>
      <c r="AK2522" s="3" t="str">
        <f>HYPERLINK("https://knigipp.ru/api/getInfo/item/4d4e5802-10e0-11ee-a23b-00155d82e902")</f>
        <v>https://knigipp.ru/api/getInfo/item/4d4e5802-10e0-11ee-a23b-00155d82e902</v>
      </c>
      <c r="AL2522" s="3" t="s">
        <v>363</v>
      </c>
    </row>
    <row r="2523" spans="1:38" ht="21" customHeight="1" outlineLevel="4" x14ac:dyDescent="0.2">
      <c r="A2523" s="39">
        <v>1963</v>
      </c>
      <c r="B2523" s="3" t="s">
        <v>11388</v>
      </c>
      <c r="C2523" s="49" t="s">
        <v>11389</v>
      </c>
      <c r="D2523" s="49"/>
      <c r="E2523" s="49"/>
      <c r="F2523" s="49"/>
      <c r="G2523" s="4" t="s">
        <v>11390</v>
      </c>
      <c r="H2523" s="8"/>
      <c r="I2523" s="9" t="s">
        <v>11391</v>
      </c>
      <c r="J2523" s="10"/>
      <c r="K2523" s="11">
        <v>24</v>
      </c>
      <c r="L2523" s="10"/>
      <c r="M2523" s="10" t="s">
        <v>78</v>
      </c>
      <c r="N2523" s="10"/>
      <c r="O2523" s="2">
        <v>3</v>
      </c>
      <c r="P2523" s="17">
        <f>199*(1-S3/100)</f>
        <v>199</v>
      </c>
      <c r="Q2523" s="18"/>
      <c r="R2523" s="10">
        <f t="shared" si="113"/>
        <v>0</v>
      </c>
      <c r="S2523" s="19">
        <f>0.149*Q2523</f>
        <v>0</v>
      </c>
      <c r="T2523" s="20">
        <f>0.00018*Q2523</f>
        <v>0</v>
      </c>
      <c r="U2523" s="21"/>
      <c r="V2523" s="22" t="s">
        <v>11392</v>
      </c>
      <c r="W2523" s="22" t="s">
        <v>49</v>
      </c>
      <c r="X2523" s="3" t="s">
        <v>11371</v>
      </c>
      <c r="Y2523" s="3"/>
      <c r="Z2523" s="3" t="s">
        <v>52</v>
      </c>
      <c r="AA2523" s="3"/>
      <c r="AB2523" s="3"/>
      <c r="AC2523" s="3" t="str">
        <f>HYPERLINK("https://knigipp.ru/api/getInfo/image/79ff5f7c-10df-11ee-a23b-00155d82e902")</f>
        <v>https://knigipp.ru/api/getInfo/image/79ff5f7c-10df-11ee-a23b-00155d82e902</v>
      </c>
      <c r="AD2523" s="32">
        <v>48</v>
      </c>
      <c r="AE2523" s="3" t="s">
        <v>54</v>
      </c>
      <c r="AF2523" s="3" t="s">
        <v>127</v>
      </c>
      <c r="AG2523" s="3"/>
      <c r="AH2523" s="3" t="s">
        <v>56</v>
      </c>
      <c r="AI2523" s="3"/>
      <c r="AJ2523" s="3"/>
      <c r="AK2523" s="3" t="str">
        <f>HYPERLINK("https://knigipp.ru/api/getInfo/item/79ff5f7c-10df-11ee-a23b-00155d82e902")</f>
        <v>https://knigipp.ru/api/getInfo/item/79ff5f7c-10df-11ee-a23b-00155d82e902</v>
      </c>
      <c r="AL2523" s="3" t="s">
        <v>363</v>
      </c>
    </row>
    <row r="2524" spans="1:38" ht="21" customHeight="1" outlineLevel="4" x14ac:dyDescent="0.2">
      <c r="A2524" s="39">
        <v>1964</v>
      </c>
      <c r="B2524" s="3" t="s">
        <v>11393</v>
      </c>
      <c r="C2524" s="49" t="s">
        <v>11394</v>
      </c>
      <c r="D2524" s="49"/>
      <c r="E2524" s="49"/>
      <c r="F2524" s="49"/>
      <c r="G2524" s="4" t="s">
        <v>11395</v>
      </c>
      <c r="H2524" s="8"/>
      <c r="I2524" s="9" t="s">
        <v>11396</v>
      </c>
      <c r="J2524" s="10"/>
      <c r="K2524" s="11">
        <v>24</v>
      </c>
      <c r="L2524" s="10"/>
      <c r="M2524" s="10" t="s">
        <v>47</v>
      </c>
      <c r="N2524" s="10"/>
      <c r="O2524" s="2">
        <v>3</v>
      </c>
      <c r="P2524" s="17">
        <f>199*(1-S3/100)</f>
        <v>199</v>
      </c>
      <c r="Q2524" s="18"/>
      <c r="R2524" s="10">
        <f t="shared" si="113"/>
        <v>0</v>
      </c>
      <c r="S2524" s="19">
        <f>0.149*Q2524</f>
        <v>0</v>
      </c>
      <c r="T2524" s="20">
        <f>0.00016*Q2524</f>
        <v>0</v>
      </c>
      <c r="U2524" s="21"/>
      <c r="V2524" s="22" t="s">
        <v>11397</v>
      </c>
      <c r="W2524" s="22" t="s">
        <v>49</v>
      </c>
      <c r="X2524" s="3" t="s">
        <v>11371</v>
      </c>
      <c r="Y2524" s="3"/>
      <c r="Z2524" s="3" t="s">
        <v>52</v>
      </c>
      <c r="AA2524" s="3"/>
      <c r="AB2524" s="3"/>
      <c r="AC2524" s="3" t="str">
        <f>HYPERLINK("https://knigipp.ru/api/getInfo/image/9d60e279-10df-11ee-a23b-00155d82e902")</f>
        <v>https://knigipp.ru/api/getInfo/image/9d60e279-10df-11ee-a23b-00155d82e902</v>
      </c>
      <c r="AD2524" s="32">
        <v>48</v>
      </c>
      <c r="AE2524" s="3" t="s">
        <v>54</v>
      </c>
      <c r="AF2524" s="3" t="s">
        <v>127</v>
      </c>
      <c r="AG2524" s="3"/>
      <c r="AH2524" s="3" t="s">
        <v>56</v>
      </c>
      <c r="AI2524" s="3"/>
      <c r="AJ2524" s="3"/>
      <c r="AK2524" s="3" t="str">
        <f>HYPERLINK("https://knigipp.ru/api/getInfo/item/9d60e279-10df-11ee-a23b-00155d82e902")</f>
        <v>https://knigipp.ru/api/getInfo/item/9d60e279-10df-11ee-a23b-00155d82e902</v>
      </c>
      <c r="AL2524" s="3" t="s">
        <v>363</v>
      </c>
    </row>
    <row r="2525" spans="1:38" ht="21" customHeight="1" outlineLevel="4" x14ac:dyDescent="0.2">
      <c r="A2525" s="39">
        <v>1965</v>
      </c>
      <c r="B2525" s="3" t="s">
        <v>11398</v>
      </c>
      <c r="C2525" s="49" t="s">
        <v>11399</v>
      </c>
      <c r="D2525" s="49"/>
      <c r="E2525" s="49"/>
      <c r="F2525" s="49"/>
      <c r="G2525" s="4" t="s">
        <v>11400</v>
      </c>
      <c r="H2525" s="8"/>
      <c r="I2525" s="9" t="s">
        <v>11401</v>
      </c>
      <c r="J2525" s="10"/>
      <c r="K2525" s="11">
        <v>24</v>
      </c>
      <c r="L2525" s="10"/>
      <c r="M2525" s="10" t="s">
        <v>47</v>
      </c>
      <c r="N2525" s="10"/>
      <c r="O2525" s="2">
        <v>3</v>
      </c>
      <c r="P2525" s="17">
        <f>199*(1-S3/100)</f>
        <v>199</v>
      </c>
      <c r="Q2525" s="18"/>
      <c r="R2525" s="10">
        <f t="shared" si="113"/>
        <v>0</v>
      </c>
      <c r="S2525" s="19">
        <f>0.149*Q2525</f>
        <v>0</v>
      </c>
      <c r="T2525" s="20">
        <f>0.00016*Q2525</f>
        <v>0</v>
      </c>
      <c r="U2525" s="21"/>
      <c r="V2525" s="22" t="s">
        <v>11402</v>
      </c>
      <c r="W2525" s="22" t="s">
        <v>49</v>
      </c>
      <c r="X2525" s="3" t="s">
        <v>11371</v>
      </c>
      <c r="Y2525" s="3"/>
      <c r="Z2525" s="3" t="s">
        <v>52</v>
      </c>
      <c r="AA2525" s="3"/>
      <c r="AB2525" s="3"/>
      <c r="AC2525" s="3" t="str">
        <f>HYPERLINK("https://knigipp.ru/api/getInfo/image/09965957-10df-11ee-a23b-00155d82e902")</f>
        <v>https://knigipp.ru/api/getInfo/image/09965957-10df-11ee-a23b-00155d82e902</v>
      </c>
      <c r="AD2525" s="32">
        <v>48</v>
      </c>
      <c r="AE2525" s="3" t="s">
        <v>54</v>
      </c>
      <c r="AF2525" s="3" t="s">
        <v>127</v>
      </c>
      <c r="AG2525" s="3"/>
      <c r="AH2525" s="3" t="s">
        <v>56</v>
      </c>
      <c r="AI2525" s="3"/>
      <c r="AJ2525" s="3"/>
      <c r="AK2525" s="3" t="str">
        <f>HYPERLINK("https://knigipp.ru/api/getInfo/item/09965957-10df-11ee-a23b-00155d82e902")</f>
        <v>https://knigipp.ru/api/getInfo/item/09965957-10df-11ee-a23b-00155d82e902</v>
      </c>
      <c r="AL2525" s="3" t="s">
        <v>363</v>
      </c>
    </row>
    <row r="2526" spans="1:38" ht="21" customHeight="1" outlineLevel="4" x14ac:dyDescent="0.2">
      <c r="A2526" s="39">
        <v>1966</v>
      </c>
      <c r="B2526" s="3" t="s">
        <v>11403</v>
      </c>
      <c r="C2526" s="49" t="s">
        <v>11404</v>
      </c>
      <c r="D2526" s="49"/>
      <c r="E2526" s="49"/>
      <c r="F2526" s="49"/>
      <c r="G2526" s="4" t="s">
        <v>11405</v>
      </c>
      <c r="H2526" s="8"/>
      <c r="I2526" s="9" t="s">
        <v>11406</v>
      </c>
      <c r="J2526" s="10"/>
      <c r="K2526" s="11">
        <v>24</v>
      </c>
      <c r="L2526" s="10"/>
      <c r="M2526" s="10" t="s">
        <v>47</v>
      </c>
      <c r="N2526" s="10"/>
      <c r="O2526" s="2">
        <v>3</v>
      </c>
      <c r="P2526" s="17">
        <f>199*(1-S3/100)</f>
        <v>199</v>
      </c>
      <c r="Q2526" s="18"/>
      <c r="R2526" s="10">
        <f t="shared" si="113"/>
        <v>0</v>
      </c>
      <c r="S2526" s="19">
        <f>0.142*Q2526</f>
        <v>0</v>
      </c>
      <c r="T2526" s="20">
        <f>0.00018*Q2526</f>
        <v>0</v>
      </c>
      <c r="U2526" s="21"/>
      <c r="V2526" s="22" t="s">
        <v>11407</v>
      </c>
      <c r="W2526" s="22" t="s">
        <v>49</v>
      </c>
      <c r="X2526" s="3" t="s">
        <v>11377</v>
      </c>
      <c r="Y2526" s="3"/>
      <c r="Z2526" s="3" t="s">
        <v>52</v>
      </c>
      <c r="AA2526" s="3"/>
      <c r="AB2526" s="3"/>
      <c r="AC2526" s="3" t="str">
        <f>HYPERLINK("https://knigipp.ru/api/getInfo/image/0ca4d63c-10e0-11ee-a23b-00155d82e902")</f>
        <v>https://knigipp.ru/api/getInfo/image/0ca4d63c-10e0-11ee-a23b-00155d82e902</v>
      </c>
      <c r="AD2526" s="32">
        <v>48</v>
      </c>
      <c r="AE2526" s="3" t="s">
        <v>54</v>
      </c>
      <c r="AF2526" s="3" t="s">
        <v>127</v>
      </c>
      <c r="AG2526" s="3"/>
      <c r="AH2526" s="3" t="s">
        <v>56</v>
      </c>
      <c r="AI2526" s="3"/>
      <c r="AJ2526" s="3"/>
      <c r="AK2526" s="3" t="str">
        <f>HYPERLINK("https://knigipp.ru/api/getInfo/item/0ca4d63c-10e0-11ee-a23b-00155d82e902")</f>
        <v>https://knigipp.ru/api/getInfo/item/0ca4d63c-10e0-11ee-a23b-00155d82e902</v>
      </c>
      <c r="AL2526" s="3" t="s">
        <v>363</v>
      </c>
    </row>
    <row r="2527" spans="1:38" ht="23.1" customHeight="1" outlineLevel="3" x14ac:dyDescent="0.2">
      <c r="A2527" s="48" t="s">
        <v>11408</v>
      </c>
      <c r="B2527" s="48"/>
      <c r="C2527" s="48"/>
      <c r="D2527" s="48"/>
      <c r="E2527" s="48"/>
      <c r="F2527" s="48"/>
    </row>
    <row r="2528" spans="1:38" ht="21" customHeight="1" outlineLevel="4" x14ac:dyDescent="0.2">
      <c r="A2528" s="39">
        <v>1967</v>
      </c>
      <c r="B2528" s="3" t="s">
        <v>11409</v>
      </c>
      <c r="C2528" s="49" t="s">
        <v>11410</v>
      </c>
      <c r="D2528" s="49"/>
      <c r="E2528" s="49"/>
      <c r="F2528" s="49"/>
      <c r="G2528" s="4" t="s">
        <v>11411</v>
      </c>
      <c r="H2528" s="8"/>
      <c r="I2528" s="9" t="s">
        <v>11412</v>
      </c>
      <c r="J2528" s="10"/>
      <c r="K2528" s="11">
        <v>20</v>
      </c>
      <c r="L2528" s="10"/>
      <c r="M2528" s="10" t="s">
        <v>47</v>
      </c>
      <c r="N2528" s="10"/>
      <c r="O2528" s="2">
        <v>2</v>
      </c>
      <c r="P2528" s="17">
        <f>377*(1-S3/100)</f>
        <v>377</v>
      </c>
      <c r="Q2528" s="18"/>
      <c r="R2528" s="10">
        <f>P2528*Q2528</f>
        <v>0</v>
      </c>
      <c r="S2528" s="19">
        <f>0.126*Q2528</f>
        <v>0</v>
      </c>
      <c r="T2528" s="30">
        <f>0.0004*Q2528</f>
        <v>0</v>
      </c>
      <c r="U2528" s="21"/>
      <c r="V2528" s="22" t="s">
        <v>11413</v>
      </c>
      <c r="W2528" s="22" t="s">
        <v>49</v>
      </c>
      <c r="X2528" s="3" t="s">
        <v>281</v>
      </c>
      <c r="Y2528" s="3" t="s">
        <v>11414</v>
      </c>
      <c r="Z2528" s="3" t="s">
        <v>384</v>
      </c>
      <c r="AA2528" s="3"/>
      <c r="AB2528" s="3"/>
      <c r="AC2528" s="3" t="str">
        <f>HYPERLINK("https://knigipp.ru/api/getInfo/image/e2da56be-977e-11ef-a267-00155d82e908")</f>
        <v>https://knigipp.ru/api/getInfo/image/e2da56be-977e-11ef-a267-00155d82e908</v>
      </c>
      <c r="AD2528" s="32">
        <v>128</v>
      </c>
      <c r="AE2528" s="3" t="s">
        <v>54</v>
      </c>
      <c r="AF2528" s="3" t="s">
        <v>3475</v>
      </c>
      <c r="AG2528" s="3"/>
      <c r="AH2528" s="3" t="s">
        <v>56</v>
      </c>
      <c r="AI2528" s="3"/>
      <c r="AJ2528" s="3"/>
      <c r="AK2528" s="3" t="str">
        <f>HYPERLINK("https://knigipp.ru/api/getInfo/item/e2da56be-977e-11ef-a267-00155d82e908")</f>
        <v>https://knigipp.ru/api/getInfo/item/e2da56be-977e-11ef-a267-00155d82e908</v>
      </c>
      <c r="AL2528" s="3" t="s">
        <v>11415</v>
      </c>
    </row>
    <row r="2529" spans="1:38" ht="21" customHeight="1" outlineLevel="4" x14ac:dyDescent="0.2">
      <c r="A2529" s="40">
        <v>1968</v>
      </c>
      <c r="B2529" s="6" t="s">
        <v>11416</v>
      </c>
      <c r="C2529" s="54" t="s">
        <v>11417</v>
      </c>
      <c r="D2529" s="54"/>
      <c r="E2529" s="54"/>
      <c r="F2529" s="54"/>
      <c r="G2529" s="7" t="s">
        <v>11418</v>
      </c>
      <c r="H2529" s="12"/>
      <c r="I2529" s="13" t="s">
        <v>11419</v>
      </c>
      <c r="J2529" s="14"/>
      <c r="K2529" s="15">
        <v>10</v>
      </c>
      <c r="L2529" s="14"/>
      <c r="M2529" s="14" t="s">
        <v>47</v>
      </c>
      <c r="N2529" s="14"/>
      <c r="O2529" s="5">
        <v>2</v>
      </c>
      <c r="P2529" s="23">
        <f>507*(1-S3/100)</f>
        <v>507</v>
      </c>
      <c r="Q2529" s="18"/>
      <c r="R2529" s="14">
        <f>P2529*Q2529</f>
        <v>0</v>
      </c>
      <c r="S2529" s="24">
        <f>0.286*Q2529</f>
        <v>0</v>
      </c>
      <c r="T2529" s="25">
        <f>0.00037*Q2529</f>
        <v>0</v>
      </c>
      <c r="U2529" s="26" t="s">
        <v>62</v>
      </c>
      <c r="V2529" s="27" t="s">
        <v>11420</v>
      </c>
      <c r="W2529" s="27" t="s">
        <v>49</v>
      </c>
      <c r="X2529" s="6" t="s">
        <v>11421</v>
      </c>
      <c r="Y2529" s="6"/>
      <c r="Z2529" s="6" t="s">
        <v>3329</v>
      </c>
      <c r="AA2529" s="6"/>
      <c r="AB2529" s="6"/>
      <c r="AC2529" s="6" t="str">
        <f>HYPERLINK("https://knigipp.ru/api/getInfo/image/c22e9fb8-7484-11f1-a29a-00155d82e908")</f>
        <v>https://knigipp.ru/api/getInfo/image/c22e9fb8-7484-11f1-a29a-00155d82e908</v>
      </c>
      <c r="AD2529" s="33">
        <v>192</v>
      </c>
      <c r="AE2529" s="6" t="s">
        <v>355</v>
      </c>
      <c r="AF2529" s="6" t="s">
        <v>127</v>
      </c>
      <c r="AG2529" s="6"/>
      <c r="AH2529" s="6" t="s">
        <v>56</v>
      </c>
      <c r="AI2529" s="6"/>
      <c r="AJ2529" s="6"/>
      <c r="AK2529" s="6" t="str">
        <f>HYPERLINK("https://knigipp.ru/api/getInfo/item/c22e9fb8-7484-11f1-a29a-00155d82e908")</f>
        <v>https://knigipp.ru/api/getInfo/item/c22e9fb8-7484-11f1-a29a-00155d82e908</v>
      </c>
      <c r="AL2529" s="6" t="s">
        <v>11422</v>
      </c>
    </row>
    <row r="2530" spans="1:38" ht="23.1" customHeight="1" outlineLevel="3" x14ac:dyDescent="0.2">
      <c r="A2530" s="48" t="s">
        <v>11423</v>
      </c>
      <c r="B2530" s="48"/>
      <c r="C2530" s="48"/>
      <c r="D2530" s="48"/>
      <c r="E2530" s="48"/>
      <c r="F2530" s="48"/>
    </row>
    <row r="2531" spans="1:38" ht="21" customHeight="1" outlineLevel="4" x14ac:dyDescent="0.2">
      <c r="A2531" s="39">
        <v>1969</v>
      </c>
      <c r="B2531" s="3" t="s">
        <v>11424</v>
      </c>
      <c r="C2531" s="49" t="s">
        <v>11425</v>
      </c>
      <c r="D2531" s="49"/>
      <c r="E2531" s="49"/>
      <c r="F2531" s="49"/>
      <c r="G2531" s="4" t="s">
        <v>11426</v>
      </c>
      <c r="H2531" s="8"/>
      <c r="I2531" s="9" t="s">
        <v>11427</v>
      </c>
      <c r="J2531" s="10"/>
      <c r="K2531" s="11">
        <v>12</v>
      </c>
      <c r="L2531" s="10"/>
      <c r="M2531" s="10" t="s">
        <v>304</v>
      </c>
      <c r="N2531" s="10"/>
      <c r="O2531" s="2">
        <v>4</v>
      </c>
      <c r="P2531" s="17">
        <f>169*(1-S3/100)</f>
        <v>169</v>
      </c>
      <c r="Q2531" s="18"/>
      <c r="R2531" s="10">
        <f t="shared" ref="R2531:R2539" si="114">P2531*Q2531</f>
        <v>0</v>
      </c>
      <c r="S2531" s="28">
        <f>0.16*Q2531</f>
        <v>0</v>
      </c>
      <c r="T2531" s="20">
        <f>0.00021*Q2531</f>
        <v>0</v>
      </c>
      <c r="U2531" s="21"/>
      <c r="V2531" s="22" t="s">
        <v>11428</v>
      </c>
      <c r="W2531" s="22" t="s">
        <v>49</v>
      </c>
      <c r="X2531" s="3" t="s">
        <v>11219</v>
      </c>
      <c r="Y2531" s="3"/>
      <c r="Z2531" s="3" t="s">
        <v>384</v>
      </c>
      <c r="AA2531" s="3"/>
      <c r="AB2531" s="3"/>
      <c r="AC2531" s="3" t="str">
        <f>HYPERLINK("https://knigipp.ru/api/getInfo/image/7e607f5c-f976-11e9-a236-ac1f6b442184")</f>
        <v>https://knigipp.ru/api/getInfo/image/7e607f5c-f976-11e9-a236-ac1f6b442184</v>
      </c>
      <c r="AD2531" s="32">
        <v>32</v>
      </c>
      <c r="AE2531" s="3"/>
      <c r="AF2531" s="3" t="s">
        <v>127</v>
      </c>
      <c r="AG2531" s="3"/>
      <c r="AH2531" s="3" t="s">
        <v>56</v>
      </c>
      <c r="AI2531" s="3"/>
      <c r="AJ2531" s="3"/>
      <c r="AK2531" s="3" t="str">
        <f>HYPERLINK("https://knigipp.ru/api/getInfo/item/7e607f5c-f976-11e9-a236-ac1f6b442184")</f>
        <v>https://knigipp.ru/api/getInfo/item/7e607f5c-f976-11e9-a236-ac1f6b442184</v>
      </c>
      <c r="AL2531" s="3" t="s">
        <v>11429</v>
      </c>
    </row>
    <row r="2532" spans="1:38" ht="21" customHeight="1" outlineLevel="4" x14ac:dyDescent="0.2">
      <c r="A2532" s="39">
        <v>1970</v>
      </c>
      <c r="B2532" s="3" t="s">
        <v>11430</v>
      </c>
      <c r="C2532" s="49" t="s">
        <v>11431</v>
      </c>
      <c r="D2532" s="49"/>
      <c r="E2532" s="49"/>
      <c r="F2532" s="49"/>
      <c r="G2532" s="4" t="s">
        <v>11432</v>
      </c>
      <c r="H2532" s="8"/>
      <c r="I2532" s="9" t="s">
        <v>11433</v>
      </c>
      <c r="J2532" s="10"/>
      <c r="K2532" s="11">
        <v>12</v>
      </c>
      <c r="L2532" s="10"/>
      <c r="M2532" s="10" t="s">
        <v>304</v>
      </c>
      <c r="N2532" s="10"/>
      <c r="O2532" s="2">
        <v>4</v>
      </c>
      <c r="P2532" s="17">
        <f>169*(1-S3/100)</f>
        <v>169</v>
      </c>
      <c r="Q2532" s="18"/>
      <c r="R2532" s="10">
        <f t="shared" si="114"/>
        <v>0</v>
      </c>
      <c r="S2532" s="28">
        <f>0.16*Q2532</f>
        <v>0</v>
      </c>
      <c r="T2532" s="20">
        <f>0.00022*Q2532</f>
        <v>0</v>
      </c>
      <c r="U2532" s="21"/>
      <c r="V2532" s="22" t="s">
        <v>11434</v>
      </c>
      <c r="W2532" s="22" t="s">
        <v>49</v>
      </c>
      <c r="X2532" s="3"/>
      <c r="Y2532" s="3"/>
      <c r="Z2532" s="3" t="s">
        <v>52</v>
      </c>
      <c r="AA2532" s="3" t="s">
        <v>10252</v>
      </c>
      <c r="AB2532" s="3"/>
      <c r="AC2532" s="3" t="str">
        <f>HYPERLINK("https://knigipp.ru/api/getInfo/image/d3f94071-4512-11e7-977d-5cf3fc4a2490")</f>
        <v>https://knigipp.ru/api/getInfo/image/d3f94071-4512-11e7-977d-5cf3fc4a2490</v>
      </c>
      <c r="AD2532" s="32">
        <v>32</v>
      </c>
      <c r="AE2532" s="3"/>
      <c r="AF2532" s="3" t="s">
        <v>127</v>
      </c>
      <c r="AG2532" s="3"/>
      <c r="AH2532" s="3" t="s">
        <v>56</v>
      </c>
      <c r="AI2532" s="3"/>
      <c r="AJ2532" s="3" t="s">
        <v>11435</v>
      </c>
      <c r="AK2532" s="3" t="str">
        <f>HYPERLINK("https://knigipp.ru/api/getInfo/item/d3f94071-4512-11e7-977d-5cf3fc4a2490")</f>
        <v>https://knigipp.ru/api/getInfo/item/d3f94071-4512-11e7-977d-5cf3fc4a2490</v>
      </c>
      <c r="AL2532" s="3" t="s">
        <v>11429</v>
      </c>
    </row>
    <row r="2533" spans="1:38" ht="21" customHeight="1" outlineLevel="4" x14ac:dyDescent="0.2">
      <c r="A2533" s="39">
        <v>1971</v>
      </c>
      <c r="B2533" s="3" t="s">
        <v>11436</v>
      </c>
      <c r="C2533" s="49" t="s">
        <v>11437</v>
      </c>
      <c r="D2533" s="49"/>
      <c r="E2533" s="49"/>
      <c r="F2533" s="49"/>
      <c r="G2533" s="4" t="s">
        <v>11438</v>
      </c>
      <c r="H2533" s="8"/>
      <c r="I2533" s="9" t="s">
        <v>11439</v>
      </c>
      <c r="J2533" s="10"/>
      <c r="K2533" s="11">
        <v>12</v>
      </c>
      <c r="L2533" s="10"/>
      <c r="M2533" s="10" t="s">
        <v>304</v>
      </c>
      <c r="N2533" s="10"/>
      <c r="O2533" s="2">
        <v>4</v>
      </c>
      <c r="P2533" s="17">
        <f>169*(1-S3/100)</f>
        <v>169</v>
      </c>
      <c r="Q2533" s="18"/>
      <c r="R2533" s="10">
        <f t="shared" si="114"/>
        <v>0</v>
      </c>
      <c r="S2533" s="19">
        <f>0.155*Q2533</f>
        <v>0</v>
      </c>
      <c r="T2533" s="20">
        <f>0.00022*Q2533</f>
        <v>0</v>
      </c>
      <c r="U2533" s="21"/>
      <c r="V2533" s="22" t="s">
        <v>11440</v>
      </c>
      <c r="W2533" s="22" t="s">
        <v>49</v>
      </c>
      <c r="X2533" s="3"/>
      <c r="Y2533" s="3"/>
      <c r="Z2533" s="3" t="s">
        <v>52</v>
      </c>
      <c r="AA2533" s="3" t="s">
        <v>10252</v>
      </c>
      <c r="AB2533" s="3"/>
      <c r="AC2533" s="3" t="str">
        <f>HYPERLINK("https://knigipp.ru/api/getInfo/image/88af5bbc-4d06-11e7-977d-5cf3fc4a2490")</f>
        <v>https://knigipp.ru/api/getInfo/image/88af5bbc-4d06-11e7-977d-5cf3fc4a2490</v>
      </c>
      <c r="AD2533" s="32">
        <v>32</v>
      </c>
      <c r="AE2533" s="3"/>
      <c r="AF2533" s="3" t="s">
        <v>127</v>
      </c>
      <c r="AG2533" s="3"/>
      <c r="AH2533" s="3" t="s">
        <v>56</v>
      </c>
      <c r="AI2533" s="3"/>
      <c r="AJ2533" s="3" t="s">
        <v>11435</v>
      </c>
      <c r="AK2533" s="3" t="str">
        <f>HYPERLINK("https://knigipp.ru/api/getInfo/item/88af5bbc-4d06-11e7-977d-5cf3fc4a2490")</f>
        <v>https://knigipp.ru/api/getInfo/item/88af5bbc-4d06-11e7-977d-5cf3fc4a2490</v>
      </c>
      <c r="AL2533" s="3" t="s">
        <v>11429</v>
      </c>
    </row>
    <row r="2534" spans="1:38" ht="21" customHeight="1" outlineLevel="4" x14ac:dyDescent="0.2">
      <c r="A2534" s="39">
        <v>1972</v>
      </c>
      <c r="B2534" s="3" t="s">
        <v>11441</v>
      </c>
      <c r="C2534" s="49" t="s">
        <v>11442</v>
      </c>
      <c r="D2534" s="49"/>
      <c r="E2534" s="49"/>
      <c r="F2534" s="49"/>
      <c r="G2534" s="4" t="s">
        <v>11443</v>
      </c>
      <c r="H2534" s="8"/>
      <c r="I2534" s="9" t="s">
        <v>11444</v>
      </c>
      <c r="J2534" s="10"/>
      <c r="K2534" s="11">
        <v>12</v>
      </c>
      <c r="L2534" s="10"/>
      <c r="M2534" s="10" t="s">
        <v>304</v>
      </c>
      <c r="N2534" s="10"/>
      <c r="O2534" s="2">
        <v>4</v>
      </c>
      <c r="P2534" s="17">
        <f>169*(1-S3/100)</f>
        <v>169</v>
      </c>
      <c r="Q2534" s="18"/>
      <c r="R2534" s="10">
        <f t="shared" si="114"/>
        <v>0</v>
      </c>
      <c r="S2534" s="19">
        <f>0.153*Q2534</f>
        <v>0</v>
      </c>
      <c r="T2534" s="20">
        <f>0.00013*Q2534</f>
        <v>0</v>
      </c>
      <c r="U2534" s="21"/>
      <c r="V2534" s="22" t="s">
        <v>11445</v>
      </c>
      <c r="W2534" s="22" t="s">
        <v>49</v>
      </c>
      <c r="X2534" s="3"/>
      <c r="Y2534" s="3"/>
      <c r="Z2534" s="3" t="s">
        <v>384</v>
      </c>
      <c r="AA2534" s="3"/>
      <c r="AB2534" s="3"/>
      <c r="AC2534" s="3" t="str">
        <f>HYPERLINK("https://knigipp.ru/api/getInfo/image/3927fdc2-e1a4-11e8-a213-ac1f6b442184")</f>
        <v>https://knigipp.ru/api/getInfo/image/3927fdc2-e1a4-11e8-a213-ac1f6b442184</v>
      </c>
      <c r="AD2534" s="32">
        <v>32</v>
      </c>
      <c r="AE2534" s="3"/>
      <c r="AF2534" s="3" t="s">
        <v>127</v>
      </c>
      <c r="AG2534" s="3"/>
      <c r="AH2534" s="3" t="s">
        <v>56</v>
      </c>
      <c r="AI2534" s="3"/>
      <c r="AJ2534" s="3"/>
      <c r="AK2534" s="3" t="str">
        <f>HYPERLINK("https://knigipp.ru/api/getInfo/item/3927fdc2-e1a4-11e8-a213-ac1f6b442184")</f>
        <v>https://knigipp.ru/api/getInfo/item/3927fdc2-e1a4-11e8-a213-ac1f6b442184</v>
      </c>
      <c r="AL2534" s="3" t="s">
        <v>11429</v>
      </c>
    </row>
    <row r="2535" spans="1:38" ht="21" customHeight="1" outlineLevel="4" x14ac:dyDescent="0.2">
      <c r="A2535" s="39">
        <v>1973</v>
      </c>
      <c r="B2535" s="3" t="s">
        <v>11446</v>
      </c>
      <c r="C2535" s="49" t="s">
        <v>11447</v>
      </c>
      <c r="D2535" s="49"/>
      <c r="E2535" s="49"/>
      <c r="F2535" s="49"/>
      <c r="G2535" s="4" t="s">
        <v>11448</v>
      </c>
      <c r="H2535" s="8"/>
      <c r="I2535" s="9" t="s">
        <v>11449</v>
      </c>
      <c r="J2535" s="10"/>
      <c r="K2535" s="11">
        <v>12</v>
      </c>
      <c r="L2535" s="10"/>
      <c r="M2535" s="10" t="s">
        <v>304</v>
      </c>
      <c r="N2535" s="10"/>
      <c r="O2535" s="2">
        <v>4</v>
      </c>
      <c r="P2535" s="17">
        <f>169*(1-S3/100)</f>
        <v>169</v>
      </c>
      <c r="Q2535" s="18"/>
      <c r="R2535" s="10">
        <f t="shared" si="114"/>
        <v>0</v>
      </c>
      <c r="S2535" s="19">
        <f>0.159*Q2535</f>
        <v>0</v>
      </c>
      <c r="T2535" s="20">
        <f>0.00034*Q2535</f>
        <v>0</v>
      </c>
      <c r="U2535" s="21"/>
      <c r="V2535" s="22" t="s">
        <v>11450</v>
      </c>
      <c r="W2535" s="22" t="s">
        <v>49</v>
      </c>
      <c r="X2535" s="3" t="s">
        <v>11219</v>
      </c>
      <c r="Y2535" s="3"/>
      <c r="Z2535" s="3" t="s">
        <v>384</v>
      </c>
      <c r="AA2535" s="3"/>
      <c r="AB2535" s="3"/>
      <c r="AC2535" s="3" t="str">
        <f>HYPERLINK("https://knigipp.ru/api/getInfo/image/656a06dd-f976-11e9-a236-ac1f6b442184")</f>
        <v>https://knigipp.ru/api/getInfo/image/656a06dd-f976-11e9-a236-ac1f6b442184</v>
      </c>
      <c r="AD2535" s="32">
        <v>32</v>
      </c>
      <c r="AE2535" s="3"/>
      <c r="AF2535" s="3" t="s">
        <v>127</v>
      </c>
      <c r="AG2535" s="3"/>
      <c r="AH2535" s="3" t="s">
        <v>56</v>
      </c>
      <c r="AI2535" s="3"/>
      <c r="AJ2535" s="3"/>
      <c r="AK2535" s="3" t="str">
        <f>HYPERLINK("https://knigipp.ru/api/getInfo/item/656a06dd-f976-11e9-a236-ac1f6b442184")</f>
        <v>https://knigipp.ru/api/getInfo/item/656a06dd-f976-11e9-a236-ac1f6b442184</v>
      </c>
      <c r="AL2535" s="3" t="s">
        <v>11429</v>
      </c>
    </row>
    <row r="2536" spans="1:38" ht="21" customHeight="1" outlineLevel="4" x14ac:dyDescent="0.2">
      <c r="A2536" s="39">
        <v>1974</v>
      </c>
      <c r="B2536" s="3" t="s">
        <v>11451</v>
      </c>
      <c r="C2536" s="49" t="s">
        <v>11452</v>
      </c>
      <c r="D2536" s="49"/>
      <c r="E2536" s="49"/>
      <c r="F2536" s="49"/>
      <c r="G2536" s="4" t="s">
        <v>11453</v>
      </c>
      <c r="H2536" s="8"/>
      <c r="I2536" s="9" t="s">
        <v>11454</v>
      </c>
      <c r="J2536" s="10"/>
      <c r="K2536" s="11">
        <v>12</v>
      </c>
      <c r="L2536" s="10"/>
      <c r="M2536" s="10" t="s">
        <v>304</v>
      </c>
      <c r="N2536" s="10"/>
      <c r="O2536" s="2">
        <v>4</v>
      </c>
      <c r="P2536" s="17">
        <f>169*(1-S3/100)</f>
        <v>169</v>
      </c>
      <c r="Q2536" s="18"/>
      <c r="R2536" s="10">
        <f t="shared" si="114"/>
        <v>0</v>
      </c>
      <c r="S2536" s="19">
        <f>0.153*Q2536</f>
        <v>0</v>
      </c>
      <c r="T2536" s="20">
        <f>0.00025*Q2536</f>
        <v>0</v>
      </c>
      <c r="U2536" s="21"/>
      <c r="V2536" s="22" t="s">
        <v>11455</v>
      </c>
      <c r="W2536" s="22" t="s">
        <v>49</v>
      </c>
      <c r="X2536" s="3"/>
      <c r="Y2536" s="3"/>
      <c r="Z2536" s="3"/>
      <c r="AA2536" s="3" t="s">
        <v>3251</v>
      </c>
      <c r="AB2536" s="3"/>
      <c r="AC2536" s="3" t="str">
        <f>HYPERLINK("https://knigipp.ru/api/getInfo/image/5617bc89-4d06-11e7-977d-5cf3fc4a2490")</f>
        <v>https://knigipp.ru/api/getInfo/image/5617bc89-4d06-11e7-977d-5cf3fc4a2490</v>
      </c>
      <c r="AD2536" s="32">
        <v>32</v>
      </c>
      <c r="AE2536" s="3"/>
      <c r="AF2536" s="3" t="s">
        <v>127</v>
      </c>
      <c r="AG2536" s="3"/>
      <c r="AH2536" s="3" t="s">
        <v>56</v>
      </c>
      <c r="AI2536" s="3"/>
      <c r="AJ2536" s="3" t="s">
        <v>11435</v>
      </c>
      <c r="AK2536" s="3" t="str">
        <f>HYPERLINK("https://knigipp.ru/api/getInfo/item/5617bc89-4d06-11e7-977d-5cf3fc4a2490")</f>
        <v>https://knigipp.ru/api/getInfo/item/5617bc89-4d06-11e7-977d-5cf3fc4a2490</v>
      </c>
      <c r="AL2536" s="3" t="s">
        <v>11429</v>
      </c>
    </row>
    <row r="2537" spans="1:38" ht="21" customHeight="1" outlineLevel="4" x14ac:dyDescent="0.2">
      <c r="A2537" s="39">
        <v>1975</v>
      </c>
      <c r="B2537" s="3" t="s">
        <v>11456</v>
      </c>
      <c r="C2537" s="49" t="s">
        <v>11457</v>
      </c>
      <c r="D2537" s="49"/>
      <c r="E2537" s="49"/>
      <c r="F2537" s="49"/>
      <c r="G2537" s="4" t="s">
        <v>11458</v>
      </c>
      <c r="H2537" s="8"/>
      <c r="I2537" s="9" t="s">
        <v>11459</v>
      </c>
      <c r="J2537" s="10"/>
      <c r="K2537" s="11">
        <v>12</v>
      </c>
      <c r="L2537" s="10"/>
      <c r="M2537" s="10" t="s">
        <v>304</v>
      </c>
      <c r="N2537" s="10"/>
      <c r="O2537" s="2">
        <v>4</v>
      </c>
      <c r="P2537" s="17">
        <f>169*(1-S3/100)</f>
        <v>169</v>
      </c>
      <c r="Q2537" s="18"/>
      <c r="R2537" s="10">
        <f t="shared" si="114"/>
        <v>0</v>
      </c>
      <c r="S2537" s="19">
        <f>0.155*Q2537</f>
        <v>0</v>
      </c>
      <c r="T2537" s="20">
        <f>0.00021*Q2537</f>
        <v>0</v>
      </c>
      <c r="U2537" s="21"/>
      <c r="V2537" s="22" t="s">
        <v>11460</v>
      </c>
      <c r="W2537" s="22" t="s">
        <v>49</v>
      </c>
      <c r="X2537" s="3"/>
      <c r="Y2537" s="3"/>
      <c r="Z2537" s="3" t="s">
        <v>384</v>
      </c>
      <c r="AA2537" s="3"/>
      <c r="AB2537" s="3"/>
      <c r="AC2537" s="3" t="str">
        <f>HYPERLINK("https://knigipp.ru/api/getInfo/image/ba3c9d47-7985-11ea-a244-ac1f6b442184")</f>
        <v>https://knigipp.ru/api/getInfo/image/ba3c9d47-7985-11ea-a244-ac1f6b442184</v>
      </c>
      <c r="AD2537" s="32">
        <v>32</v>
      </c>
      <c r="AE2537" s="3"/>
      <c r="AF2537" s="3" t="s">
        <v>127</v>
      </c>
      <c r="AG2537" s="3"/>
      <c r="AH2537" s="3" t="s">
        <v>56</v>
      </c>
      <c r="AI2537" s="3"/>
      <c r="AJ2537" s="3"/>
      <c r="AK2537" s="3" t="str">
        <f>HYPERLINK("https://knigipp.ru/api/getInfo/item/ba3c9d47-7985-11ea-a244-ac1f6b442184")</f>
        <v>https://knigipp.ru/api/getInfo/item/ba3c9d47-7985-11ea-a244-ac1f6b442184</v>
      </c>
      <c r="AL2537" s="3" t="s">
        <v>11429</v>
      </c>
    </row>
    <row r="2538" spans="1:38" ht="21" customHeight="1" outlineLevel="4" x14ac:dyDescent="0.2">
      <c r="A2538" s="39">
        <v>1976</v>
      </c>
      <c r="B2538" s="3" t="s">
        <v>11461</v>
      </c>
      <c r="C2538" s="49" t="s">
        <v>11462</v>
      </c>
      <c r="D2538" s="49"/>
      <c r="E2538" s="49"/>
      <c r="F2538" s="49"/>
      <c r="G2538" s="4" t="s">
        <v>11463</v>
      </c>
      <c r="H2538" s="8"/>
      <c r="I2538" s="9" t="s">
        <v>11464</v>
      </c>
      <c r="J2538" s="10"/>
      <c r="K2538" s="11">
        <v>12</v>
      </c>
      <c r="L2538" s="10"/>
      <c r="M2538" s="10" t="s">
        <v>304</v>
      </c>
      <c r="N2538" s="10"/>
      <c r="O2538" s="2">
        <v>4</v>
      </c>
      <c r="P2538" s="17">
        <f>169*(1-S3/100)</f>
        <v>169</v>
      </c>
      <c r="Q2538" s="18"/>
      <c r="R2538" s="10">
        <f t="shared" si="114"/>
        <v>0</v>
      </c>
      <c r="S2538" s="19">
        <f>0.155*Q2538</f>
        <v>0</v>
      </c>
      <c r="T2538" s="20">
        <f>0.00022*Q2538</f>
        <v>0</v>
      </c>
      <c r="U2538" s="21"/>
      <c r="V2538" s="22" t="s">
        <v>11465</v>
      </c>
      <c r="W2538" s="22" t="s">
        <v>49</v>
      </c>
      <c r="X2538" s="3"/>
      <c r="Y2538" s="3"/>
      <c r="Z2538" s="3" t="s">
        <v>52</v>
      </c>
      <c r="AA2538" s="3" t="s">
        <v>10252</v>
      </c>
      <c r="AB2538" s="3"/>
      <c r="AC2538" s="3" t="str">
        <f>HYPERLINK("https://knigipp.ru/api/getInfo/image/7ee9957c-4d06-11e7-977d-5cf3fc4a2490")</f>
        <v>https://knigipp.ru/api/getInfo/image/7ee9957c-4d06-11e7-977d-5cf3fc4a2490</v>
      </c>
      <c r="AD2538" s="32">
        <v>32</v>
      </c>
      <c r="AE2538" s="3"/>
      <c r="AF2538" s="3" t="s">
        <v>127</v>
      </c>
      <c r="AG2538" s="3"/>
      <c r="AH2538" s="3" t="s">
        <v>56</v>
      </c>
      <c r="AI2538" s="3"/>
      <c r="AJ2538" s="3" t="s">
        <v>11435</v>
      </c>
      <c r="AK2538" s="3" t="str">
        <f>HYPERLINK("https://knigipp.ru/api/getInfo/item/7ee9957c-4d06-11e7-977d-5cf3fc4a2490")</f>
        <v>https://knigipp.ru/api/getInfo/item/7ee9957c-4d06-11e7-977d-5cf3fc4a2490</v>
      </c>
      <c r="AL2538" s="3" t="s">
        <v>11429</v>
      </c>
    </row>
    <row r="2539" spans="1:38" ht="21" customHeight="1" outlineLevel="4" x14ac:dyDescent="0.2">
      <c r="A2539" s="39">
        <v>1977</v>
      </c>
      <c r="B2539" s="3" t="s">
        <v>11466</v>
      </c>
      <c r="C2539" s="49" t="s">
        <v>11467</v>
      </c>
      <c r="D2539" s="49"/>
      <c r="E2539" s="49"/>
      <c r="F2539" s="49"/>
      <c r="G2539" s="4" t="s">
        <v>11468</v>
      </c>
      <c r="H2539" s="8"/>
      <c r="I2539" s="9" t="s">
        <v>11469</v>
      </c>
      <c r="J2539" s="10"/>
      <c r="K2539" s="11">
        <v>12</v>
      </c>
      <c r="L2539" s="10"/>
      <c r="M2539" s="10" t="s">
        <v>304</v>
      </c>
      <c r="N2539" s="10"/>
      <c r="O2539" s="2">
        <v>4</v>
      </c>
      <c r="P2539" s="17">
        <f>169*(1-S3/100)</f>
        <v>169</v>
      </c>
      <c r="Q2539" s="18"/>
      <c r="R2539" s="10">
        <f t="shared" si="114"/>
        <v>0</v>
      </c>
      <c r="S2539" s="19">
        <f>0.159*Q2539</f>
        <v>0</v>
      </c>
      <c r="T2539" s="20">
        <f>0.00026*Q2539</f>
        <v>0</v>
      </c>
      <c r="U2539" s="21"/>
      <c r="V2539" s="22" t="s">
        <v>11470</v>
      </c>
      <c r="W2539" s="22" t="s">
        <v>49</v>
      </c>
      <c r="X2539" s="3"/>
      <c r="Y2539" s="3"/>
      <c r="Z2539" s="3" t="s">
        <v>52</v>
      </c>
      <c r="AA2539" s="3" t="s">
        <v>10252</v>
      </c>
      <c r="AB2539" s="3"/>
      <c r="AC2539" s="3" t="str">
        <f>HYPERLINK("https://knigipp.ru/api/getInfo/image/deefb6d4-4512-11e7-977d-5cf3fc4a2490")</f>
        <v>https://knigipp.ru/api/getInfo/image/deefb6d4-4512-11e7-977d-5cf3fc4a2490</v>
      </c>
      <c r="AD2539" s="32">
        <v>32</v>
      </c>
      <c r="AE2539" s="3"/>
      <c r="AF2539" s="3" t="s">
        <v>127</v>
      </c>
      <c r="AG2539" s="3"/>
      <c r="AH2539" s="3" t="s">
        <v>56</v>
      </c>
      <c r="AI2539" s="3"/>
      <c r="AJ2539" s="3" t="s">
        <v>11435</v>
      </c>
      <c r="AK2539" s="3" t="str">
        <f>HYPERLINK("https://knigipp.ru/api/getInfo/item/deefb6d4-4512-11e7-977d-5cf3fc4a2490")</f>
        <v>https://knigipp.ru/api/getInfo/item/deefb6d4-4512-11e7-977d-5cf3fc4a2490</v>
      </c>
      <c r="AL2539" s="3" t="s">
        <v>11429</v>
      </c>
    </row>
    <row r="2540" spans="1:38" ht="23.1" customHeight="1" outlineLevel="1" x14ac:dyDescent="0.2">
      <c r="A2540" s="46" t="s">
        <v>11471</v>
      </c>
      <c r="B2540" s="46"/>
      <c r="C2540" s="46"/>
      <c r="D2540" s="46"/>
      <c r="E2540" s="46"/>
      <c r="F2540" s="46"/>
    </row>
    <row r="2541" spans="1:38" ht="23.1" customHeight="1" outlineLevel="2" x14ac:dyDescent="0.2">
      <c r="A2541" s="47" t="s">
        <v>11472</v>
      </c>
      <c r="B2541" s="47"/>
      <c r="C2541" s="47"/>
      <c r="D2541" s="47"/>
      <c r="E2541" s="47"/>
      <c r="F2541" s="47"/>
    </row>
    <row r="2542" spans="1:38" ht="23.1" customHeight="1" outlineLevel="3" x14ac:dyDescent="0.2">
      <c r="A2542" s="48" t="s">
        <v>11473</v>
      </c>
      <c r="B2542" s="48"/>
      <c r="C2542" s="48"/>
      <c r="D2542" s="48"/>
      <c r="E2542" s="48"/>
      <c r="F2542" s="48"/>
    </row>
    <row r="2543" spans="1:38" ht="21" customHeight="1" outlineLevel="4" x14ac:dyDescent="0.2">
      <c r="A2543" s="39">
        <v>1978</v>
      </c>
      <c r="B2543" s="3" t="s">
        <v>11474</v>
      </c>
      <c r="C2543" s="49" t="s">
        <v>11475</v>
      </c>
      <c r="D2543" s="49"/>
      <c r="E2543" s="49"/>
      <c r="F2543" s="49"/>
      <c r="G2543" s="4" t="s">
        <v>11476</v>
      </c>
      <c r="H2543" s="8"/>
      <c r="I2543" s="9" t="s">
        <v>11477</v>
      </c>
      <c r="J2543" s="10"/>
      <c r="K2543" s="11">
        <v>40</v>
      </c>
      <c r="L2543" s="10"/>
      <c r="M2543" s="10" t="s">
        <v>78</v>
      </c>
      <c r="N2543" s="10"/>
      <c r="O2543" s="2">
        <v>5</v>
      </c>
      <c r="P2543" s="17">
        <f>119*(1-S3/100)</f>
        <v>119</v>
      </c>
      <c r="Q2543" s="18"/>
      <c r="R2543" s="10">
        <f>P2543*Q2543</f>
        <v>0</v>
      </c>
      <c r="S2543" s="19">
        <f>0.125*Q2543</f>
        <v>0</v>
      </c>
      <c r="T2543" s="20">
        <f>0.00021*Q2543</f>
        <v>0</v>
      </c>
      <c r="U2543" s="21"/>
      <c r="V2543" s="22" t="s">
        <v>11478</v>
      </c>
      <c r="W2543" s="22" t="s">
        <v>49</v>
      </c>
      <c r="X2543" s="3" t="s">
        <v>4754</v>
      </c>
      <c r="Y2543" s="3"/>
      <c r="Z2543" s="3" t="s">
        <v>52</v>
      </c>
      <c r="AA2543" s="3" t="s">
        <v>10252</v>
      </c>
      <c r="AB2543" s="3"/>
      <c r="AC2543" s="3" t="str">
        <f>HYPERLINK("https://knigipp.ru/api/getInfo/image/6781ea5b-c686-11e1-81d3-5ef3fc502493")</f>
        <v>https://knigipp.ru/api/getInfo/image/6781ea5b-c686-11e1-81d3-5ef3fc502493</v>
      </c>
      <c r="AD2543" s="32">
        <v>10</v>
      </c>
      <c r="AE2543" s="3"/>
      <c r="AF2543" s="3" t="s">
        <v>209</v>
      </c>
      <c r="AG2543" s="3"/>
      <c r="AH2543" s="3" t="s">
        <v>56</v>
      </c>
      <c r="AI2543" s="3"/>
      <c r="AJ2543" s="3" t="s">
        <v>11479</v>
      </c>
      <c r="AK2543" s="3" t="str">
        <f>HYPERLINK("https://knigipp.ru/api/getInfo/item/6781ea5b-c686-11e1-81d3-5ef3fc502493")</f>
        <v>https://knigipp.ru/api/getInfo/item/6781ea5b-c686-11e1-81d3-5ef3fc502493</v>
      </c>
      <c r="AL2543" s="3" t="s">
        <v>11480</v>
      </c>
    </row>
    <row r="2544" spans="1:38" ht="21" customHeight="1" outlineLevel="4" x14ac:dyDescent="0.2">
      <c r="A2544" s="39">
        <v>1979</v>
      </c>
      <c r="B2544" s="3" t="s">
        <v>11481</v>
      </c>
      <c r="C2544" s="49" t="s">
        <v>11482</v>
      </c>
      <c r="D2544" s="49"/>
      <c r="E2544" s="49"/>
      <c r="F2544" s="49"/>
      <c r="G2544" s="4" t="s">
        <v>11483</v>
      </c>
      <c r="H2544" s="8"/>
      <c r="I2544" s="9" t="s">
        <v>11484</v>
      </c>
      <c r="J2544" s="10"/>
      <c r="K2544" s="11">
        <v>40</v>
      </c>
      <c r="L2544" s="10"/>
      <c r="M2544" s="10" t="s">
        <v>304</v>
      </c>
      <c r="N2544" s="10"/>
      <c r="O2544" s="2">
        <v>5</v>
      </c>
      <c r="P2544" s="17">
        <f>119*(1-S3/100)</f>
        <v>119</v>
      </c>
      <c r="Q2544" s="18"/>
      <c r="R2544" s="10">
        <f>P2544*Q2544</f>
        <v>0</v>
      </c>
      <c r="S2544" s="10">
        <v>0</v>
      </c>
      <c r="T2544" s="10">
        <v>0</v>
      </c>
      <c r="U2544" s="21"/>
      <c r="V2544" s="22" t="s">
        <v>11485</v>
      </c>
      <c r="W2544" s="22" t="s">
        <v>49</v>
      </c>
      <c r="X2544" s="3"/>
      <c r="Y2544" s="3"/>
      <c r="Z2544" s="3" t="s">
        <v>52</v>
      </c>
      <c r="AA2544" s="3"/>
      <c r="AB2544" s="3"/>
      <c r="AC2544" s="3" t="str">
        <f>HYPERLINK("https://knigipp.ru/api/getInfo/image/00f6f740-d1dd-11ec-a212-ac1f6b442185")</f>
        <v>https://knigipp.ru/api/getInfo/image/00f6f740-d1dd-11ec-a212-ac1f6b442185</v>
      </c>
      <c r="AD2544" s="32">
        <v>10</v>
      </c>
      <c r="AE2544" s="3"/>
      <c r="AF2544" s="3" t="s">
        <v>209</v>
      </c>
      <c r="AG2544" s="3"/>
      <c r="AH2544" s="3" t="s">
        <v>56</v>
      </c>
      <c r="AI2544" s="3"/>
      <c r="AJ2544" s="3" t="s">
        <v>11479</v>
      </c>
      <c r="AK2544" s="3" t="str">
        <f>HYPERLINK("https://knigipp.ru/api/getInfo/item/00f6f740-d1dd-11ec-a212-ac1f6b442185")</f>
        <v>https://knigipp.ru/api/getInfo/item/00f6f740-d1dd-11ec-a212-ac1f6b442185</v>
      </c>
      <c r="AL2544" s="3" t="s">
        <v>11480</v>
      </c>
    </row>
    <row r="2545" spans="1:38" ht="21" customHeight="1" outlineLevel="4" x14ac:dyDescent="0.2">
      <c r="A2545" s="39">
        <v>1980</v>
      </c>
      <c r="B2545" s="3" t="s">
        <v>11486</v>
      </c>
      <c r="C2545" s="49" t="s">
        <v>11487</v>
      </c>
      <c r="D2545" s="49"/>
      <c r="E2545" s="49"/>
      <c r="F2545" s="49"/>
      <c r="G2545" s="4" t="s">
        <v>11488</v>
      </c>
      <c r="H2545" s="8"/>
      <c r="I2545" s="9" t="s">
        <v>11477</v>
      </c>
      <c r="J2545" s="10"/>
      <c r="K2545" s="11">
        <v>40</v>
      </c>
      <c r="L2545" s="10"/>
      <c r="M2545" s="10" t="s">
        <v>78</v>
      </c>
      <c r="N2545" s="10"/>
      <c r="O2545" s="2">
        <v>5</v>
      </c>
      <c r="P2545" s="17">
        <f>119*(1-S3/100)</f>
        <v>119</v>
      </c>
      <c r="Q2545" s="18"/>
      <c r="R2545" s="10">
        <f>P2545*Q2545</f>
        <v>0</v>
      </c>
      <c r="S2545" s="19">
        <f>0.125*Q2545</f>
        <v>0</v>
      </c>
      <c r="T2545" s="20">
        <f>0.00021*Q2545</f>
        <v>0</v>
      </c>
      <c r="U2545" s="21"/>
      <c r="V2545" s="22" t="s">
        <v>11489</v>
      </c>
      <c r="W2545" s="22" t="s">
        <v>49</v>
      </c>
      <c r="X2545" s="3" t="s">
        <v>10417</v>
      </c>
      <c r="Y2545" s="3"/>
      <c r="Z2545" s="3" t="s">
        <v>52</v>
      </c>
      <c r="AA2545" s="3" t="s">
        <v>11490</v>
      </c>
      <c r="AB2545" s="3"/>
      <c r="AC2545" s="3" t="str">
        <f>HYPERLINK("https://knigipp.ru/api/getInfo/image/dd73af22-54fa-11e4-af3d-5cf3fc4a2490")</f>
        <v>https://knigipp.ru/api/getInfo/image/dd73af22-54fa-11e4-af3d-5cf3fc4a2490</v>
      </c>
      <c r="AD2545" s="32">
        <v>10</v>
      </c>
      <c r="AE2545" s="3"/>
      <c r="AF2545" s="3" t="s">
        <v>209</v>
      </c>
      <c r="AG2545" s="3"/>
      <c r="AH2545" s="3" t="s">
        <v>56</v>
      </c>
      <c r="AI2545" s="3"/>
      <c r="AJ2545" s="3" t="s">
        <v>11479</v>
      </c>
      <c r="AK2545" s="3" t="str">
        <f>HYPERLINK("https://knigipp.ru/api/getInfo/item/dd73af22-54fa-11e4-af3d-5cf3fc4a2490")</f>
        <v>https://knigipp.ru/api/getInfo/item/dd73af22-54fa-11e4-af3d-5cf3fc4a2490</v>
      </c>
      <c r="AL2545" s="3" t="s">
        <v>11480</v>
      </c>
    </row>
    <row r="2546" spans="1:38" ht="23.1" customHeight="1" outlineLevel="3" x14ac:dyDescent="0.2">
      <c r="A2546" s="48" t="s">
        <v>11491</v>
      </c>
      <c r="B2546" s="48"/>
      <c r="C2546" s="48"/>
      <c r="D2546" s="48"/>
      <c r="E2546" s="48"/>
      <c r="F2546" s="48"/>
    </row>
    <row r="2547" spans="1:38" ht="21" customHeight="1" outlineLevel="4" x14ac:dyDescent="0.2">
      <c r="A2547" s="39">
        <v>1981</v>
      </c>
      <c r="B2547" s="3" t="s">
        <v>11492</v>
      </c>
      <c r="C2547" s="49" t="s">
        <v>11493</v>
      </c>
      <c r="D2547" s="49"/>
      <c r="E2547" s="49"/>
      <c r="F2547" s="49"/>
      <c r="G2547" s="4" t="s">
        <v>11494</v>
      </c>
      <c r="H2547" s="8"/>
      <c r="I2547" s="9" t="s">
        <v>11495</v>
      </c>
      <c r="J2547" s="10"/>
      <c r="K2547" s="11">
        <v>20</v>
      </c>
      <c r="L2547" s="10"/>
      <c r="M2547" s="10" t="s">
        <v>47</v>
      </c>
      <c r="N2547" s="10"/>
      <c r="O2547" s="2">
        <v>3</v>
      </c>
      <c r="P2547" s="17">
        <f>227*(1-S3/100)</f>
        <v>227</v>
      </c>
      <c r="Q2547" s="18"/>
      <c r="R2547" s="10">
        <f>P2547*Q2547</f>
        <v>0</v>
      </c>
      <c r="S2547" s="35">
        <f>0.1*Q2547</f>
        <v>0</v>
      </c>
      <c r="T2547" s="20">
        <f>0.00089*Q2547</f>
        <v>0</v>
      </c>
      <c r="U2547" s="21"/>
      <c r="V2547" s="22" t="s">
        <v>11496</v>
      </c>
      <c r="W2547" s="22" t="s">
        <v>49</v>
      </c>
      <c r="X2547" s="3" t="s">
        <v>281</v>
      </c>
      <c r="Y2547" s="3" t="s">
        <v>11497</v>
      </c>
      <c r="Z2547" s="3" t="s">
        <v>52</v>
      </c>
      <c r="AA2547" s="3"/>
      <c r="AB2547" s="3"/>
      <c r="AC2547" s="3" t="str">
        <f>HYPERLINK("https://knigipp.ru/api/getInfo/image/aef8b8b2-9e0a-11f0-a285-00155d82e908")</f>
        <v>https://knigipp.ru/api/getInfo/image/aef8b8b2-9e0a-11f0-a285-00155d82e908</v>
      </c>
      <c r="AD2547" s="32">
        <v>10</v>
      </c>
      <c r="AE2547" s="3" t="s">
        <v>54</v>
      </c>
      <c r="AF2547" s="3" t="s">
        <v>209</v>
      </c>
      <c r="AG2547" s="3"/>
      <c r="AH2547" s="3" t="s">
        <v>56</v>
      </c>
      <c r="AI2547" s="3"/>
      <c r="AJ2547" s="3"/>
      <c r="AK2547" s="3" t="str">
        <f>HYPERLINK("https://knigipp.ru/api/getInfo/item/aef8b8b2-9e0a-11f0-a285-00155d82e908")</f>
        <v>https://knigipp.ru/api/getInfo/item/aef8b8b2-9e0a-11f0-a285-00155d82e908</v>
      </c>
      <c r="AL2547" s="3" t="s">
        <v>11498</v>
      </c>
    </row>
    <row r="2548" spans="1:38" ht="21" customHeight="1" outlineLevel="4" x14ac:dyDescent="0.2">
      <c r="A2548" s="39">
        <v>1982</v>
      </c>
      <c r="B2548" s="3" t="s">
        <v>11499</v>
      </c>
      <c r="C2548" s="49" t="s">
        <v>11500</v>
      </c>
      <c r="D2548" s="49"/>
      <c r="E2548" s="49"/>
      <c r="F2548" s="49"/>
      <c r="G2548" s="4" t="s">
        <v>11501</v>
      </c>
      <c r="H2548" s="8"/>
      <c r="I2548" s="9" t="s">
        <v>11495</v>
      </c>
      <c r="J2548" s="10"/>
      <c r="K2548" s="11">
        <v>20</v>
      </c>
      <c r="L2548" s="10"/>
      <c r="M2548" s="10" t="s">
        <v>47</v>
      </c>
      <c r="N2548" s="10"/>
      <c r="O2548" s="2">
        <v>3</v>
      </c>
      <c r="P2548" s="17">
        <f>227*(1-S3/100)</f>
        <v>227</v>
      </c>
      <c r="Q2548" s="18"/>
      <c r="R2548" s="10">
        <f>P2548*Q2548</f>
        <v>0</v>
      </c>
      <c r="S2548" s="19">
        <f>0.102*Q2548</f>
        <v>0</v>
      </c>
      <c r="T2548" s="20">
        <f>0.00075*Q2548</f>
        <v>0</v>
      </c>
      <c r="U2548" s="21"/>
      <c r="V2548" s="22" t="s">
        <v>11502</v>
      </c>
      <c r="W2548" s="22" t="s">
        <v>49</v>
      </c>
      <c r="X2548" s="3" t="s">
        <v>281</v>
      </c>
      <c r="Y2548" s="3" t="s">
        <v>11503</v>
      </c>
      <c r="Z2548" s="3" t="s">
        <v>52</v>
      </c>
      <c r="AA2548" s="3"/>
      <c r="AB2548" s="3"/>
      <c r="AC2548" s="3" t="str">
        <f>HYPERLINK("https://knigipp.ru/api/getInfo/image/47e852e4-9e0c-11f0-a285-00155d82e908")</f>
        <v>https://knigipp.ru/api/getInfo/image/47e852e4-9e0c-11f0-a285-00155d82e908</v>
      </c>
      <c r="AD2548" s="32">
        <v>10</v>
      </c>
      <c r="AE2548" s="3" t="s">
        <v>54</v>
      </c>
      <c r="AF2548" s="3" t="s">
        <v>209</v>
      </c>
      <c r="AG2548" s="3"/>
      <c r="AH2548" s="3" t="s">
        <v>56</v>
      </c>
      <c r="AI2548" s="3"/>
      <c r="AJ2548" s="3"/>
      <c r="AK2548" s="3" t="str">
        <f>HYPERLINK("https://knigipp.ru/api/getInfo/item/47e852e4-9e0c-11f0-a285-00155d82e908")</f>
        <v>https://knigipp.ru/api/getInfo/item/47e852e4-9e0c-11f0-a285-00155d82e908</v>
      </c>
      <c r="AL2548" s="3" t="s">
        <v>11498</v>
      </c>
    </row>
    <row r="2549" spans="1:38" ht="21" customHeight="1" outlineLevel="4" x14ac:dyDescent="0.2">
      <c r="A2549" s="39">
        <v>1983</v>
      </c>
      <c r="B2549" s="3" t="s">
        <v>11504</v>
      </c>
      <c r="C2549" s="49" t="s">
        <v>11505</v>
      </c>
      <c r="D2549" s="49"/>
      <c r="E2549" s="49"/>
      <c r="F2549" s="49"/>
      <c r="G2549" s="4" t="s">
        <v>11506</v>
      </c>
      <c r="H2549" s="8"/>
      <c r="I2549" s="9" t="s">
        <v>11495</v>
      </c>
      <c r="J2549" s="10"/>
      <c r="K2549" s="11">
        <v>20</v>
      </c>
      <c r="L2549" s="10"/>
      <c r="M2549" s="10" t="s">
        <v>47</v>
      </c>
      <c r="N2549" s="10"/>
      <c r="O2549" s="2">
        <v>3</v>
      </c>
      <c r="P2549" s="17">
        <f>227*(1-S3/100)</f>
        <v>227</v>
      </c>
      <c r="Q2549" s="18"/>
      <c r="R2549" s="10">
        <f>P2549*Q2549</f>
        <v>0</v>
      </c>
      <c r="S2549" s="35">
        <f>0.1*Q2549</f>
        <v>0</v>
      </c>
      <c r="T2549" s="20">
        <f>0.00089*Q2549</f>
        <v>0</v>
      </c>
      <c r="U2549" s="21"/>
      <c r="V2549" s="22" t="s">
        <v>11507</v>
      </c>
      <c r="W2549" s="22" t="s">
        <v>49</v>
      </c>
      <c r="X2549" s="3" t="s">
        <v>281</v>
      </c>
      <c r="Y2549" s="3" t="s">
        <v>11508</v>
      </c>
      <c r="Z2549" s="3" t="s">
        <v>52</v>
      </c>
      <c r="AA2549" s="3"/>
      <c r="AB2549" s="3"/>
      <c r="AC2549" s="3" t="str">
        <f>HYPERLINK("https://knigipp.ru/api/getInfo/image/1b2965b7-9e0c-11f0-a285-00155d82e908")</f>
        <v>https://knigipp.ru/api/getInfo/image/1b2965b7-9e0c-11f0-a285-00155d82e908</v>
      </c>
      <c r="AD2549" s="32">
        <v>10</v>
      </c>
      <c r="AE2549" s="3" t="s">
        <v>54</v>
      </c>
      <c r="AF2549" s="3" t="s">
        <v>209</v>
      </c>
      <c r="AG2549" s="3"/>
      <c r="AH2549" s="3" t="s">
        <v>56</v>
      </c>
      <c r="AI2549" s="3"/>
      <c r="AJ2549" s="3"/>
      <c r="AK2549" s="3" t="str">
        <f>HYPERLINK("https://knigipp.ru/api/getInfo/item/1b2965b7-9e0c-11f0-a285-00155d82e908")</f>
        <v>https://knigipp.ru/api/getInfo/item/1b2965b7-9e0c-11f0-a285-00155d82e908</v>
      </c>
      <c r="AL2549" s="3" t="s">
        <v>11498</v>
      </c>
    </row>
    <row r="2550" spans="1:38" ht="21" customHeight="1" outlineLevel="4" x14ac:dyDescent="0.2">
      <c r="A2550" s="39">
        <v>1984</v>
      </c>
      <c r="B2550" s="3" t="s">
        <v>11509</v>
      </c>
      <c r="C2550" s="49" t="s">
        <v>11510</v>
      </c>
      <c r="D2550" s="49"/>
      <c r="E2550" s="49"/>
      <c r="F2550" s="49"/>
      <c r="G2550" s="4" t="s">
        <v>11511</v>
      </c>
      <c r="H2550" s="8"/>
      <c r="I2550" s="9" t="s">
        <v>11495</v>
      </c>
      <c r="J2550" s="10"/>
      <c r="K2550" s="11">
        <v>20</v>
      </c>
      <c r="L2550" s="10"/>
      <c r="M2550" s="10" t="s">
        <v>47</v>
      </c>
      <c r="N2550" s="10"/>
      <c r="O2550" s="2">
        <v>3</v>
      </c>
      <c r="P2550" s="17">
        <f>227*(1-S3/100)</f>
        <v>227</v>
      </c>
      <c r="Q2550" s="18"/>
      <c r="R2550" s="10">
        <f>P2550*Q2550</f>
        <v>0</v>
      </c>
      <c r="S2550" s="35">
        <f>0.1*Q2550</f>
        <v>0</v>
      </c>
      <c r="T2550" s="20">
        <f>0.00089*Q2550</f>
        <v>0</v>
      </c>
      <c r="U2550" s="21"/>
      <c r="V2550" s="22" t="s">
        <v>11512</v>
      </c>
      <c r="W2550" s="22" t="s">
        <v>49</v>
      </c>
      <c r="X2550" s="3" t="s">
        <v>281</v>
      </c>
      <c r="Y2550" s="3" t="s">
        <v>11513</v>
      </c>
      <c r="Z2550" s="3" t="s">
        <v>52</v>
      </c>
      <c r="AA2550" s="3"/>
      <c r="AB2550" s="3"/>
      <c r="AC2550" s="3" t="str">
        <f>HYPERLINK("https://knigipp.ru/api/getInfo/image/7b4f34e7-9e0c-11f0-a285-00155d82e908")</f>
        <v>https://knigipp.ru/api/getInfo/image/7b4f34e7-9e0c-11f0-a285-00155d82e908</v>
      </c>
      <c r="AD2550" s="32">
        <v>10</v>
      </c>
      <c r="AE2550" s="3" t="s">
        <v>54</v>
      </c>
      <c r="AF2550" s="3" t="s">
        <v>209</v>
      </c>
      <c r="AG2550" s="3"/>
      <c r="AH2550" s="3" t="s">
        <v>56</v>
      </c>
      <c r="AI2550" s="3"/>
      <c r="AJ2550" s="3"/>
      <c r="AK2550" s="3" t="str">
        <f>HYPERLINK("https://knigipp.ru/api/getInfo/item/7b4f34e7-9e0c-11f0-a285-00155d82e908")</f>
        <v>https://knigipp.ru/api/getInfo/item/7b4f34e7-9e0c-11f0-a285-00155d82e908</v>
      </c>
      <c r="AL2550" s="3" t="s">
        <v>11498</v>
      </c>
    </row>
    <row r="2551" spans="1:38" ht="23.1" customHeight="1" outlineLevel="3" x14ac:dyDescent="0.2">
      <c r="A2551" s="48" t="s">
        <v>11514</v>
      </c>
      <c r="B2551" s="48"/>
      <c r="C2551" s="48"/>
      <c r="D2551" s="48"/>
      <c r="E2551" s="48"/>
      <c r="F2551" s="48"/>
    </row>
    <row r="2552" spans="1:38" ht="21" customHeight="1" outlineLevel="4" x14ac:dyDescent="0.2">
      <c r="A2552" s="39">
        <v>1985</v>
      </c>
      <c r="B2552" s="3" t="s">
        <v>11515</v>
      </c>
      <c r="C2552" s="49" t="s">
        <v>11516</v>
      </c>
      <c r="D2552" s="49"/>
      <c r="E2552" s="49"/>
      <c r="F2552" s="49"/>
      <c r="G2552" s="4" t="s">
        <v>11517</v>
      </c>
      <c r="H2552" s="8"/>
      <c r="I2552" s="9" t="s">
        <v>11518</v>
      </c>
      <c r="J2552" s="10"/>
      <c r="K2552" s="11">
        <v>15</v>
      </c>
      <c r="L2552" s="10"/>
      <c r="M2552" s="10" t="s">
        <v>304</v>
      </c>
      <c r="N2552" s="10"/>
      <c r="O2552" s="2">
        <v>5</v>
      </c>
      <c r="P2552" s="17">
        <f>139*(1-S3/100)</f>
        <v>139</v>
      </c>
      <c r="Q2552" s="18"/>
      <c r="R2552" s="10">
        <f>P2552*Q2552</f>
        <v>0</v>
      </c>
      <c r="S2552" s="19">
        <f>0.081*Q2552</f>
        <v>0</v>
      </c>
      <c r="T2552" s="20">
        <f>0.00017*Q2552</f>
        <v>0</v>
      </c>
      <c r="U2552" s="21"/>
      <c r="V2552" s="22" t="s">
        <v>11519</v>
      </c>
      <c r="W2552" s="22" t="s">
        <v>49</v>
      </c>
      <c r="X2552" s="3" t="s">
        <v>117</v>
      </c>
      <c r="Y2552" s="3"/>
      <c r="Z2552" s="3" t="s">
        <v>52</v>
      </c>
      <c r="AA2552" s="3"/>
      <c r="AB2552" s="3"/>
      <c r="AC2552" s="3" t="str">
        <f>HYPERLINK("https://knigipp.ru/api/getInfo/image/fb350ff0-c0f5-11ee-a25a-00155d82e908")</f>
        <v>https://knigipp.ru/api/getInfo/image/fb350ff0-c0f5-11ee-a25a-00155d82e908</v>
      </c>
      <c r="AD2552" s="32">
        <v>10</v>
      </c>
      <c r="AE2552" s="3" t="s">
        <v>54</v>
      </c>
      <c r="AF2552" s="3" t="s">
        <v>209</v>
      </c>
      <c r="AG2552" s="3"/>
      <c r="AH2552" s="3" t="s">
        <v>56</v>
      </c>
      <c r="AI2552" s="3"/>
      <c r="AJ2552" s="3"/>
      <c r="AK2552" s="3" t="str">
        <f>HYPERLINK("https://knigipp.ru/api/getInfo/item/fb350ff0-c0f5-11ee-a25a-00155d82e908")</f>
        <v>https://knigipp.ru/api/getInfo/item/fb350ff0-c0f5-11ee-a25a-00155d82e908</v>
      </c>
      <c r="AL2552" s="3" t="s">
        <v>11520</v>
      </c>
    </row>
    <row r="2553" spans="1:38" ht="23.1" customHeight="1" outlineLevel="3" x14ac:dyDescent="0.2">
      <c r="A2553" s="48" t="s">
        <v>11521</v>
      </c>
      <c r="B2553" s="48"/>
      <c r="C2553" s="48"/>
      <c r="D2553" s="48"/>
      <c r="E2553" s="48"/>
      <c r="F2553" s="48"/>
    </row>
    <row r="2554" spans="1:38" ht="21" customHeight="1" outlineLevel="4" x14ac:dyDescent="0.2">
      <c r="A2554" s="39">
        <v>1986</v>
      </c>
      <c r="B2554" s="3" t="s">
        <v>11522</v>
      </c>
      <c r="C2554" s="49" t="s">
        <v>11523</v>
      </c>
      <c r="D2554" s="49"/>
      <c r="E2554" s="49"/>
      <c r="F2554" s="49"/>
      <c r="G2554" s="4" t="s">
        <v>11524</v>
      </c>
      <c r="H2554" s="8"/>
      <c r="I2554" s="9" t="s">
        <v>11525</v>
      </c>
      <c r="J2554" s="10"/>
      <c r="K2554" s="11">
        <v>20</v>
      </c>
      <c r="L2554" s="10"/>
      <c r="M2554" s="10" t="s">
        <v>78</v>
      </c>
      <c r="N2554" s="10"/>
      <c r="O2554" s="2">
        <v>4</v>
      </c>
      <c r="P2554" s="17">
        <f>156.73*(1-S3/100)</f>
        <v>156.72999999999999</v>
      </c>
      <c r="Q2554" s="18"/>
      <c r="R2554" s="10">
        <f>P2554*Q2554</f>
        <v>0</v>
      </c>
      <c r="S2554" s="19">
        <f>0.182*Q2554</f>
        <v>0</v>
      </c>
      <c r="T2554" s="20">
        <f>0.00035*Q2554</f>
        <v>0</v>
      </c>
      <c r="U2554" s="21"/>
      <c r="V2554" s="22" t="s">
        <v>11526</v>
      </c>
      <c r="W2554" s="22" t="s">
        <v>49</v>
      </c>
      <c r="X2554" s="3" t="s">
        <v>11527</v>
      </c>
      <c r="Y2554" s="3"/>
      <c r="Z2554" s="3" t="s">
        <v>52</v>
      </c>
      <c r="AA2554" s="3" t="s">
        <v>11528</v>
      </c>
      <c r="AB2554" s="3"/>
      <c r="AC2554" s="3"/>
      <c r="AD2554" s="32">
        <v>10</v>
      </c>
      <c r="AE2554" s="3"/>
      <c r="AF2554" s="3" t="s">
        <v>209</v>
      </c>
      <c r="AG2554" s="3"/>
      <c r="AH2554" s="3" t="s">
        <v>56</v>
      </c>
      <c r="AI2554" s="3"/>
      <c r="AJ2554" s="3" t="s">
        <v>11529</v>
      </c>
      <c r="AK2554" s="3"/>
      <c r="AL2554" s="3" t="s">
        <v>11530</v>
      </c>
    </row>
    <row r="2555" spans="1:38" ht="23.1" customHeight="1" outlineLevel="3" x14ac:dyDescent="0.2">
      <c r="A2555" s="48" t="s">
        <v>11531</v>
      </c>
      <c r="B2555" s="48"/>
      <c r="C2555" s="48"/>
      <c r="D2555" s="48"/>
      <c r="E2555" s="48"/>
      <c r="F2555" s="48"/>
    </row>
    <row r="2556" spans="1:38" ht="21" customHeight="1" outlineLevel="4" x14ac:dyDescent="0.2">
      <c r="A2556" s="39">
        <v>1987</v>
      </c>
      <c r="B2556" s="3" t="s">
        <v>11532</v>
      </c>
      <c r="C2556" s="49" t="s">
        <v>11533</v>
      </c>
      <c r="D2556" s="49"/>
      <c r="E2556" s="49"/>
      <c r="F2556" s="49"/>
      <c r="G2556" s="4" t="s">
        <v>11534</v>
      </c>
      <c r="H2556" s="8"/>
      <c r="I2556" s="9" t="s">
        <v>11535</v>
      </c>
      <c r="J2556" s="10"/>
      <c r="K2556" s="11">
        <v>60</v>
      </c>
      <c r="L2556" s="10"/>
      <c r="M2556" s="10" t="s">
        <v>78</v>
      </c>
      <c r="N2556" s="10"/>
      <c r="O2556" s="2">
        <v>2</v>
      </c>
      <c r="P2556" s="17">
        <f>397*(1-S3/100)</f>
        <v>397</v>
      </c>
      <c r="Q2556" s="18"/>
      <c r="R2556" s="10">
        <f>P2556*Q2556</f>
        <v>0</v>
      </c>
      <c r="S2556" s="19">
        <f>0.068*Q2556</f>
        <v>0</v>
      </c>
      <c r="T2556" s="20">
        <f>0.00025*Q2556</f>
        <v>0</v>
      </c>
      <c r="U2556" s="21"/>
      <c r="V2556" s="22" t="s">
        <v>11536</v>
      </c>
      <c r="W2556" s="22" t="s">
        <v>49</v>
      </c>
      <c r="X2556" s="3"/>
      <c r="Y2556" s="3"/>
      <c r="Z2556" s="3" t="s">
        <v>52</v>
      </c>
      <c r="AA2556" s="3"/>
      <c r="AB2556" s="3"/>
      <c r="AC2556" s="3" t="str">
        <f>HYPERLINK("https://knigipp.ru/api/getInfo/image/7c8df6d2-7b62-11eb-a275-ac1f6b442184")</f>
        <v>https://knigipp.ru/api/getInfo/image/7c8df6d2-7b62-11eb-a275-ac1f6b442184</v>
      </c>
      <c r="AD2556" s="32">
        <v>10</v>
      </c>
      <c r="AE2556" s="3"/>
      <c r="AF2556" s="3" t="s">
        <v>209</v>
      </c>
      <c r="AG2556" s="3"/>
      <c r="AH2556" s="3" t="s">
        <v>56</v>
      </c>
      <c r="AI2556" s="3"/>
      <c r="AJ2556" s="3"/>
      <c r="AK2556" s="3" t="str">
        <f>HYPERLINK("https://knigipp.ru/api/getInfo/item/7c8df6d2-7b62-11eb-a275-ac1f6b442184")</f>
        <v>https://knigipp.ru/api/getInfo/item/7c8df6d2-7b62-11eb-a275-ac1f6b442184</v>
      </c>
      <c r="AL2556" s="3" t="s">
        <v>11537</v>
      </c>
    </row>
    <row r="2557" spans="1:38" ht="23.1" customHeight="1" outlineLevel="3" x14ac:dyDescent="0.2">
      <c r="A2557" s="48" t="s">
        <v>11538</v>
      </c>
      <c r="B2557" s="48"/>
      <c r="C2557" s="48"/>
      <c r="D2557" s="48"/>
      <c r="E2557" s="48"/>
      <c r="F2557" s="48"/>
    </row>
    <row r="2558" spans="1:38" ht="21" customHeight="1" outlineLevel="4" x14ac:dyDescent="0.2">
      <c r="A2558" s="39">
        <v>1988</v>
      </c>
      <c r="B2558" s="3" t="s">
        <v>11539</v>
      </c>
      <c r="C2558" s="49" t="s">
        <v>11540</v>
      </c>
      <c r="D2558" s="49"/>
      <c r="E2558" s="49"/>
      <c r="F2558" s="49"/>
      <c r="G2558" s="4" t="s">
        <v>11541</v>
      </c>
      <c r="H2558" s="8"/>
      <c r="I2558" s="9" t="s">
        <v>11542</v>
      </c>
      <c r="J2558" s="10"/>
      <c r="K2558" s="11">
        <v>40</v>
      </c>
      <c r="L2558" s="10"/>
      <c r="M2558" s="10" t="s">
        <v>78</v>
      </c>
      <c r="N2558" s="10"/>
      <c r="O2558" s="2">
        <v>7</v>
      </c>
      <c r="P2558" s="17">
        <f>99*(1-S3/100)</f>
        <v>99</v>
      </c>
      <c r="Q2558" s="18"/>
      <c r="R2558" s="10">
        <f>P2558*Q2558</f>
        <v>0</v>
      </c>
      <c r="S2558" s="19">
        <f>0.069*Q2558</f>
        <v>0</v>
      </c>
      <c r="T2558" s="20">
        <f>0.00063*Q2558</f>
        <v>0</v>
      </c>
      <c r="U2558" s="21"/>
      <c r="V2558" s="22" t="s">
        <v>11543</v>
      </c>
      <c r="W2558" s="22" t="s">
        <v>49</v>
      </c>
      <c r="X2558" s="3"/>
      <c r="Y2558" s="3"/>
      <c r="Z2558" s="3" t="s">
        <v>52</v>
      </c>
      <c r="AA2558" s="3"/>
      <c r="AB2558" s="3"/>
      <c r="AC2558" s="3" t="str">
        <f>HYPERLINK("https://knigipp.ru/api/getInfo/image/c0837c2f-23c1-11e9-a21d-ac1f6b442184")</f>
        <v>https://knigipp.ru/api/getInfo/image/c0837c2f-23c1-11e9-a21d-ac1f6b442184</v>
      </c>
      <c r="AD2558" s="32">
        <v>10</v>
      </c>
      <c r="AE2558" s="3"/>
      <c r="AF2558" s="3" t="s">
        <v>209</v>
      </c>
      <c r="AG2558" s="3"/>
      <c r="AH2558" s="3" t="s">
        <v>56</v>
      </c>
      <c r="AI2558" s="3"/>
      <c r="AJ2558" s="3" t="s">
        <v>11544</v>
      </c>
      <c r="AK2558" s="3" t="str">
        <f>HYPERLINK("https://knigipp.ru/api/getInfo/item/c0837c2f-23c1-11e9-a21d-ac1f6b442184")</f>
        <v>https://knigipp.ru/api/getInfo/item/c0837c2f-23c1-11e9-a21d-ac1f6b442184</v>
      </c>
      <c r="AL2558" s="3" t="s">
        <v>11545</v>
      </c>
    </row>
    <row r="2559" spans="1:38" ht="23.1" customHeight="1" outlineLevel="2" x14ac:dyDescent="0.2">
      <c r="A2559" s="47" t="s">
        <v>11546</v>
      </c>
      <c r="B2559" s="47"/>
      <c r="C2559" s="47"/>
      <c r="D2559" s="47"/>
      <c r="E2559" s="47"/>
      <c r="F2559" s="47"/>
    </row>
    <row r="2560" spans="1:38" ht="23.1" customHeight="1" outlineLevel="3" x14ac:dyDescent="0.2">
      <c r="A2560" s="48" t="s">
        <v>11547</v>
      </c>
      <c r="B2560" s="48"/>
      <c r="C2560" s="48"/>
      <c r="D2560" s="48"/>
      <c r="E2560" s="48"/>
      <c r="F2560" s="48"/>
    </row>
    <row r="2561" spans="1:38" ht="21" customHeight="1" outlineLevel="4" x14ac:dyDescent="0.2">
      <c r="A2561" s="39">
        <v>1989</v>
      </c>
      <c r="B2561" s="3" t="s">
        <v>11548</v>
      </c>
      <c r="C2561" s="49" t="s">
        <v>11549</v>
      </c>
      <c r="D2561" s="49"/>
      <c r="E2561" s="49"/>
      <c r="F2561" s="49"/>
      <c r="G2561" s="4" t="s">
        <v>11550</v>
      </c>
      <c r="H2561" s="8"/>
      <c r="I2561" s="9" t="s">
        <v>11551</v>
      </c>
      <c r="J2561" s="10"/>
      <c r="K2561" s="11">
        <v>40</v>
      </c>
      <c r="L2561" s="10"/>
      <c r="M2561" s="10" t="s">
        <v>78</v>
      </c>
      <c r="N2561" s="10"/>
      <c r="O2561" s="2">
        <v>5</v>
      </c>
      <c r="P2561" s="17">
        <f>118.59*(1-S3/100)</f>
        <v>118.59</v>
      </c>
      <c r="Q2561" s="18"/>
      <c r="R2561" s="10">
        <f>P2561*Q2561</f>
        <v>0</v>
      </c>
      <c r="S2561" s="28">
        <f>0.08*Q2561</f>
        <v>0</v>
      </c>
      <c r="T2561" s="20">
        <f>0.00014*Q2561</f>
        <v>0</v>
      </c>
      <c r="U2561" s="21"/>
      <c r="V2561" s="22" t="s">
        <v>11552</v>
      </c>
      <c r="W2561" s="22" t="s">
        <v>49</v>
      </c>
      <c r="X2561" s="3" t="s">
        <v>11527</v>
      </c>
      <c r="Y2561" s="3"/>
      <c r="Z2561" s="3" t="s">
        <v>52</v>
      </c>
      <c r="AA2561" s="3" t="s">
        <v>10859</v>
      </c>
      <c r="AB2561" s="3"/>
      <c r="AC2561" s="3" t="str">
        <f>HYPERLINK("https://knigipp.ru/api/getInfo/image/6f0066b6-c686-11e1-81d3-5ef3fc502493")</f>
        <v>https://knigipp.ru/api/getInfo/image/6f0066b6-c686-11e1-81d3-5ef3fc502493</v>
      </c>
      <c r="AD2561" s="32">
        <v>10</v>
      </c>
      <c r="AE2561" s="3"/>
      <c r="AF2561" s="3" t="s">
        <v>209</v>
      </c>
      <c r="AG2561" s="3"/>
      <c r="AH2561" s="3" t="s">
        <v>56</v>
      </c>
      <c r="AI2561" s="3"/>
      <c r="AJ2561" s="3" t="s">
        <v>11553</v>
      </c>
      <c r="AK2561" s="3" t="str">
        <f>HYPERLINK("https://knigipp.ru/api/getInfo/item/6f0066b6-c686-11e1-81d3-5ef3fc502493")</f>
        <v>https://knigipp.ru/api/getInfo/item/6f0066b6-c686-11e1-81d3-5ef3fc502493</v>
      </c>
      <c r="AL2561" s="3" t="s">
        <v>11554</v>
      </c>
    </row>
    <row r="2562" spans="1:38" ht="23.1" customHeight="1" outlineLevel="3" x14ac:dyDescent="0.2">
      <c r="A2562" s="48" t="s">
        <v>11555</v>
      </c>
      <c r="B2562" s="48"/>
      <c r="C2562" s="48"/>
      <c r="D2562" s="48"/>
      <c r="E2562" s="48"/>
      <c r="F2562" s="48"/>
    </row>
    <row r="2563" spans="1:38" ht="21" customHeight="1" outlineLevel="4" x14ac:dyDescent="0.2">
      <c r="A2563" s="39">
        <v>1990</v>
      </c>
      <c r="B2563" s="3" t="s">
        <v>11556</v>
      </c>
      <c r="C2563" s="49" t="s">
        <v>11557</v>
      </c>
      <c r="D2563" s="49"/>
      <c r="E2563" s="49"/>
      <c r="F2563" s="49"/>
      <c r="G2563" s="4" t="s">
        <v>11558</v>
      </c>
      <c r="H2563" s="8"/>
      <c r="I2563" s="9" t="s">
        <v>11559</v>
      </c>
      <c r="J2563" s="10"/>
      <c r="K2563" s="11">
        <v>24</v>
      </c>
      <c r="L2563" s="10"/>
      <c r="M2563" s="10" t="s">
        <v>47</v>
      </c>
      <c r="N2563" s="10"/>
      <c r="O2563" s="2">
        <v>2</v>
      </c>
      <c r="P2563" s="17">
        <f>299*(1-S3/100)</f>
        <v>299</v>
      </c>
      <c r="Q2563" s="18"/>
      <c r="R2563" s="10">
        <f t="shared" ref="R2563:R2569" si="115">P2563*Q2563</f>
        <v>0</v>
      </c>
      <c r="S2563" s="19">
        <f>0.259*Q2563</f>
        <v>0</v>
      </c>
      <c r="T2563" s="20">
        <f>0.00073*Q2563</f>
        <v>0</v>
      </c>
      <c r="U2563" s="21"/>
      <c r="V2563" s="22" t="s">
        <v>11560</v>
      </c>
      <c r="W2563" s="22" t="s">
        <v>49</v>
      </c>
      <c r="X2563" s="3" t="s">
        <v>4754</v>
      </c>
      <c r="Y2563" s="3"/>
      <c r="Z2563" s="3" t="s">
        <v>52</v>
      </c>
      <c r="AA2563" s="3"/>
      <c r="AB2563" s="3"/>
      <c r="AC2563" s="3" t="str">
        <f>HYPERLINK("https://knigipp.ru/api/getInfo/image/97db246c-4a06-11ed-a216-ac1f6b442185")</f>
        <v>https://knigipp.ru/api/getInfo/image/97db246c-4a06-11ed-a216-ac1f6b442185</v>
      </c>
      <c r="AD2563" s="32">
        <v>10</v>
      </c>
      <c r="AE2563" s="3" t="s">
        <v>54</v>
      </c>
      <c r="AF2563" s="3" t="s">
        <v>209</v>
      </c>
      <c r="AG2563" s="3"/>
      <c r="AH2563" s="3" t="s">
        <v>56</v>
      </c>
      <c r="AI2563" s="3"/>
      <c r="AJ2563" s="3"/>
      <c r="AK2563" s="3" t="str">
        <f>HYPERLINK("https://knigipp.ru/api/getInfo/item/97db246c-4a06-11ed-a216-ac1f6b442185")</f>
        <v>https://knigipp.ru/api/getInfo/item/97db246c-4a06-11ed-a216-ac1f6b442185</v>
      </c>
      <c r="AL2563" s="3" t="s">
        <v>11561</v>
      </c>
    </row>
    <row r="2564" spans="1:38" ht="21" customHeight="1" outlineLevel="4" x14ac:dyDescent="0.2">
      <c r="A2564" s="39">
        <v>1991</v>
      </c>
      <c r="B2564" s="3" t="s">
        <v>11562</v>
      </c>
      <c r="C2564" s="49" t="s">
        <v>11563</v>
      </c>
      <c r="D2564" s="49"/>
      <c r="E2564" s="49"/>
      <c r="F2564" s="49"/>
      <c r="G2564" s="4" t="s">
        <v>11564</v>
      </c>
      <c r="H2564" s="8"/>
      <c r="I2564" s="9" t="s">
        <v>11559</v>
      </c>
      <c r="J2564" s="10"/>
      <c r="K2564" s="11">
        <v>24</v>
      </c>
      <c r="L2564" s="10"/>
      <c r="M2564" s="10" t="s">
        <v>47</v>
      </c>
      <c r="N2564" s="10"/>
      <c r="O2564" s="2">
        <v>2</v>
      </c>
      <c r="P2564" s="17">
        <f>299*(1-S3/100)</f>
        <v>299</v>
      </c>
      <c r="Q2564" s="18"/>
      <c r="R2564" s="10">
        <f t="shared" si="115"/>
        <v>0</v>
      </c>
      <c r="S2564" s="19">
        <f>0.216*Q2564</f>
        <v>0</v>
      </c>
      <c r="T2564" s="20">
        <f>0.00133*Q2564</f>
        <v>0</v>
      </c>
      <c r="U2564" s="21"/>
      <c r="V2564" s="22" t="s">
        <v>11565</v>
      </c>
      <c r="W2564" s="22" t="s">
        <v>49</v>
      </c>
      <c r="X2564" s="3" t="s">
        <v>4754</v>
      </c>
      <c r="Y2564" s="3"/>
      <c r="Z2564" s="3" t="s">
        <v>52</v>
      </c>
      <c r="AA2564" s="3"/>
      <c r="AB2564" s="3"/>
      <c r="AC2564" s="3" t="str">
        <f>HYPERLINK("https://knigipp.ru/api/getInfo/image/f7b52169-4a06-11ed-a216-ac1f6b442185")</f>
        <v>https://knigipp.ru/api/getInfo/image/f7b52169-4a06-11ed-a216-ac1f6b442185</v>
      </c>
      <c r="AD2564" s="32">
        <v>10</v>
      </c>
      <c r="AE2564" s="3" t="s">
        <v>54</v>
      </c>
      <c r="AF2564" s="3" t="s">
        <v>209</v>
      </c>
      <c r="AG2564" s="3"/>
      <c r="AH2564" s="3" t="s">
        <v>56</v>
      </c>
      <c r="AI2564" s="3"/>
      <c r="AJ2564" s="3"/>
      <c r="AK2564" s="3" t="str">
        <f>HYPERLINK("https://knigipp.ru/api/getInfo/item/f7b52169-4a06-11ed-a216-ac1f6b442185")</f>
        <v>https://knigipp.ru/api/getInfo/item/f7b52169-4a06-11ed-a216-ac1f6b442185</v>
      </c>
      <c r="AL2564" s="3" t="s">
        <v>11561</v>
      </c>
    </row>
    <row r="2565" spans="1:38" ht="21" customHeight="1" outlineLevel="4" x14ac:dyDescent="0.2">
      <c r="A2565" s="39">
        <v>1992</v>
      </c>
      <c r="B2565" s="3" t="s">
        <v>11566</v>
      </c>
      <c r="C2565" s="49" t="s">
        <v>11567</v>
      </c>
      <c r="D2565" s="49"/>
      <c r="E2565" s="49"/>
      <c r="F2565" s="49"/>
      <c r="G2565" s="4" t="s">
        <v>11568</v>
      </c>
      <c r="H2565" s="8"/>
      <c r="I2565" s="9" t="s">
        <v>11559</v>
      </c>
      <c r="J2565" s="10"/>
      <c r="K2565" s="11">
        <v>24</v>
      </c>
      <c r="L2565" s="10"/>
      <c r="M2565" s="10" t="s">
        <v>47</v>
      </c>
      <c r="N2565" s="10"/>
      <c r="O2565" s="2">
        <v>2</v>
      </c>
      <c r="P2565" s="17">
        <f>299*(1-S3/100)</f>
        <v>299</v>
      </c>
      <c r="Q2565" s="18"/>
      <c r="R2565" s="10">
        <f t="shared" si="115"/>
        <v>0</v>
      </c>
      <c r="S2565" s="19">
        <f>0.254*Q2565</f>
        <v>0</v>
      </c>
      <c r="T2565" s="20">
        <f>0.00136*Q2565</f>
        <v>0</v>
      </c>
      <c r="U2565" s="21"/>
      <c r="V2565" s="22" t="s">
        <v>11569</v>
      </c>
      <c r="W2565" s="22" t="s">
        <v>49</v>
      </c>
      <c r="X2565" s="3" t="s">
        <v>4754</v>
      </c>
      <c r="Y2565" s="3"/>
      <c r="Z2565" s="3" t="s">
        <v>52</v>
      </c>
      <c r="AA2565" s="3"/>
      <c r="AB2565" s="3"/>
      <c r="AC2565" s="3" t="str">
        <f>HYPERLINK("https://knigipp.ru/api/getInfo/image/ea2a0cfe-4a07-11ed-a216-ac1f6b442185")</f>
        <v>https://knigipp.ru/api/getInfo/image/ea2a0cfe-4a07-11ed-a216-ac1f6b442185</v>
      </c>
      <c r="AD2565" s="32">
        <v>10</v>
      </c>
      <c r="AE2565" s="3" t="s">
        <v>54</v>
      </c>
      <c r="AF2565" s="3" t="s">
        <v>209</v>
      </c>
      <c r="AG2565" s="3"/>
      <c r="AH2565" s="3" t="s">
        <v>56</v>
      </c>
      <c r="AI2565" s="3"/>
      <c r="AJ2565" s="3"/>
      <c r="AK2565" s="3" t="str">
        <f>HYPERLINK("https://knigipp.ru/api/getInfo/item/ea2a0cfe-4a07-11ed-a216-ac1f6b442185")</f>
        <v>https://knigipp.ru/api/getInfo/item/ea2a0cfe-4a07-11ed-a216-ac1f6b442185</v>
      </c>
      <c r="AL2565" s="3" t="s">
        <v>11561</v>
      </c>
    </row>
    <row r="2566" spans="1:38" ht="21" customHeight="1" outlineLevel="4" x14ac:dyDescent="0.2">
      <c r="A2566" s="39">
        <v>1993</v>
      </c>
      <c r="B2566" s="3" t="s">
        <v>11570</v>
      </c>
      <c r="C2566" s="49" t="s">
        <v>11571</v>
      </c>
      <c r="D2566" s="49"/>
      <c r="E2566" s="49"/>
      <c r="F2566" s="49"/>
      <c r="G2566" s="4" t="s">
        <v>11572</v>
      </c>
      <c r="H2566" s="8"/>
      <c r="I2566" s="9" t="s">
        <v>11559</v>
      </c>
      <c r="J2566" s="10"/>
      <c r="K2566" s="11">
        <v>24</v>
      </c>
      <c r="L2566" s="10"/>
      <c r="M2566" s="10" t="s">
        <v>47</v>
      </c>
      <c r="N2566" s="10"/>
      <c r="O2566" s="2">
        <v>2</v>
      </c>
      <c r="P2566" s="17">
        <f>299*(1-S3/100)</f>
        <v>299</v>
      </c>
      <c r="Q2566" s="18"/>
      <c r="R2566" s="10">
        <f t="shared" si="115"/>
        <v>0</v>
      </c>
      <c r="S2566" s="19">
        <f>0.228*Q2566</f>
        <v>0</v>
      </c>
      <c r="T2566" s="20">
        <f>0.00031*Q2566</f>
        <v>0</v>
      </c>
      <c r="U2566" s="21"/>
      <c r="V2566" s="22" t="s">
        <v>11573</v>
      </c>
      <c r="W2566" s="22" t="s">
        <v>49</v>
      </c>
      <c r="X2566" s="3" t="s">
        <v>4754</v>
      </c>
      <c r="Y2566" s="3"/>
      <c r="Z2566" s="3" t="s">
        <v>52</v>
      </c>
      <c r="AA2566" s="3"/>
      <c r="AB2566" s="3"/>
      <c r="AC2566" s="3" t="str">
        <f>HYPERLINK("https://knigipp.ru/api/getInfo/image/984a53c5-c32e-11ed-a230-00155d82e902")</f>
        <v>https://knigipp.ru/api/getInfo/image/984a53c5-c32e-11ed-a230-00155d82e902</v>
      </c>
      <c r="AD2566" s="32">
        <v>10</v>
      </c>
      <c r="AE2566" s="3" t="s">
        <v>54</v>
      </c>
      <c r="AF2566" s="3" t="s">
        <v>209</v>
      </c>
      <c r="AG2566" s="3"/>
      <c r="AH2566" s="3" t="s">
        <v>56</v>
      </c>
      <c r="AI2566" s="3"/>
      <c r="AJ2566" s="3"/>
      <c r="AK2566" s="3" t="str">
        <f>HYPERLINK("https://knigipp.ru/api/getInfo/item/984a53c5-c32e-11ed-a230-00155d82e902")</f>
        <v>https://knigipp.ru/api/getInfo/item/984a53c5-c32e-11ed-a230-00155d82e902</v>
      </c>
      <c r="AL2566" s="3" t="s">
        <v>11561</v>
      </c>
    </row>
    <row r="2567" spans="1:38" ht="21" customHeight="1" outlineLevel="4" x14ac:dyDescent="0.2">
      <c r="A2567" s="39">
        <v>1994</v>
      </c>
      <c r="B2567" s="3" t="s">
        <v>11574</v>
      </c>
      <c r="C2567" s="49" t="s">
        <v>11575</v>
      </c>
      <c r="D2567" s="49"/>
      <c r="E2567" s="49"/>
      <c r="F2567" s="49"/>
      <c r="G2567" s="4" t="s">
        <v>11576</v>
      </c>
      <c r="H2567" s="8"/>
      <c r="I2567" s="9" t="s">
        <v>11559</v>
      </c>
      <c r="J2567" s="10"/>
      <c r="K2567" s="11">
        <v>24</v>
      </c>
      <c r="L2567" s="10"/>
      <c r="M2567" s="10" t="s">
        <v>47</v>
      </c>
      <c r="N2567" s="10"/>
      <c r="O2567" s="2">
        <v>2</v>
      </c>
      <c r="P2567" s="17">
        <f>299*(1-S3/100)</f>
        <v>299</v>
      </c>
      <c r="Q2567" s="18"/>
      <c r="R2567" s="10">
        <f t="shared" si="115"/>
        <v>0</v>
      </c>
      <c r="S2567" s="19">
        <f>0.223*Q2567</f>
        <v>0</v>
      </c>
      <c r="T2567" s="20">
        <f>0.00133*Q2567</f>
        <v>0</v>
      </c>
      <c r="U2567" s="21"/>
      <c r="V2567" s="22" t="s">
        <v>11577</v>
      </c>
      <c r="W2567" s="22" t="s">
        <v>49</v>
      </c>
      <c r="X2567" s="3" t="s">
        <v>4754</v>
      </c>
      <c r="Y2567" s="3"/>
      <c r="Z2567" s="3" t="s">
        <v>52</v>
      </c>
      <c r="AA2567" s="3"/>
      <c r="AB2567" s="3"/>
      <c r="AC2567" s="3" t="str">
        <f>HYPERLINK("https://knigipp.ru/api/getInfo/image/ba24e7e4-c32e-11ed-a230-00155d82e902")</f>
        <v>https://knigipp.ru/api/getInfo/image/ba24e7e4-c32e-11ed-a230-00155d82e902</v>
      </c>
      <c r="AD2567" s="32">
        <v>10</v>
      </c>
      <c r="AE2567" s="3" t="s">
        <v>54</v>
      </c>
      <c r="AF2567" s="3" t="s">
        <v>209</v>
      </c>
      <c r="AG2567" s="3"/>
      <c r="AH2567" s="3" t="s">
        <v>56</v>
      </c>
      <c r="AI2567" s="3"/>
      <c r="AJ2567" s="3"/>
      <c r="AK2567" s="3" t="str">
        <f>HYPERLINK("https://knigipp.ru/api/getInfo/item/ba24e7e4-c32e-11ed-a230-00155d82e902")</f>
        <v>https://knigipp.ru/api/getInfo/item/ba24e7e4-c32e-11ed-a230-00155d82e902</v>
      </c>
      <c r="AL2567" s="3" t="s">
        <v>11561</v>
      </c>
    </row>
    <row r="2568" spans="1:38" ht="21" customHeight="1" outlineLevel="4" x14ac:dyDescent="0.2">
      <c r="A2568" s="39">
        <v>1995</v>
      </c>
      <c r="B2568" s="3" t="s">
        <v>11578</v>
      </c>
      <c r="C2568" s="49" t="s">
        <v>11579</v>
      </c>
      <c r="D2568" s="49"/>
      <c r="E2568" s="49"/>
      <c r="F2568" s="49"/>
      <c r="G2568" s="4" t="s">
        <v>11580</v>
      </c>
      <c r="H2568" s="8"/>
      <c r="I2568" s="9" t="s">
        <v>11559</v>
      </c>
      <c r="J2568" s="10"/>
      <c r="K2568" s="11">
        <v>24</v>
      </c>
      <c r="L2568" s="10"/>
      <c r="M2568" s="10" t="s">
        <v>47</v>
      </c>
      <c r="N2568" s="10"/>
      <c r="O2568" s="2">
        <v>2</v>
      </c>
      <c r="P2568" s="17">
        <f>299*(1-S3/100)</f>
        <v>299</v>
      </c>
      <c r="Q2568" s="18"/>
      <c r="R2568" s="10">
        <f t="shared" si="115"/>
        <v>0</v>
      </c>
      <c r="S2568" s="19">
        <f>0.228*Q2568</f>
        <v>0</v>
      </c>
      <c r="T2568" s="20">
        <f>0.00053*Q2568</f>
        <v>0</v>
      </c>
      <c r="U2568" s="21"/>
      <c r="V2568" s="22" t="s">
        <v>11581</v>
      </c>
      <c r="W2568" s="22" t="s">
        <v>49</v>
      </c>
      <c r="X2568" s="3" t="s">
        <v>4754</v>
      </c>
      <c r="Y2568" s="3"/>
      <c r="Z2568" s="3" t="s">
        <v>52</v>
      </c>
      <c r="AA2568" s="3"/>
      <c r="AB2568" s="3"/>
      <c r="AC2568" s="3" t="str">
        <f>HYPERLINK("https://knigipp.ru/api/getInfo/image/db005f12-c32e-11ed-a230-00155d82e902")</f>
        <v>https://knigipp.ru/api/getInfo/image/db005f12-c32e-11ed-a230-00155d82e902</v>
      </c>
      <c r="AD2568" s="32">
        <v>10</v>
      </c>
      <c r="AE2568" s="3" t="s">
        <v>54</v>
      </c>
      <c r="AF2568" s="3" t="s">
        <v>209</v>
      </c>
      <c r="AG2568" s="3"/>
      <c r="AH2568" s="3" t="s">
        <v>56</v>
      </c>
      <c r="AI2568" s="3"/>
      <c r="AJ2568" s="3"/>
      <c r="AK2568" s="3" t="str">
        <f>HYPERLINK("https://knigipp.ru/api/getInfo/item/db005f12-c32e-11ed-a230-00155d82e902")</f>
        <v>https://knigipp.ru/api/getInfo/item/db005f12-c32e-11ed-a230-00155d82e902</v>
      </c>
      <c r="AL2568" s="3" t="s">
        <v>11561</v>
      </c>
    </row>
    <row r="2569" spans="1:38" ht="21" customHeight="1" outlineLevel="4" x14ac:dyDescent="0.2">
      <c r="A2569" s="39">
        <v>1996</v>
      </c>
      <c r="B2569" s="3" t="s">
        <v>11582</v>
      </c>
      <c r="C2569" s="49" t="s">
        <v>11583</v>
      </c>
      <c r="D2569" s="49"/>
      <c r="E2569" s="49"/>
      <c r="F2569" s="49"/>
      <c r="G2569" s="4" t="s">
        <v>11584</v>
      </c>
      <c r="H2569" s="8"/>
      <c r="I2569" s="9" t="s">
        <v>11559</v>
      </c>
      <c r="J2569" s="10"/>
      <c r="K2569" s="11">
        <v>24</v>
      </c>
      <c r="L2569" s="10"/>
      <c r="M2569" s="10" t="s">
        <v>47</v>
      </c>
      <c r="N2569" s="10"/>
      <c r="O2569" s="2">
        <v>2</v>
      </c>
      <c r="P2569" s="17">
        <f>299*(1-S3/100)</f>
        <v>299</v>
      </c>
      <c r="Q2569" s="18"/>
      <c r="R2569" s="10">
        <f t="shared" si="115"/>
        <v>0</v>
      </c>
      <c r="S2569" s="19">
        <f>0.224*Q2569</f>
        <v>0</v>
      </c>
      <c r="T2569" s="20">
        <f>0.00126*Q2569</f>
        <v>0</v>
      </c>
      <c r="U2569" s="21"/>
      <c r="V2569" s="22" t="s">
        <v>11585</v>
      </c>
      <c r="W2569" s="22" t="s">
        <v>49</v>
      </c>
      <c r="X2569" s="3" t="s">
        <v>4754</v>
      </c>
      <c r="Y2569" s="3"/>
      <c r="Z2569" s="3" t="s">
        <v>52</v>
      </c>
      <c r="AA2569" s="3"/>
      <c r="AB2569" s="3"/>
      <c r="AC2569" s="3" t="str">
        <f>HYPERLINK("https://knigipp.ru/api/getInfo/image/fdf6aad9-c32e-11ed-a230-00155d82e902")</f>
        <v>https://knigipp.ru/api/getInfo/image/fdf6aad9-c32e-11ed-a230-00155d82e902</v>
      </c>
      <c r="AD2569" s="32">
        <v>10</v>
      </c>
      <c r="AE2569" s="3" t="s">
        <v>54</v>
      </c>
      <c r="AF2569" s="3" t="s">
        <v>209</v>
      </c>
      <c r="AG2569" s="3"/>
      <c r="AH2569" s="3" t="s">
        <v>56</v>
      </c>
      <c r="AI2569" s="3"/>
      <c r="AJ2569" s="3"/>
      <c r="AK2569" s="3" t="str">
        <f>HYPERLINK("https://knigipp.ru/api/getInfo/item/fdf6aad9-c32e-11ed-a230-00155d82e902")</f>
        <v>https://knigipp.ru/api/getInfo/item/fdf6aad9-c32e-11ed-a230-00155d82e902</v>
      </c>
      <c r="AL2569" s="3" t="s">
        <v>11561</v>
      </c>
    </row>
    <row r="2570" spans="1:38" ht="23.1" customHeight="1" outlineLevel="2" x14ac:dyDescent="0.2">
      <c r="A2570" s="47" t="s">
        <v>11586</v>
      </c>
      <c r="B2570" s="47"/>
      <c r="C2570" s="47"/>
      <c r="D2570" s="47"/>
      <c r="E2570" s="47"/>
      <c r="F2570" s="47"/>
    </row>
    <row r="2571" spans="1:38" ht="23.1" customHeight="1" outlineLevel="3" x14ac:dyDescent="0.2">
      <c r="A2571" s="48" t="s">
        <v>11587</v>
      </c>
      <c r="B2571" s="48"/>
      <c r="C2571" s="48"/>
      <c r="D2571" s="48"/>
      <c r="E2571" s="48"/>
      <c r="F2571" s="48"/>
    </row>
    <row r="2572" spans="1:38" ht="21" customHeight="1" outlineLevel="4" x14ac:dyDescent="0.2">
      <c r="A2572" s="39">
        <v>1997</v>
      </c>
      <c r="B2572" s="3" t="s">
        <v>11588</v>
      </c>
      <c r="C2572" s="49" t="s">
        <v>11589</v>
      </c>
      <c r="D2572" s="49"/>
      <c r="E2572" s="49"/>
      <c r="F2572" s="49"/>
      <c r="G2572" s="4" t="s">
        <v>11590</v>
      </c>
      <c r="H2572" s="8"/>
      <c r="I2572" s="9"/>
      <c r="J2572" s="10"/>
      <c r="K2572" s="11">
        <v>25</v>
      </c>
      <c r="L2572" s="10"/>
      <c r="M2572" s="10" t="s">
        <v>78</v>
      </c>
      <c r="N2572" s="10"/>
      <c r="O2572" s="2">
        <v>2</v>
      </c>
      <c r="P2572" s="17">
        <f>184.63*(1-S3/100)</f>
        <v>184.63</v>
      </c>
      <c r="Q2572" s="18"/>
      <c r="R2572" s="10">
        <f>P2572*Q2572</f>
        <v>0</v>
      </c>
      <c r="S2572" s="19">
        <f>0.144*Q2572</f>
        <v>0</v>
      </c>
      <c r="T2572" s="20">
        <f>0.00063*Q2572</f>
        <v>0</v>
      </c>
      <c r="U2572" s="21"/>
      <c r="V2572" s="22" t="s">
        <v>11591</v>
      </c>
      <c r="W2572" s="22" t="s">
        <v>49</v>
      </c>
      <c r="X2572" s="3"/>
      <c r="Y2572" s="3"/>
      <c r="Z2572" s="3" t="s">
        <v>52</v>
      </c>
      <c r="AA2572" s="3"/>
      <c r="AB2572" s="3"/>
      <c r="AC2572" s="3" t="str">
        <f>HYPERLINK("https://knigipp.ru/api/getInfo/image/902a7495-04ac-11eb-a255-ac1f6b442184")</f>
        <v>https://knigipp.ru/api/getInfo/image/902a7495-04ac-11eb-a255-ac1f6b442184</v>
      </c>
      <c r="AD2572" s="32">
        <v>8</v>
      </c>
      <c r="AE2572" s="3"/>
      <c r="AF2572" s="3" t="s">
        <v>209</v>
      </c>
      <c r="AG2572" s="3"/>
      <c r="AH2572" s="3" t="s">
        <v>56</v>
      </c>
      <c r="AI2572" s="3"/>
      <c r="AJ2572" s="3"/>
      <c r="AK2572" s="3" t="str">
        <f>HYPERLINK("https://knigipp.ru/api/getInfo/item/902a7495-04ac-11eb-a255-ac1f6b442184")</f>
        <v>https://knigipp.ru/api/getInfo/item/902a7495-04ac-11eb-a255-ac1f6b442184</v>
      </c>
      <c r="AL2572" s="3" t="s">
        <v>11592</v>
      </c>
    </row>
    <row r="2573" spans="1:38" ht="21" customHeight="1" outlineLevel="4" x14ac:dyDescent="0.2">
      <c r="A2573" s="39">
        <v>1998</v>
      </c>
      <c r="B2573" s="3" t="s">
        <v>11593</v>
      </c>
      <c r="C2573" s="49" t="s">
        <v>11594</v>
      </c>
      <c r="D2573" s="49"/>
      <c r="E2573" s="49"/>
      <c r="F2573" s="49"/>
      <c r="G2573" s="4" t="s">
        <v>11595</v>
      </c>
      <c r="H2573" s="8"/>
      <c r="I2573" s="9" t="s">
        <v>11596</v>
      </c>
      <c r="J2573" s="10"/>
      <c r="K2573" s="11">
        <v>22</v>
      </c>
      <c r="L2573" s="10"/>
      <c r="M2573" s="10" t="s">
        <v>78</v>
      </c>
      <c r="N2573" s="10"/>
      <c r="O2573" s="2">
        <v>2</v>
      </c>
      <c r="P2573" s="17">
        <f>297*(1-S3/100)</f>
        <v>297</v>
      </c>
      <c r="Q2573" s="18"/>
      <c r="R2573" s="10">
        <f>P2573*Q2573</f>
        <v>0</v>
      </c>
      <c r="S2573" s="19">
        <f>0.086*Q2573</f>
        <v>0</v>
      </c>
      <c r="T2573" s="20">
        <f>0.00105*Q2573</f>
        <v>0</v>
      </c>
      <c r="U2573" s="21"/>
      <c r="V2573" s="22" t="s">
        <v>11597</v>
      </c>
      <c r="W2573" s="22" t="s">
        <v>49</v>
      </c>
      <c r="X2573" s="3" t="s">
        <v>117</v>
      </c>
      <c r="Y2573" s="3" t="s">
        <v>11598</v>
      </c>
      <c r="Z2573" s="3" t="s">
        <v>52</v>
      </c>
      <c r="AA2573" s="3"/>
      <c r="AB2573" s="3"/>
      <c r="AC2573" s="3" t="str">
        <f>HYPERLINK("https://knigipp.ru/api/getInfo/image/805b417b-7316-11ee-a248-00155d82e902")</f>
        <v>https://knigipp.ru/api/getInfo/image/805b417b-7316-11ee-a248-00155d82e902</v>
      </c>
      <c r="AD2573" s="32">
        <v>10</v>
      </c>
      <c r="AE2573" s="3" t="s">
        <v>54</v>
      </c>
      <c r="AF2573" s="3" t="s">
        <v>209</v>
      </c>
      <c r="AG2573" s="3"/>
      <c r="AH2573" s="3" t="s">
        <v>56</v>
      </c>
      <c r="AI2573" s="3"/>
      <c r="AJ2573" s="3" t="s">
        <v>11599</v>
      </c>
      <c r="AK2573" s="3" t="str">
        <f>HYPERLINK("https://knigipp.ru/api/getInfo/item/805b417b-7316-11ee-a248-00155d82e902")</f>
        <v>https://knigipp.ru/api/getInfo/item/805b417b-7316-11ee-a248-00155d82e902</v>
      </c>
      <c r="AL2573" s="3" t="s">
        <v>11600</v>
      </c>
    </row>
    <row r="2574" spans="1:38" ht="21" customHeight="1" outlineLevel="4" x14ac:dyDescent="0.2">
      <c r="A2574" s="40">
        <v>1999</v>
      </c>
      <c r="B2574" s="6" t="s">
        <v>11601</v>
      </c>
      <c r="C2574" s="54" t="s">
        <v>11602</v>
      </c>
      <c r="D2574" s="54"/>
      <c r="E2574" s="54"/>
      <c r="F2574" s="54"/>
      <c r="G2574" s="7" t="s">
        <v>11603</v>
      </c>
      <c r="H2574" s="12"/>
      <c r="I2574" s="13"/>
      <c r="J2574" s="14"/>
      <c r="K2574" s="15">
        <v>22</v>
      </c>
      <c r="L2574" s="14"/>
      <c r="M2574" s="14" t="s">
        <v>47</v>
      </c>
      <c r="N2574" s="14"/>
      <c r="O2574" s="5">
        <v>2</v>
      </c>
      <c r="P2574" s="23">
        <f>297*(1-S3/100)</f>
        <v>297</v>
      </c>
      <c r="Q2574" s="18"/>
      <c r="R2574" s="14">
        <f>P2574*Q2574</f>
        <v>0</v>
      </c>
      <c r="S2574" s="24">
        <f>0.067*Q2574</f>
        <v>0</v>
      </c>
      <c r="T2574" s="25">
        <f>0.00046*Q2574</f>
        <v>0</v>
      </c>
      <c r="U2574" s="26" t="s">
        <v>62</v>
      </c>
      <c r="V2574" s="27" t="s">
        <v>11604</v>
      </c>
      <c r="W2574" s="27" t="s">
        <v>49</v>
      </c>
      <c r="X2574" s="6" t="s">
        <v>117</v>
      </c>
      <c r="Y2574" s="6"/>
      <c r="Z2574" s="6" t="s">
        <v>52</v>
      </c>
      <c r="AA2574" s="6"/>
      <c r="AB2574" s="6"/>
      <c r="AC2574" s="6" t="str">
        <f>HYPERLINK("https://knigipp.ru/api/getInfo/image/5a4e604a-5b54-11f1-a295-00155d82e908")</f>
        <v>https://knigipp.ru/api/getInfo/image/5a4e604a-5b54-11f1-a295-00155d82e908</v>
      </c>
      <c r="AD2574" s="33">
        <v>10</v>
      </c>
      <c r="AE2574" s="6" t="s">
        <v>54</v>
      </c>
      <c r="AF2574" s="6" t="s">
        <v>209</v>
      </c>
      <c r="AG2574" s="6"/>
      <c r="AH2574" s="6" t="s">
        <v>56</v>
      </c>
      <c r="AI2574" s="6"/>
      <c r="AJ2574" s="6"/>
      <c r="AK2574" s="6" t="str">
        <f>HYPERLINK("https://knigipp.ru/api/getInfo/item/5a4e604a-5b54-11f1-a295-00155d82e908")</f>
        <v>https://knigipp.ru/api/getInfo/item/5a4e604a-5b54-11f1-a295-00155d82e908</v>
      </c>
      <c r="AL2574" s="6" t="s">
        <v>11605</v>
      </c>
    </row>
    <row r="2575" spans="1:38" ht="21" customHeight="1" outlineLevel="4" x14ac:dyDescent="0.2">
      <c r="A2575" s="40">
        <v>2000</v>
      </c>
      <c r="B2575" s="6" t="s">
        <v>11606</v>
      </c>
      <c r="C2575" s="54" t="s">
        <v>11607</v>
      </c>
      <c r="D2575" s="54"/>
      <c r="E2575" s="54"/>
      <c r="F2575" s="54"/>
      <c r="G2575" s="7" t="s">
        <v>11608</v>
      </c>
      <c r="H2575" s="12"/>
      <c r="I2575" s="13"/>
      <c r="J2575" s="14"/>
      <c r="K2575" s="15">
        <v>22</v>
      </c>
      <c r="L2575" s="14"/>
      <c r="M2575" s="14" t="s">
        <v>47</v>
      </c>
      <c r="N2575" s="14"/>
      <c r="O2575" s="5">
        <v>2</v>
      </c>
      <c r="P2575" s="23">
        <f>297*(1-S3/100)</f>
        <v>297</v>
      </c>
      <c r="Q2575" s="18"/>
      <c r="R2575" s="14">
        <f>P2575*Q2575</f>
        <v>0</v>
      </c>
      <c r="S2575" s="24">
        <f>0.102*Q2575</f>
        <v>0</v>
      </c>
      <c r="T2575" s="25">
        <f>0.00011*Q2575</f>
        <v>0</v>
      </c>
      <c r="U2575" s="26" t="s">
        <v>62</v>
      </c>
      <c r="V2575" s="27" t="s">
        <v>11609</v>
      </c>
      <c r="W2575" s="27" t="s">
        <v>49</v>
      </c>
      <c r="X2575" s="6" t="s">
        <v>117</v>
      </c>
      <c r="Y2575" s="6"/>
      <c r="Z2575" s="6" t="s">
        <v>52</v>
      </c>
      <c r="AA2575" s="6"/>
      <c r="AB2575" s="6"/>
      <c r="AC2575" s="6" t="str">
        <f>HYPERLINK("https://knigipp.ru/api/getInfo/image/1763158d-5b54-11f1-a295-00155d82e908")</f>
        <v>https://knigipp.ru/api/getInfo/image/1763158d-5b54-11f1-a295-00155d82e908</v>
      </c>
      <c r="AD2575" s="33">
        <v>10</v>
      </c>
      <c r="AE2575" s="6" t="s">
        <v>54</v>
      </c>
      <c r="AF2575" s="6" t="s">
        <v>209</v>
      </c>
      <c r="AG2575" s="6"/>
      <c r="AH2575" s="6" t="s">
        <v>56</v>
      </c>
      <c r="AI2575" s="6"/>
      <c r="AJ2575" s="6"/>
      <c r="AK2575" s="6" t="str">
        <f>HYPERLINK("https://knigipp.ru/api/getInfo/item/1763158d-5b54-11f1-a295-00155d82e908")</f>
        <v>https://knigipp.ru/api/getInfo/item/1763158d-5b54-11f1-a295-00155d82e908</v>
      </c>
      <c r="AL2575" s="6" t="s">
        <v>11610</v>
      </c>
    </row>
    <row r="2576" spans="1:38" ht="23.1" customHeight="1" outlineLevel="3" x14ac:dyDescent="0.2">
      <c r="A2576" s="48" t="s">
        <v>11611</v>
      </c>
      <c r="B2576" s="48"/>
      <c r="C2576" s="48"/>
      <c r="D2576" s="48"/>
      <c r="E2576" s="48"/>
      <c r="F2576" s="48"/>
    </row>
    <row r="2577" spans="1:38" ht="21" customHeight="1" outlineLevel="4" x14ac:dyDescent="0.2">
      <c r="A2577" s="39">
        <v>2001</v>
      </c>
      <c r="B2577" s="3" t="s">
        <v>11612</v>
      </c>
      <c r="C2577" s="49" t="s">
        <v>11613</v>
      </c>
      <c r="D2577" s="49"/>
      <c r="E2577" s="49"/>
      <c r="F2577" s="49"/>
      <c r="G2577" s="4" t="s">
        <v>11614</v>
      </c>
      <c r="H2577" s="8"/>
      <c r="I2577" s="9" t="s">
        <v>11615</v>
      </c>
      <c r="J2577" s="10"/>
      <c r="K2577" s="11">
        <v>15</v>
      </c>
      <c r="L2577" s="10"/>
      <c r="M2577" s="10" t="s">
        <v>47</v>
      </c>
      <c r="N2577" s="10"/>
      <c r="O2577" s="2">
        <v>2</v>
      </c>
      <c r="P2577" s="17">
        <f>277.2*(1-S3/100)</f>
        <v>277.2</v>
      </c>
      <c r="Q2577" s="18"/>
      <c r="R2577" s="10">
        <f>P2577*Q2577</f>
        <v>0</v>
      </c>
      <c r="S2577" s="19">
        <f>0.109*Q2577</f>
        <v>0</v>
      </c>
      <c r="T2577" s="19">
        <f>0.002*Q2577</f>
        <v>0</v>
      </c>
      <c r="U2577" s="21"/>
      <c r="V2577" s="22" t="s">
        <v>11616</v>
      </c>
      <c r="W2577" s="22" t="s">
        <v>49</v>
      </c>
      <c r="X2577" s="3" t="s">
        <v>319</v>
      </c>
      <c r="Y2577" s="3"/>
      <c r="Z2577" s="3" t="s">
        <v>52</v>
      </c>
      <c r="AA2577" s="3"/>
      <c r="AB2577" s="3"/>
      <c r="AC2577" s="3" t="str">
        <f>HYPERLINK("https://knigipp.ru/api/getInfo/image/33c9376c-3bec-11ec-a20f-ac1f6b442185")</f>
        <v>https://knigipp.ru/api/getInfo/image/33c9376c-3bec-11ec-a20f-ac1f6b442185</v>
      </c>
      <c r="AD2577" s="32">
        <v>10</v>
      </c>
      <c r="AE2577" s="3"/>
      <c r="AF2577" s="3" t="s">
        <v>209</v>
      </c>
      <c r="AG2577" s="3"/>
      <c r="AH2577" s="3" t="s">
        <v>56</v>
      </c>
      <c r="AI2577" s="3"/>
      <c r="AJ2577" s="3"/>
      <c r="AK2577" s="3" t="str">
        <f>HYPERLINK("https://knigipp.ru/api/getInfo/item/33c9376c-3bec-11ec-a20f-ac1f6b442185")</f>
        <v>https://knigipp.ru/api/getInfo/item/33c9376c-3bec-11ec-a20f-ac1f6b442185</v>
      </c>
      <c r="AL2577" s="3" t="s">
        <v>11617</v>
      </c>
    </row>
    <row r="2578" spans="1:38" ht="21" customHeight="1" outlineLevel="4" x14ac:dyDescent="0.2">
      <c r="A2578" s="39">
        <v>2002</v>
      </c>
      <c r="B2578" s="3" t="s">
        <v>11618</v>
      </c>
      <c r="C2578" s="49" t="s">
        <v>11619</v>
      </c>
      <c r="D2578" s="49"/>
      <c r="E2578" s="49"/>
      <c r="F2578" s="49"/>
      <c r="G2578" s="4" t="s">
        <v>11620</v>
      </c>
      <c r="H2578" s="8"/>
      <c r="I2578" s="9" t="s">
        <v>11615</v>
      </c>
      <c r="J2578" s="10"/>
      <c r="K2578" s="11">
        <v>19</v>
      </c>
      <c r="L2578" s="10"/>
      <c r="M2578" s="10" t="s">
        <v>47</v>
      </c>
      <c r="N2578" s="10"/>
      <c r="O2578" s="2">
        <v>2</v>
      </c>
      <c r="P2578" s="17">
        <f>277.2*(1-S3/100)</f>
        <v>277.2</v>
      </c>
      <c r="Q2578" s="18"/>
      <c r="R2578" s="10">
        <f>P2578*Q2578</f>
        <v>0</v>
      </c>
      <c r="S2578" s="19">
        <f>0.103*Q2578</f>
        <v>0</v>
      </c>
      <c r="T2578" s="20">
        <f>0.00211*Q2578</f>
        <v>0</v>
      </c>
      <c r="U2578" s="21"/>
      <c r="V2578" s="22" t="s">
        <v>11621</v>
      </c>
      <c r="W2578" s="22" t="s">
        <v>49</v>
      </c>
      <c r="X2578" s="3" t="s">
        <v>319</v>
      </c>
      <c r="Y2578" s="3"/>
      <c r="Z2578" s="3" t="s">
        <v>52</v>
      </c>
      <c r="AA2578" s="3"/>
      <c r="AB2578" s="3"/>
      <c r="AC2578" s="3" t="str">
        <f>HYPERLINK("https://knigipp.ru/api/getInfo/image/aea01cab-3bec-11ec-a20f-ac1f6b442185")</f>
        <v>https://knigipp.ru/api/getInfo/image/aea01cab-3bec-11ec-a20f-ac1f6b442185</v>
      </c>
      <c r="AD2578" s="32">
        <v>10</v>
      </c>
      <c r="AE2578" s="3"/>
      <c r="AF2578" s="3" t="s">
        <v>209</v>
      </c>
      <c r="AG2578" s="3"/>
      <c r="AH2578" s="3" t="s">
        <v>56</v>
      </c>
      <c r="AI2578" s="3"/>
      <c r="AJ2578" s="3"/>
      <c r="AK2578" s="3" t="str">
        <f>HYPERLINK("https://knigipp.ru/api/getInfo/item/aea01cab-3bec-11ec-a20f-ac1f6b442185")</f>
        <v>https://knigipp.ru/api/getInfo/item/aea01cab-3bec-11ec-a20f-ac1f6b442185</v>
      </c>
      <c r="AL2578" s="3" t="s">
        <v>11622</v>
      </c>
    </row>
    <row r="2579" spans="1:38" ht="23.1" customHeight="1" outlineLevel="2" x14ac:dyDescent="0.2">
      <c r="A2579" s="47" t="s">
        <v>11623</v>
      </c>
      <c r="B2579" s="47"/>
      <c r="C2579" s="47"/>
      <c r="D2579" s="47"/>
      <c r="E2579" s="47"/>
      <c r="F2579" s="47"/>
    </row>
    <row r="2580" spans="1:38" ht="23.1" customHeight="1" outlineLevel="3" x14ac:dyDescent="0.2">
      <c r="A2580" s="48" t="s">
        <v>11624</v>
      </c>
      <c r="B2580" s="48"/>
      <c r="C2580" s="48"/>
      <c r="D2580" s="48"/>
      <c r="E2580" s="48"/>
      <c r="F2580" s="48"/>
    </row>
    <row r="2581" spans="1:38" ht="21" customHeight="1" outlineLevel="4" x14ac:dyDescent="0.2">
      <c r="A2581" s="39">
        <v>2003</v>
      </c>
      <c r="B2581" s="3" t="s">
        <v>11625</v>
      </c>
      <c r="C2581" s="49" t="s">
        <v>11626</v>
      </c>
      <c r="D2581" s="49"/>
      <c r="E2581" s="49"/>
      <c r="F2581" s="49"/>
      <c r="G2581" s="4" t="s">
        <v>11627</v>
      </c>
      <c r="H2581" s="8"/>
      <c r="I2581" s="9" t="s">
        <v>11628</v>
      </c>
      <c r="J2581" s="10"/>
      <c r="K2581" s="11">
        <v>40</v>
      </c>
      <c r="L2581" s="10"/>
      <c r="M2581" s="10" t="s">
        <v>47</v>
      </c>
      <c r="N2581" s="10"/>
      <c r="O2581" s="2">
        <v>3</v>
      </c>
      <c r="P2581" s="17">
        <f>297*(1-S3/100)</f>
        <v>297</v>
      </c>
      <c r="Q2581" s="18"/>
      <c r="R2581" s="10">
        <f>P2581*Q2581</f>
        <v>0</v>
      </c>
      <c r="S2581" s="28">
        <f>0.05*Q2581</f>
        <v>0</v>
      </c>
      <c r="T2581" s="20">
        <f>0.00058*Q2581</f>
        <v>0</v>
      </c>
      <c r="U2581" s="21"/>
      <c r="V2581" s="22" t="s">
        <v>11629</v>
      </c>
      <c r="W2581" s="22" t="s">
        <v>49</v>
      </c>
      <c r="X2581" s="3" t="s">
        <v>415</v>
      </c>
      <c r="Y2581" s="3" t="s">
        <v>11630</v>
      </c>
      <c r="Z2581" s="3" t="s">
        <v>52</v>
      </c>
      <c r="AA2581" s="3"/>
      <c r="AB2581" s="3"/>
      <c r="AC2581" s="3" t="str">
        <f>HYPERLINK("https://knigipp.ru/api/getInfo/image/769d550c-8f89-11ee-a250-00155d82e908")</f>
        <v>https://knigipp.ru/api/getInfo/image/769d550c-8f89-11ee-a250-00155d82e908</v>
      </c>
      <c r="AD2581" s="32">
        <v>14</v>
      </c>
      <c r="AE2581" s="3"/>
      <c r="AF2581" s="3" t="s">
        <v>209</v>
      </c>
      <c r="AG2581" s="3"/>
      <c r="AH2581" s="3" t="s">
        <v>56</v>
      </c>
      <c r="AI2581" s="3"/>
      <c r="AJ2581" s="3"/>
      <c r="AK2581" s="3" t="str">
        <f>HYPERLINK("https://knigipp.ru/api/getInfo/item/769d550c-8f89-11ee-a250-00155d82e908")</f>
        <v>https://knigipp.ru/api/getInfo/item/769d550c-8f89-11ee-a250-00155d82e908</v>
      </c>
      <c r="AL2581" s="3" t="s">
        <v>11631</v>
      </c>
    </row>
    <row r="2582" spans="1:38" ht="21" customHeight="1" outlineLevel="4" x14ac:dyDescent="0.2">
      <c r="A2582" s="39">
        <v>2004</v>
      </c>
      <c r="B2582" s="3" t="s">
        <v>11632</v>
      </c>
      <c r="C2582" s="49" t="s">
        <v>11633</v>
      </c>
      <c r="D2582" s="49"/>
      <c r="E2582" s="49"/>
      <c r="F2582" s="49"/>
      <c r="G2582" s="4" t="s">
        <v>11634</v>
      </c>
      <c r="H2582" s="8"/>
      <c r="I2582" s="9" t="s">
        <v>11628</v>
      </c>
      <c r="J2582" s="10"/>
      <c r="K2582" s="11">
        <v>40</v>
      </c>
      <c r="L2582" s="10"/>
      <c r="M2582" s="10" t="s">
        <v>47</v>
      </c>
      <c r="N2582" s="10"/>
      <c r="O2582" s="2">
        <v>3</v>
      </c>
      <c r="P2582" s="17">
        <f>297*(1-S3/100)</f>
        <v>297</v>
      </c>
      <c r="Q2582" s="18"/>
      <c r="R2582" s="10">
        <f>P2582*Q2582</f>
        <v>0</v>
      </c>
      <c r="S2582" s="28">
        <f>0.05*Q2582</f>
        <v>0</v>
      </c>
      <c r="T2582" s="20">
        <f>0.00043*Q2582</f>
        <v>0</v>
      </c>
      <c r="U2582" s="21"/>
      <c r="V2582" s="22" t="s">
        <v>11635</v>
      </c>
      <c r="W2582" s="22" t="s">
        <v>49</v>
      </c>
      <c r="X2582" s="3"/>
      <c r="Y2582" s="3" t="s">
        <v>11636</v>
      </c>
      <c r="Z2582" s="3" t="s">
        <v>52</v>
      </c>
      <c r="AA2582" s="3"/>
      <c r="AB2582" s="3"/>
      <c r="AC2582" s="3" t="str">
        <f>HYPERLINK("https://knigipp.ru/api/getInfo/image/05f63811-a1a8-11ea-a248-ac1f6b442184")</f>
        <v>https://knigipp.ru/api/getInfo/image/05f63811-a1a8-11ea-a248-ac1f6b442184</v>
      </c>
      <c r="AD2582" s="32">
        <v>14</v>
      </c>
      <c r="AE2582" s="3"/>
      <c r="AF2582" s="3" t="s">
        <v>209</v>
      </c>
      <c r="AG2582" s="3"/>
      <c r="AH2582" s="3" t="s">
        <v>56</v>
      </c>
      <c r="AI2582" s="3"/>
      <c r="AJ2582" s="3"/>
      <c r="AK2582" s="3" t="str">
        <f>HYPERLINK("https://knigipp.ru/api/getInfo/item/05f63811-a1a8-11ea-a248-ac1f6b442184")</f>
        <v>https://knigipp.ru/api/getInfo/item/05f63811-a1a8-11ea-a248-ac1f6b442184</v>
      </c>
      <c r="AL2582" s="3" t="s">
        <v>11631</v>
      </c>
    </row>
    <row r="2583" spans="1:38" ht="21" customHeight="1" outlineLevel="4" x14ac:dyDescent="0.2">
      <c r="A2583" s="39">
        <v>2005</v>
      </c>
      <c r="B2583" s="3" t="s">
        <v>11637</v>
      </c>
      <c r="C2583" s="49" t="s">
        <v>11638</v>
      </c>
      <c r="D2583" s="49"/>
      <c r="E2583" s="49"/>
      <c r="F2583" s="49"/>
      <c r="G2583" s="4" t="s">
        <v>11639</v>
      </c>
      <c r="H2583" s="8"/>
      <c r="I2583" s="9" t="s">
        <v>11628</v>
      </c>
      <c r="J2583" s="10"/>
      <c r="K2583" s="11">
        <v>40</v>
      </c>
      <c r="L2583" s="10"/>
      <c r="M2583" s="10" t="s">
        <v>47</v>
      </c>
      <c r="N2583" s="10"/>
      <c r="O2583" s="2">
        <v>3</v>
      </c>
      <c r="P2583" s="17">
        <f>297*(1-S3/100)</f>
        <v>297</v>
      </c>
      <c r="Q2583" s="18"/>
      <c r="R2583" s="10">
        <f>P2583*Q2583</f>
        <v>0</v>
      </c>
      <c r="S2583" s="19">
        <f>0.055*Q2583</f>
        <v>0</v>
      </c>
      <c r="T2583" s="20">
        <f>0.00053*Q2583</f>
        <v>0</v>
      </c>
      <c r="U2583" s="21"/>
      <c r="V2583" s="22" t="s">
        <v>11640</v>
      </c>
      <c r="W2583" s="22" t="s">
        <v>49</v>
      </c>
      <c r="X2583" s="3"/>
      <c r="Y2583" s="3"/>
      <c r="Z2583" s="3" t="s">
        <v>52</v>
      </c>
      <c r="AA2583" s="3"/>
      <c r="AB2583" s="3"/>
      <c r="AC2583" s="3" t="str">
        <f>HYPERLINK("https://knigipp.ru/api/getInfo/image/48d41256-a1a8-11ea-a248-ac1f6b442184")</f>
        <v>https://knigipp.ru/api/getInfo/image/48d41256-a1a8-11ea-a248-ac1f6b442184</v>
      </c>
      <c r="AD2583" s="32">
        <v>14</v>
      </c>
      <c r="AE2583" s="3"/>
      <c r="AF2583" s="3" t="s">
        <v>209</v>
      </c>
      <c r="AG2583" s="3"/>
      <c r="AH2583" s="3" t="s">
        <v>56</v>
      </c>
      <c r="AI2583" s="3"/>
      <c r="AJ2583" s="3"/>
      <c r="AK2583" s="3" t="str">
        <f>HYPERLINK("https://knigipp.ru/api/getInfo/item/48d41256-a1a8-11ea-a248-ac1f6b442184")</f>
        <v>https://knigipp.ru/api/getInfo/item/48d41256-a1a8-11ea-a248-ac1f6b442184</v>
      </c>
      <c r="AL2583" s="3" t="s">
        <v>11631</v>
      </c>
    </row>
    <row r="2584" spans="1:38" ht="21" customHeight="1" outlineLevel="4" x14ac:dyDescent="0.2">
      <c r="A2584" s="39">
        <v>2006</v>
      </c>
      <c r="B2584" s="3" t="s">
        <v>11641</v>
      </c>
      <c r="C2584" s="49" t="s">
        <v>11642</v>
      </c>
      <c r="D2584" s="49"/>
      <c r="E2584" s="49"/>
      <c r="F2584" s="49"/>
      <c r="G2584" s="4" t="s">
        <v>11643</v>
      </c>
      <c r="H2584" s="8"/>
      <c r="I2584" s="9" t="s">
        <v>11628</v>
      </c>
      <c r="J2584" s="10"/>
      <c r="K2584" s="11">
        <v>40</v>
      </c>
      <c r="L2584" s="10"/>
      <c r="M2584" s="10" t="s">
        <v>47</v>
      </c>
      <c r="N2584" s="10"/>
      <c r="O2584" s="2">
        <v>3</v>
      </c>
      <c r="P2584" s="17">
        <f>297*(1-S3/100)</f>
        <v>297</v>
      </c>
      <c r="Q2584" s="18"/>
      <c r="R2584" s="10">
        <f>P2584*Q2584</f>
        <v>0</v>
      </c>
      <c r="S2584" s="19">
        <f>0.051*Q2584</f>
        <v>0</v>
      </c>
      <c r="T2584" s="20">
        <f>0.00043*Q2584</f>
        <v>0</v>
      </c>
      <c r="U2584" s="21"/>
      <c r="V2584" s="22" t="s">
        <v>11644</v>
      </c>
      <c r="W2584" s="22" t="s">
        <v>49</v>
      </c>
      <c r="X2584" s="3" t="s">
        <v>415</v>
      </c>
      <c r="Y2584" s="3" t="s">
        <v>11645</v>
      </c>
      <c r="Z2584" s="3" t="s">
        <v>52</v>
      </c>
      <c r="AA2584" s="3"/>
      <c r="AB2584" s="3"/>
      <c r="AC2584" s="3" t="str">
        <f>HYPERLINK("https://knigipp.ru/api/getInfo/image/c6b847ab-8f89-11ee-a250-00155d82e908")</f>
        <v>https://knigipp.ru/api/getInfo/image/c6b847ab-8f89-11ee-a250-00155d82e908</v>
      </c>
      <c r="AD2584" s="32">
        <v>14</v>
      </c>
      <c r="AE2584" s="3"/>
      <c r="AF2584" s="3" t="s">
        <v>209</v>
      </c>
      <c r="AG2584" s="3"/>
      <c r="AH2584" s="3" t="s">
        <v>56</v>
      </c>
      <c r="AI2584" s="3"/>
      <c r="AJ2584" s="3"/>
      <c r="AK2584" s="3" t="str">
        <f>HYPERLINK("https://knigipp.ru/api/getInfo/item/c6b847ab-8f89-11ee-a250-00155d82e908")</f>
        <v>https://knigipp.ru/api/getInfo/item/c6b847ab-8f89-11ee-a250-00155d82e908</v>
      </c>
      <c r="AL2584" s="3" t="s">
        <v>11631</v>
      </c>
    </row>
    <row r="2585" spans="1:38" ht="21" customHeight="1" outlineLevel="4" x14ac:dyDescent="0.2">
      <c r="A2585" s="39">
        <v>2007</v>
      </c>
      <c r="B2585" s="3" t="s">
        <v>11646</v>
      </c>
      <c r="C2585" s="49" t="s">
        <v>11647</v>
      </c>
      <c r="D2585" s="49"/>
      <c r="E2585" s="49"/>
      <c r="F2585" s="49"/>
      <c r="G2585" s="4" t="s">
        <v>11648</v>
      </c>
      <c r="H2585" s="8"/>
      <c r="I2585" s="9" t="s">
        <v>11628</v>
      </c>
      <c r="J2585" s="10"/>
      <c r="K2585" s="11">
        <v>40</v>
      </c>
      <c r="L2585" s="10"/>
      <c r="M2585" s="10" t="s">
        <v>47</v>
      </c>
      <c r="N2585" s="10"/>
      <c r="O2585" s="2">
        <v>3</v>
      </c>
      <c r="P2585" s="17">
        <f>297*(1-S3/100)</f>
        <v>297</v>
      </c>
      <c r="Q2585" s="18"/>
      <c r="R2585" s="10">
        <f>P2585*Q2585</f>
        <v>0</v>
      </c>
      <c r="S2585" s="19">
        <f>0.049*Q2585</f>
        <v>0</v>
      </c>
      <c r="T2585" s="20">
        <f>0.00053*Q2585</f>
        <v>0</v>
      </c>
      <c r="U2585" s="21"/>
      <c r="V2585" s="22" t="s">
        <v>11649</v>
      </c>
      <c r="W2585" s="22" t="s">
        <v>49</v>
      </c>
      <c r="X2585" s="3"/>
      <c r="Y2585" s="3" t="s">
        <v>11650</v>
      </c>
      <c r="Z2585" s="3" t="s">
        <v>52</v>
      </c>
      <c r="AA2585" s="3"/>
      <c r="AB2585" s="3"/>
      <c r="AC2585" s="3" t="str">
        <f>HYPERLINK("https://knigipp.ru/api/getInfo/image/c2196765-a1a7-11ea-a248-ac1f6b442184")</f>
        <v>https://knigipp.ru/api/getInfo/image/c2196765-a1a7-11ea-a248-ac1f6b442184</v>
      </c>
      <c r="AD2585" s="32">
        <v>14</v>
      </c>
      <c r="AE2585" s="3"/>
      <c r="AF2585" s="3" t="s">
        <v>209</v>
      </c>
      <c r="AG2585" s="3"/>
      <c r="AH2585" s="3" t="s">
        <v>56</v>
      </c>
      <c r="AI2585" s="3"/>
      <c r="AJ2585" s="3"/>
      <c r="AK2585" s="3" t="str">
        <f>HYPERLINK("https://knigipp.ru/api/getInfo/item/c2196765-a1a7-11ea-a248-ac1f6b442184")</f>
        <v>https://knigipp.ru/api/getInfo/item/c2196765-a1a7-11ea-a248-ac1f6b442184</v>
      </c>
      <c r="AL2585" s="3" t="s">
        <v>11631</v>
      </c>
    </row>
    <row r="2586" spans="1:38" ht="23.1" customHeight="1" outlineLevel="3" x14ac:dyDescent="0.2">
      <c r="A2586" s="48" t="s">
        <v>11651</v>
      </c>
      <c r="B2586" s="48"/>
      <c r="C2586" s="48"/>
      <c r="D2586" s="48"/>
      <c r="E2586" s="48"/>
      <c r="F2586" s="48"/>
    </row>
    <row r="2587" spans="1:38" ht="21" customHeight="1" outlineLevel="4" x14ac:dyDescent="0.2">
      <c r="A2587" s="39">
        <v>2008</v>
      </c>
      <c r="B2587" s="3" t="s">
        <v>11652</v>
      </c>
      <c r="C2587" s="49" t="s">
        <v>11653</v>
      </c>
      <c r="D2587" s="49"/>
      <c r="E2587" s="49"/>
      <c r="F2587" s="49"/>
      <c r="G2587" s="4" t="s">
        <v>11654</v>
      </c>
      <c r="H2587" s="8"/>
      <c r="I2587" s="9" t="s">
        <v>11655</v>
      </c>
      <c r="J2587" s="10"/>
      <c r="K2587" s="11">
        <v>80</v>
      </c>
      <c r="L2587" s="10"/>
      <c r="M2587" s="10" t="s">
        <v>304</v>
      </c>
      <c r="N2587" s="10"/>
      <c r="O2587" s="2">
        <v>40</v>
      </c>
      <c r="P2587" s="17">
        <f>14.9*(1-S3/100)</f>
        <v>14.9</v>
      </c>
      <c r="Q2587" s="18"/>
      <c r="R2587" s="10">
        <f>P2587*Q2587</f>
        <v>0</v>
      </c>
      <c r="S2587" s="19">
        <f>0.034*Q2587</f>
        <v>0</v>
      </c>
      <c r="T2587" s="30">
        <f>0.0001*Q2587</f>
        <v>0</v>
      </c>
      <c r="U2587" s="21"/>
      <c r="V2587" s="22" t="s">
        <v>11656</v>
      </c>
      <c r="W2587" s="22" t="s">
        <v>49</v>
      </c>
      <c r="X2587" s="3"/>
      <c r="Y2587" s="3"/>
      <c r="Z2587" s="3" t="s">
        <v>52</v>
      </c>
      <c r="AA2587" s="3" t="s">
        <v>11657</v>
      </c>
      <c r="AB2587" s="3"/>
      <c r="AC2587" s="3" t="str">
        <f>HYPERLINK("https://knigipp.ru/api/getInfo/image/3ccfaf1b-10da-11e4-98b8-5cf3fc4a2490")</f>
        <v>https://knigipp.ru/api/getInfo/image/3ccfaf1b-10da-11e4-98b8-5cf3fc4a2490</v>
      </c>
      <c r="AD2587" s="32">
        <v>8</v>
      </c>
      <c r="AE2587" s="3"/>
      <c r="AF2587" s="3" t="s">
        <v>1119</v>
      </c>
      <c r="AG2587" s="3"/>
      <c r="AH2587" s="3"/>
      <c r="AI2587" s="3"/>
      <c r="AJ2587" s="3" t="s">
        <v>11658</v>
      </c>
      <c r="AK2587" s="3" t="str">
        <f>HYPERLINK("https://knigipp.ru/api/getInfo/item/3ccfaf1b-10da-11e4-98b8-5cf3fc4a2490")</f>
        <v>https://knigipp.ru/api/getInfo/item/3ccfaf1b-10da-11e4-98b8-5cf3fc4a2490</v>
      </c>
      <c r="AL2587" s="3" t="s">
        <v>11659</v>
      </c>
    </row>
    <row r="2588" spans="1:38" ht="23.1" customHeight="1" outlineLevel="3" x14ac:dyDescent="0.2">
      <c r="A2588" s="48" t="s">
        <v>11660</v>
      </c>
      <c r="B2588" s="48"/>
      <c r="C2588" s="48"/>
      <c r="D2588" s="48"/>
      <c r="E2588" s="48"/>
      <c r="F2588" s="48"/>
    </row>
    <row r="2589" spans="1:38" ht="21" customHeight="1" outlineLevel="4" x14ac:dyDescent="0.2">
      <c r="A2589" s="39">
        <v>2009</v>
      </c>
      <c r="B2589" s="3" t="s">
        <v>11661</v>
      </c>
      <c r="C2589" s="49" t="s">
        <v>11662</v>
      </c>
      <c r="D2589" s="49"/>
      <c r="E2589" s="49"/>
      <c r="F2589" s="49"/>
      <c r="G2589" s="4" t="s">
        <v>11663</v>
      </c>
      <c r="H2589" s="8"/>
      <c r="I2589" s="9" t="s">
        <v>11664</v>
      </c>
      <c r="J2589" s="10"/>
      <c r="K2589" s="11">
        <v>25</v>
      </c>
      <c r="L2589" s="10"/>
      <c r="M2589" s="10" t="s">
        <v>304</v>
      </c>
      <c r="N2589" s="10"/>
      <c r="O2589" s="2">
        <v>12</v>
      </c>
      <c r="P2589" s="17">
        <f>49.23*(1-S3/100)</f>
        <v>49.23</v>
      </c>
      <c r="Q2589" s="18"/>
      <c r="R2589" s="10">
        <f>P2589*Q2589</f>
        <v>0</v>
      </c>
      <c r="S2589" s="19">
        <f>0.086*Q2589</f>
        <v>0</v>
      </c>
      <c r="T2589" s="20">
        <f>0.00013*Q2589</f>
        <v>0</v>
      </c>
      <c r="U2589" s="21"/>
      <c r="V2589" s="22" t="s">
        <v>11665</v>
      </c>
      <c r="W2589" s="22" t="s">
        <v>49</v>
      </c>
      <c r="X2589" s="3"/>
      <c r="Y2589" s="3"/>
      <c r="Z2589" s="3"/>
      <c r="AA2589" s="3"/>
      <c r="AB2589" s="3"/>
      <c r="AC2589" s="3" t="str">
        <f>HYPERLINK("https://knigipp.ru/api/getInfo/image/c8740bbe-cdf2-11e8-a20d-ac1f6b442184")</f>
        <v>https://knigipp.ru/api/getInfo/image/c8740bbe-cdf2-11e8-a20d-ac1f6b442184</v>
      </c>
      <c r="AD2589" s="32">
        <v>1</v>
      </c>
      <c r="AE2589" s="3"/>
      <c r="AF2589" s="3"/>
      <c r="AG2589" s="3"/>
      <c r="AH2589" s="3" t="s">
        <v>56</v>
      </c>
      <c r="AI2589" s="3"/>
      <c r="AJ2589" s="3" t="s">
        <v>11666</v>
      </c>
      <c r="AK2589" s="3" t="str">
        <f>HYPERLINK("https://knigipp.ru/api/getInfo/item/c8740bbe-cdf2-11e8-a20d-ac1f6b442184")</f>
        <v>https://knigipp.ru/api/getInfo/item/c8740bbe-cdf2-11e8-a20d-ac1f6b442184</v>
      </c>
      <c r="AL2589" s="3" t="s">
        <v>11667</v>
      </c>
    </row>
    <row r="2590" spans="1:38" ht="23.1" customHeight="1" outlineLevel="3" x14ac:dyDescent="0.2">
      <c r="A2590" s="48" t="s">
        <v>11668</v>
      </c>
      <c r="B2590" s="48"/>
      <c r="C2590" s="48"/>
      <c r="D2590" s="48"/>
      <c r="E2590" s="48"/>
      <c r="F2590" s="48"/>
    </row>
    <row r="2591" spans="1:38" ht="21" customHeight="1" outlineLevel="4" x14ac:dyDescent="0.2">
      <c r="A2591" s="39">
        <v>2010</v>
      </c>
      <c r="B2591" s="3" t="s">
        <v>11669</v>
      </c>
      <c r="C2591" s="49" t="s">
        <v>11670</v>
      </c>
      <c r="D2591" s="49"/>
      <c r="E2591" s="49"/>
      <c r="F2591" s="49"/>
      <c r="G2591" s="4" t="s">
        <v>11671</v>
      </c>
      <c r="H2591" s="8"/>
      <c r="I2591" s="9" t="s">
        <v>11672</v>
      </c>
      <c r="J2591" s="10"/>
      <c r="K2591" s="11">
        <v>30</v>
      </c>
      <c r="L2591" s="10"/>
      <c r="M2591" s="10" t="s">
        <v>78</v>
      </c>
      <c r="N2591" s="10"/>
      <c r="O2591" s="2">
        <v>6</v>
      </c>
      <c r="P2591" s="17">
        <f>109*(1-S3/100)</f>
        <v>109</v>
      </c>
      <c r="Q2591" s="18"/>
      <c r="R2591" s="10">
        <f t="shared" ref="R2591:R2598" si="116">P2591*Q2591</f>
        <v>0</v>
      </c>
      <c r="S2591" s="19">
        <f>0.038*Q2591</f>
        <v>0</v>
      </c>
      <c r="T2591" s="20">
        <f>0.00022*Q2591</f>
        <v>0</v>
      </c>
      <c r="U2591" s="21"/>
      <c r="V2591" s="22" t="s">
        <v>11673</v>
      </c>
      <c r="W2591" s="22" t="s">
        <v>49</v>
      </c>
      <c r="X2591" s="3" t="s">
        <v>10076</v>
      </c>
      <c r="Y2591" s="3"/>
      <c r="Z2591" s="3" t="s">
        <v>52</v>
      </c>
      <c r="AA2591" s="3"/>
      <c r="AB2591" s="3"/>
      <c r="AC2591" s="3" t="str">
        <f>HYPERLINK("https://knigipp.ru/api/getInfo/image/a2730676-eb69-11ea-a254-ac1f6b442184")</f>
        <v>https://knigipp.ru/api/getInfo/image/a2730676-eb69-11ea-a254-ac1f6b442184</v>
      </c>
      <c r="AD2591" s="32">
        <v>12</v>
      </c>
      <c r="AE2591" s="3"/>
      <c r="AF2591" s="3" t="s">
        <v>1119</v>
      </c>
      <c r="AG2591" s="3"/>
      <c r="AH2591" s="3" t="s">
        <v>56</v>
      </c>
      <c r="AI2591" s="3"/>
      <c r="AJ2591" s="3" t="s">
        <v>11674</v>
      </c>
      <c r="AK2591" s="3" t="str">
        <f>HYPERLINK("https://knigipp.ru/api/getInfo/item/a2730676-eb69-11ea-a254-ac1f6b442184")</f>
        <v>https://knigipp.ru/api/getInfo/item/a2730676-eb69-11ea-a254-ac1f6b442184</v>
      </c>
      <c r="AL2591" s="3" t="s">
        <v>11675</v>
      </c>
    </row>
    <row r="2592" spans="1:38" ht="21" customHeight="1" outlineLevel="4" x14ac:dyDescent="0.2">
      <c r="A2592" s="39">
        <v>2011</v>
      </c>
      <c r="B2592" s="3" t="s">
        <v>11676</v>
      </c>
      <c r="C2592" s="49" t="s">
        <v>11677</v>
      </c>
      <c r="D2592" s="49"/>
      <c r="E2592" s="49"/>
      <c r="F2592" s="49"/>
      <c r="G2592" s="4" t="s">
        <v>11678</v>
      </c>
      <c r="H2592" s="8"/>
      <c r="I2592" s="9" t="s">
        <v>11672</v>
      </c>
      <c r="J2592" s="10"/>
      <c r="K2592" s="11">
        <v>30</v>
      </c>
      <c r="L2592" s="10"/>
      <c r="M2592" s="10" t="s">
        <v>47</v>
      </c>
      <c r="N2592" s="10"/>
      <c r="O2592" s="2">
        <v>6</v>
      </c>
      <c r="P2592" s="17">
        <f>109*(1-S3/100)</f>
        <v>109</v>
      </c>
      <c r="Q2592" s="18"/>
      <c r="R2592" s="10">
        <f t="shared" si="116"/>
        <v>0</v>
      </c>
      <c r="S2592" s="19">
        <f>0.038*Q2592</f>
        <v>0</v>
      </c>
      <c r="T2592" s="20">
        <f>0.00034*Q2592</f>
        <v>0</v>
      </c>
      <c r="U2592" s="21"/>
      <c r="V2592" s="22" t="s">
        <v>11679</v>
      </c>
      <c r="W2592" s="22" t="s">
        <v>49</v>
      </c>
      <c r="X2592" s="3" t="s">
        <v>9446</v>
      </c>
      <c r="Y2592" s="3"/>
      <c r="Z2592" s="3" t="s">
        <v>52</v>
      </c>
      <c r="AA2592" s="3"/>
      <c r="AB2592" s="3"/>
      <c r="AC2592" s="3" t="str">
        <f>HYPERLINK("https://knigipp.ru/api/getInfo/image/b6535cd9-eb69-11ea-a254-ac1f6b442184")</f>
        <v>https://knigipp.ru/api/getInfo/image/b6535cd9-eb69-11ea-a254-ac1f6b442184</v>
      </c>
      <c r="AD2592" s="32">
        <v>12</v>
      </c>
      <c r="AE2592" s="3"/>
      <c r="AF2592" s="3" t="s">
        <v>1119</v>
      </c>
      <c r="AG2592" s="3"/>
      <c r="AH2592" s="3" t="s">
        <v>56</v>
      </c>
      <c r="AI2592" s="3"/>
      <c r="AJ2592" s="3" t="s">
        <v>11674</v>
      </c>
      <c r="AK2592" s="3" t="str">
        <f>HYPERLINK("https://knigipp.ru/api/getInfo/item/b6535cd9-eb69-11ea-a254-ac1f6b442184")</f>
        <v>https://knigipp.ru/api/getInfo/item/b6535cd9-eb69-11ea-a254-ac1f6b442184</v>
      </c>
      <c r="AL2592" s="3" t="s">
        <v>11675</v>
      </c>
    </row>
    <row r="2593" spans="1:38" ht="21" customHeight="1" outlineLevel="4" x14ac:dyDescent="0.2">
      <c r="A2593" s="39">
        <v>2012</v>
      </c>
      <c r="B2593" s="3" t="s">
        <v>11680</v>
      </c>
      <c r="C2593" s="49" t="s">
        <v>11681</v>
      </c>
      <c r="D2593" s="49"/>
      <c r="E2593" s="49"/>
      <c r="F2593" s="49"/>
      <c r="G2593" s="4" t="s">
        <v>11682</v>
      </c>
      <c r="H2593" s="8"/>
      <c r="I2593" s="9" t="s">
        <v>11683</v>
      </c>
      <c r="J2593" s="10"/>
      <c r="K2593" s="11">
        <v>30</v>
      </c>
      <c r="L2593" s="10"/>
      <c r="M2593" s="10" t="s">
        <v>47</v>
      </c>
      <c r="N2593" s="10"/>
      <c r="O2593" s="2">
        <v>6</v>
      </c>
      <c r="P2593" s="17">
        <f>109*(1-S3/100)</f>
        <v>109</v>
      </c>
      <c r="Q2593" s="18"/>
      <c r="R2593" s="10">
        <f t="shared" si="116"/>
        <v>0</v>
      </c>
      <c r="S2593" s="19">
        <f>0.038*Q2593</f>
        <v>0</v>
      </c>
      <c r="T2593" s="20">
        <f>0.00027*Q2593</f>
        <v>0</v>
      </c>
      <c r="U2593" s="21"/>
      <c r="V2593" s="22" t="s">
        <v>11684</v>
      </c>
      <c r="W2593" s="22" t="s">
        <v>49</v>
      </c>
      <c r="X2593" s="3" t="s">
        <v>319</v>
      </c>
      <c r="Y2593" s="3"/>
      <c r="Z2593" s="3" t="s">
        <v>52</v>
      </c>
      <c r="AA2593" s="3"/>
      <c r="AB2593" s="3"/>
      <c r="AC2593" s="3" t="str">
        <f>HYPERLINK("https://knigipp.ru/api/getInfo/image/c5a2eb80-f009-11e9-a235-ac1f6b442184")</f>
        <v>https://knigipp.ru/api/getInfo/image/c5a2eb80-f009-11e9-a235-ac1f6b442184</v>
      </c>
      <c r="AD2593" s="32">
        <v>12</v>
      </c>
      <c r="AE2593" s="3"/>
      <c r="AF2593" s="3" t="s">
        <v>1119</v>
      </c>
      <c r="AG2593" s="3"/>
      <c r="AH2593" s="3" t="s">
        <v>56</v>
      </c>
      <c r="AI2593" s="3"/>
      <c r="AJ2593" s="3" t="s">
        <v>11674</v>
      </c>
      <c r="AK2593" s="3" t="str">
        <f>HYPERLINK("https://knigipp.ru/api/getInfo/item/c5a2eb80-f009-11e9-a235-ac1f6b442184")</f>
        <v>https://knigipp.ru/api/getInfo/item/c5a2eb80-f009-11e9-a235-ac1f6b442184</v>
      </c>
      <c r="AL2593" s="3" t="s">
        <v>11675</v>
      </c>
    </row>
    <row r="2594" spans="1:38" ht="21" customHeight="1" outlineLevel="4" x14ac:dyDescent="0.2">
      <c r="A2594" s="39">
        <v>2013</v>
      </c>
      <c r="B2594" s="3" t="s">
        <v>11685</v>
      </c>
      <c r="C2594" s="49" t="s">
        <v>11686</v>
      </c>
      <c r="D2594" s="49"/>
      <c r="E2594" s="49"/>
      <c r="F2594" s="49"/>
      <c r="G2594" s="4" t="s">
        <v>11687</v>
      </c>
      <c r="H2594" s="8"/>
      <c r="I2594" s="9" t="s">
        <v>11683</v>
      </c>
      <c r="J2594" s="10"/>
      <c r="K2594" s="11">
        <v>30</v>
      </c>
      <c r="L2594" s="10"/>
      <c r="M2594" s="10" t="s">
        <v>47</v>
      </c>
      <c r="N2594" s="10"/>
      <c r="O2594" s="2">
        <v>6</v>
      </c>
      <c r="P2594" s="17">
        <f>109*(1-S3/100)</f>
        <v>109</v>
      </c>
      <c r="Q2594" s="18"/>
      <c r="R2594" s="10">
        <f t="shared" si="116"/>
        <v>0</v>
      </c>
      <c r="S2594" s="19">
        <f>0.046*Q2594</f>
        <v>0</v>
      </c>
      <c r="T2594" s="20">
        <f>0.00049*Q2594</f>
        <v>0</v>
      </c>
      <c r="U2594" s="21"/>
      <c r="V2594" s="22" t="s">
        <v>11688</v>
      </c>
      <c r="W2594" s="22" t="s">
        <v>49</v>
      </c>
      <c r="X2594" s="3" t="s">
        <v>319</v>
      </c>
      <c r="Y2594" s="3"/>
      <c r="Z2594" s="3" t="s">
        <v>52</v>
      </c>
      <c r="AA2594" s="3"/>
      <c r="AB2594" s="3"/>
      <c r="AC2594" s="3" t="str">
        <f>HYPERLINK("https://knigipp.ru/api/getInfo/image/b04a60da-f009-11e9-a235-ac1f6b442184")</f>
        <v>https://knigipp.ru/api/getInfo/image/b04a60da-f009-11e9-a235-ac1f6b442184</v>
      </c>
      <c r="AD2594" s="32">
        <v>12</v>
      </c>
      <c r="AE2594" s="3"/>
      <c r="AF2594" s="3" t="s">
        <v>1119</v>
      </c>
      <c r="AG2594" s="3"/>
      <c r="AH2594" s="3" t="s">
        <v>56</v>
      </c>
      <c r="AI2594" s="3"/>
      <c r="AJ2594" s="3" t="s">
        <v>11674</v>
      </c>
      <c r="AK2594" s="3" t="str">
        <f>HYPERLINK("https://knigipp.ru/api/getInfo/item/b04a60da-f009-11e9-a235-ac1f6b442184")</f>
        <v>https://knigipp.ru/api/getInfo/item/b04a60da-f009-11e9-a235-ac1f6b442184</v>
      </c>
      <c r="AL2594" s="3" t="s">
        <v>11675</v>
      </c>
    </row>
    <row r="2595" spans="1:38" ht="21" customHeight="1" outlineLevel="4" x14ac:dyDescent="0.2">
      <c r="A2595" s="39">
        <v>2014</v>
      </c>
      <c r="B2595" s="3" t="s">
        <v>11689</v>
      </c>
      <c r="C2595" s="49" t="s">
        <v>11690</v>
      </c>
      <c r="D2595" s="49"/>
      <c r="E2595" s="49"/>
      <c r="F2595" s="49"/>
      <c r="G2595" s="4" t="s">
        <v>11691</v>
      </c>
      <c r="H2595" s="8"/>
      <c r="I2595" s="9" t="s">
        <v>11672</v>
      </c>
      <c r="J2595" s="10"/>
      <c r="K2595" s="11">
        <v>30</v>
      </c>
      <c r="L2595" s="10"/>
      <c r="M2595" s="10" t="s">
        <v>47</v>
      </c>
      <c r="N2595" s="10"/>
      <c r="O2595" s="2">
        <v>6</v>
      </c>
      <c r="P2595" s="17">
        <f>109*(1-S3/100)</f>
        <v>109</v>
      </c>
      <c r="Q2595" s="18"/>
      <c r="R2595" s="10">
        <f t="shared" si="116"/>
        <v>0</v>
      </c>
      <c r="S2595" s="19">
        <f>0.045*Q2595</f>
        <v>0</v>
      </c>
      <c r="T2595" s="20">
        <f>0.00045*Q2595</f>
        <v>0</v>
      </c>
      <c r="U2595" s="21"/>
      <c r="V2595" s="22" t="s">
        <v>11692</v>
      </c>
      <c r="W2595" s="22" t="s">
        <v>49</v>
      </c>
      <c r="X2595" s="3" t="s">
        <v>10276</v>
      </c>
      <c r="Y2595" s="3"/>
      <c r="Z2595" s="3" t="s">
        <v>52</v>
      </c>
      <c r="AA2595" s="3"/>
      <c r="AB2595" s="3"/>
      <c r="AC2595" s="3" t="str">
        <f>HYPERLINK("https://knigipp.ru/api/getInfo/image/d4f1723b-eb69-11ea-a254-ac1f6b442184")</f>
        <v>https://knigipp.ru/api/getInfo/image/d4f1723b-eb69-11ea-a254-ac1f6b442184</v>
      </c>
      <c r="AD2595" s="32">
        <v>12</v>
      </c>
      <c r="AE2595" s="3"/>
      <c r="AF2595" s="3" t="s">
        <v>1119</v>
      </c>
      <c r="AG2595" s="3"/>
      <c r="AH2595" s="3" t="s">
        <v>56</v>
      </c>
      <c r="AI2595" s="3"/>
      <c r="AJ2595" s="3" t="s">
        <v>11674</v>
      </c>
      <c r="AK2595" s="3" t="str">
        <f>HYPERLINK("https://knigipp.ru/api/getInfo/item/d4f1723b-eb69-11ea-a254-ac1f6b442184")</f>
        <v>https://knigipp.ru/api/getInfo/item/d4f1723b-eb69-11ea-a254-ac1f6b442184</v>
      </c>
      <c r="AL2595" s="3" t="s">
        <v>11675</v>
      </c>
    </row>
    <row r="2596" spans="1:38" ht="21" customHeight="1" outlineLevel="4" x14ac:dyDescent="0.2">
      <c r="A2596" s="39">
        <v>2015</v>
      </c>
      <c r="B2596" s="3" t="s">
        <v>11693</v>
      </c>
      <c r="C2596" s="49" t="s">
        <v>11694</v>
      </c>
      <c r="D2596" s="49"/>
      <c r="E2596" s="49"/>
      <c r="F2596" s="49"/>
      <c r="G2596" s="4" t="s">
        <v>11695</v>
      </c>
      <c r="H2596" s="8"/>
      <c r="I2596" s="9" t="s">
        <v>11696</v>
      </c>
      <c r="J2596" s="10"/>
      <c r="K2596" s="11">
        <v>30</v>
      </c>
      <c r="L2596" s="10"/>
      <c r="M2596" s="10" t="s">
        <v>47</v>
      </c>
      <c r="N2596" s="10"/>
      <c r="O2596" s="2">
        <v>6</v>
      </c>
      <c r="P2596" s="17">
        <f>109*(1-S3/100)</f>
        <v>109</v>
      </c>
      <c r="Q2596" s="18"/>
      <c r="R2596" s="10">
        <f t="shared" si="116"/>
        <v>0</v>
      </c>
      <c r="S2596" s="19">
        <f>0.047*Q2596</f>
        <v>0</v>
      </c>
      <c r="T2596" s="20">
        <f>0.00049*Q2596</f>
        <v>0</v>
      </c>
      <c r="U2596" s="21"/>
      <c r="V2596" s="22" t="s">
        <v>11697</v>
      </c>
      <c r="W2596" s="22" t="s">
        <v>49</v>
      </c>
      <c r="X2596" s="3"/>
      <c r="Y2596" s="3" t="s">
        <v>11698</v>
      </c>
      <c r="Z2596" s="3" t="s">
        <v>52</v>
      </c>
      <c r="AA2596" s="3" t="s">
        <v>11699</v>
      </c>
      <c r="AB2596" s="3"/>
      <c r="AC2596" s="3" t="str">
        <f>HYPERLINK("https://knigipp.ru/api/getInfo/image/66f42bae-48ec-11ef-a262-00155d82e908")</f>
        <v>https://knigipp.ru/api/getInfo/image/66f42bae-48ec-11ef-a262-00155d82e908</v>
      </c>
      <c r="AD2596" s="32">
        <v>12</v>
      </c>
      <c r="AE2596" s="3"/>
      <c r="AF2596" s="3" t="s">
        <v>1119</v>
      </c>
      <c r="AG2596" s="3"/>
      <c r="AH2596" s="3" t="s">
        <v>56</v>
      </c>
      <c r="AI2596" s="3"/>
      <c r="AJ2596" s="3" t="s">
        <v>11674</v>
      </c>
      <c r="AK2596" s="3" t="str">
        <f>HYPERLINK("https://knigipp.ru/api/getInfo/item/66f42bae-48ec-11ef-a262-00155d82e908")</f>
        <v>https://knigipp.ru/api/getInfo/item/66f42bae-48ec-11ef-a262-00155d82e908</v>
      </c>
      <c r="AL2596" s="3" t="s">
        <v>11675</v>
      </c>
    </row>
    <row r="2597" spans="1:38" ht="21" customHeight="1" outlineLevel="4" x14ac:dyDescent="0.2">
      <c r="A2597" s="39">
        <v>2016</v>
      </c>
      <c r="B2597" s="3" t="s">
        <v>11700</v>
      </c>
      <c r="C2597" s="49" t="s">
        <v>11701</v>
      </c>
      <c r="D2597" s="49"/>
      <c r="E2597" s="49"/>
      <c r="F2597" s="49"/>
      <c r="G2597" s="4" t="s">
        <v>11702</v>
      </c>
      <c r="H2597" s="8"/>
      <c r="I2597" s="9" t="s">
        <v>11696</v>
      </c>
      <c r="J2597" s="10"/>
      <c r="K2597" s="11">
        <v>30</v>
      </c>
      <c r="L2597" s="10"/>
      <c r="M2597" s="10" t="s">
        <v>47</v>
      </c>
      <c r="N2597" s="10"/>
      <c r="O2597" s="2">
        <v>6</v>
      </c>
      <c r="P2597" s="17">
        <f>109*(1-S3/100)</f>
        <v>109</v>
      </c>
      <c r="Q2597" s="18"/>
      <c r="R2597" s="10">
        <f t="shared" si="116"/>
        <v>0</v>
      </c>
      <c r="S2597" s="19">
        <f>0.044*Q2597</f>
        <v>0</v>
      </c>
      <c r="T2597" s="20">
        <f>0.00043*Q2597</f>
        <v>0</v>
      </c>
      <c r="U2597" s="21"/>
      <c r="V2597" s="22" t="s">
        <v>11703</v>
      </c>
      <c r="W2597" s="22" t="s">
        <v>49</v>
      </c>
      <c r="X2597" s="3"/>
      <c r="Y2597" s="3" t="s">
        <v>11704</v>
      </c>
      <c r="Z2597" s="3" t="s">
        <v>52</v>
      </c>
      <c r="AA2597" s="3" t="s">
        <v>11699</v>
      </c>
      <c r="AB2597" s="3"/>
      <c r="AC2597" s="3" t="str">
        <f>HYPERLINK("https://knigipp.ru/api/getInfo/image/c5320ebe-48ec-11ef-a262-00155d82e908")</f>
        <v>https://knigipp.ru/api/getInfo/image/c5320ebe-48ec-11ef-a262-00155d82e908</v>
      </c>
      <c r="AD2597" s="32">
        <v>12</v>
      </c>
      <c r="AE2597" s="3"/>
      <c r="AF2597" s="3" t="s">
        <v>1119</v>
      </c>
      <c r="AG2597" s="3"/>
      <c r="AH2597" s="3" t="s">
        <v>56</v>
      </c>
      <c r="AI2597" s="3"/>
      <c r="AJ2597" s="3" t="s">
        <v>11674</v>
      </c>
      <c r="AK2597" s="3" t="str">
        <f>HYPERLINK("https://knigipp.ru/api/getInfo/item/c5320ebe-48ec-11ef-a262-00155d82e908")</f>
        <v>https://knigipp.ru/api/getInfo/item/c5320ebe-48ec-11ef-a262-00155d82e908</v>
      </c>
      <c r="AL2597" s="3" t="s">
        <v>11675</v>
      </c>
    </row>
    <row r="2598" spans="1:38" ht="21" customHeight="1" outlineLevel="4" x14ac:dyDescent="0.2">
      <c r="A2598" s="39">
        <v>2017</v>
      </c>
      <c r="B2598" s="3" t="s">
        <v>11705</v>
      </c>
      <c r="C2598" s="49" t="s">
        <v>11706</v>
      </c>
      <c r="D2598" s="49"/>
      <c r="E2598" s="49"/>
      <c r="F2598" s="49"/>
      <c r="G2598" s="4" t="s">
        <v>11707</v>
      </c>
      <c r="H2598" s="8"/>
      <c r="I2598" s="9" t="s">
        <v>11683</v>
      </c>
      <c r="J2598" s="10"/>
      <c r="K2598" s="11">
        <v>30</v>
      </c>
      <c r="L2598" s="10"/>
      <c r="M2598" s="10" t="s">
        <v>47</v>
      </c>
      <c r="N2598" s="10"/>
      <c r="O2598" s="2">
        <v>6</v>
      </c>
      <c r="P2598" s="17">
        <f>109*(1-S3/100)</f>
        <v>109</v>
      </c>
      <c r="Q2598" s="18"/>
      <c r="R2598" s="10">
        <f t="shared" si="116"/>
        <v>0</v>
      </c>
      <c r="S2598" s="19">
        <f>0.037*Q2598</f>
        <v>0</v>
      </c>
      <c r="T2598" s="30">
        <f>0.0003*Q2598</f>
        <v>0</v>
      </c>
      <c r="U2598" s="21"/>
      <c r="V2598" s="22" t="s">
        <v>11708</v>
      </c>
      <c r="W2598" s="22" t="s">
        <v>49</v>
      </c>
      <c r="X2598" s="3"/>
      <c r="Y2598" s="3"/>
      <c r="Z2598" s="3" t="s">
        <v>52</v>
      </c>
      <c r="AA2598" s="3"/>
      <c r="AB2598" s="3"/>
      <c r="AC2598" s="3" t="str">
        <f>HYPERLINK("https://knigipp.ru/api/getInfo/image/d5cdf48d-f009-11e9-a235-ac1f6b442184")</f>
        <v>https://knigipp.ru/api/getInfo/image/d5cdf48d-f009-11e9-a235-ac1f6b442184</v>
      </c>
      <c r="AD2598" s="32">
        <v>12</v>
      </c>
      <c r="AE2598" s="3"/>
      <c r="AF2598" s="3" t="s">
        <v>1119</v>
      </c>
      <c r="AG2598" s="3"/>
      <c r="AH2598" s="3" t="s">
        <v>56</v>
      </c>
      <c r="AI2598" s="3"/>
      <c r="AJ2598" s="3" t="s">
        <v>11674</v>
      </c>
      <c r="AK2598" s="3" t="str">
        <f>HYPERLINK("https://knigipp.ru/api/getInfo/item/d5cdf48d-f009-11e9-a235-ac1f6b442184")</f>
        <v>https://knigipp.ru/api/getInfo/item/d5cdf48d-f009-11e9-a235-ac1f6b442184</v>
      </c>
      <c r="AL2598" s="3" t="s">
        <v>11675</v>
      </c>
    </row>
    <row r="2599" spans="1:38" ht="23.1" customHeight="1" outlineLevel="3" x14ac:dyDescent="0.2">
      <c r="A2599" s="48" t="s">
        <v>11709</v>
      </c>
      <c r="B2599" s="48"/>
      <c r="C2599" s="48"/>
      <c r="D2599" s="48"/>
      <c r="E2599" s="48"/>
      <c r="F2599" s="48"/>
    </row>
    <row r="2600" spans="1:38" ht="23.1" customHeight="1" outlineLevel="4" x14ac:dyDescent="0.2">
      <c r="A2600" s="55" t="s">
        <v>11710</v>
      </c>
      <c r="B2600" s="55"/>
      <c r="C2600" s="55"/>
      <c r="D2600" s="55"/>
      <c r="E2600" s="55"/>
      <c r="F2600" s="55"/>
    </row>
    <row r="2601" spans="1:38" ht="21" customHeight="1" outlineLevel="5" x14ac:dyDescent="0.2">
      <c r="A2601" s="39">
        <v>2018</v>
      </c>
      <c r="B2601" s="3" t="s">
        <v>11711</v>
      </c>
      <c r="C2601" s="49" t="s">
        <v>11712</v>
      </c>
      <c r="D2601" s="49"/>
      <c r="E2601" s="49"/>
      <c r="F2601" s="49"/>
      <c r="G2601" s="4" t="s">
        <v>11713</v>
      </c>
      <c r="H2601" s="8"/>
      <c r="I2601" s="9" t="s">
        <v>11714</v>
      </c>
      <c r="J2601" s="10"/>
      <c r="K2601" s="11">
        <v>30</v>
      </c>
      <c r="L2601" s="10"/>
      <c r="M2601" s="10" t="s">
        <v>304</v>
      </c>
      <c r="N2601" s="10"/>
      <c r="O2601" s="2">
        <v>1</v>
      </c>
      <c r="P2601" s="17">
        <f>71.25*(1-S3/100)</f>
        <v>71.25</v>
      </c>
      <c r="Q2601" s="18"/>
      <c r="R2601" s="10">
        <f>P2601*Q2601</f>
        <v>0</v>
      </c>
      <c r="S2601" s="28">
        <f>0.04*Q2601</f>
        <v>0</v>
      </c>
      <c r="T2601" s="20">
        <f>0.00004*Q2601</f>
        <v>0</v>
      </c>
      <c r="U2601" s="21"/>
      <c r="V2601" s="22" t="s">
        <v>11715</v>
      </c>
      <c r="W2601" s="22" t="s">
        <v>49</v>
      </c>
      <c r="X2601" s="3"/>
      <c r="Y2601" s="3"/>
      <c r="Z2601" s="3" t="s">
        <v>52</v>
      </c>
      <c r="AA2601" s="3"/>
      <c r="AB2601" s="3"/>
      <c r="AC2601" s="3" t="str">
        <f>HYPERLINK("https://knigipp.ru/api/getInfo/image/86ee1e51-0a5c-11ec-a20e-ac1f6b442185")</f>
        <v>https://knigipp.ru/api/getInfo/image/86ee1e51-0a5c-11ec-a20e-ac1f6b442185</v>
      </c>
      <c r="AD2601" s="3"/>
      <c r="AE2601" s="3"/>
      <c r="AF2601" s="3" t="s">
        <v>1119</v>
      </c>
      <c r="AG2601" s="3"/>
      <c r="AH2601" s="3" t="s">
        <v>56</v>
      </c>
      <c r="AI2601" s="3"/>
      <c r="AJ2601" s="3"/>
      <c r="AK2601" s="3" t="str">
        <f>HYPERLINK("https://knigipp.ru/api/getInfo/item/86ee1e51-0a5c-11ec-a20e-ac1f6b442185")</f>
        <v>https://knigipp.ru/api/getInfo/item/86ee1e51-0a5c-11ec-a20e-ac1f6b442185</v>
      </c>
      <c r="AL2601" s="3" t="s">
        <v>11716</v>
      </c>
    </row>
    <row r="2602" spans="1:38" ht="21" customHeight="1" outlineLevel="5" x14ac:dyDescent="0.2">
      <c r="A2602" s="39">
        <v>2019</v>
      </c>
      <c r="B2602" s="3" t="s">
        <v>11717</v>
      </c>
      <c r="C2602" s="49" t="s">
        <v>11718</v>
      </c>
      <c r="D2602" s="49"/>
      <c r="E2602" s="49"/>
      <c r="F2602" s="49"/>
      <c r="G2602" s="4" t="s">
        <v>11719</v>
      </c>
      <c r="H2602" s="8"/>
      <c r="I2602" s="9" t="s">
        <v>11714</v>
      </c>
      <c r="J2602" s="10"/>
      <c r="K2602" s="11">
        <v>30</v>
      </c>
      <c r="L2602" s="10"/>
      <c r="M2602" s="10" t="s">
        <v>78</v>
      </c>
      <c r="N2602" s="10"/>
      <c r="O2602" s="2">
        <v>1</v>
      </c>
      <c r="P2602" s="17">
        <f>71.25*(1-S3/100)</f>
        <v>71.25</v>
      </c>
      <c r="Q2602" s="18"/>
      <c r="R2602" s="10">
        <f>P2602*Q2602</f>
        <v>0</v>
      </c>
      <c r="S2602" s="28">
        <f>0.04*Q2602</f>
        <v>0</v>
      </c>
      <c r="T2602" s="20">
        <f>0.00004*Q2602</f>
        <v>0</v>
      </c>
      <c r="U2602" s="21"/>
      <c r="V2602" s="22" t="s">
        <v>11720</v>
      </c>
      <c r="W2602" s="22" t="s">
        <v>49</v>
      </c>
      <c r="X2602" s="3"/>
      <c r="Y2602" s="3"/>
      <c r="Z2602" s="3" t="s">
        <v>52</v>
      </c>
      <c r="AA2602" s="3"/>
      <c r="AB2602" s="3"/>
      <c r="AC2602" s="3" t="str">
        <f>HYPERLINK("https://knigipp.ru/api/getInfo/image/29c4d448-9230-11eb-a233-0cc47a2bbb49")</f>
        <v>https://knigipp.ru/api/getInfo/image/29c4d448-9230-11eb-a233-0cc47a2bbb49</v>
      </c>
      <c r="AD2602" s="3"/>
      <c r="AE2602" s="3"/>
      <c r="AF2602" s="3" t="s">
        <v>1119</v>
      </c>
      <c r="AG2602" s="3"/>
      <c r="AH2602" s="3" t="s">
        <v>56</v>
      </c>
      <c r="AI2602" s="3"/>
      <c r="AJ2602" s="3"/>
      <c r="AK2602" s="3" t="str">
        <f>HYPERLINK("https://knigipp.ru/api/getInfo/item/29c4d448-9230-11eb-a233-0cc47a2bbb49")</f>
        <v>https://knigipp.ru/api/getInfo/item/29c4d448-9230-11eb-a233-0cc47a2bbb49</v>
      </c>
      <c r="AL2602" s="3" t="s">
        <v>11716</v>
      </c>
    </row>
    <row r="2603" spans="1:38" ht="21" customHeight="1" outlineLevel="5" x14ac:dyDescent="0.2">
      <c r="A2603" s="39">
        <v>2020</v>
      </c>
      <c r="B2603" s="3" t="s">
        <v>11721</v>
      </c>
      <c r="C2603" s="49" t="s">
        <v>11722</v>
      </c>
      <c r="D2603" s="49"/>
      <c r="E2603" s="49"/>
      <c r="F2603" s="49"/>
      <c r="G2603" s="4" t="s">
        <v>11723</v>
      </c>
      <c r="H2603" s="8"/>
      <c r="I2603" s="9" t="s">
        <v>11714</v>
      </c>
      <c r="J2603" s="10"/>
      <c r="K2603" s="11">
        <v>30</v>
      </c>
      <c r="L2603" s="10"/>
      <c r="M2603" s="10" t="s">
        <v>304</v>
      </c>
      <c r="N2603" s="10"/>
      <c r="O2603" s="2">
        <v>1</v>
      </c>
      <c r="P2603" s="17">
        <f>71.25*(1-S3/100)</f>
        <v>71.25</v>
      </c>
      <c r="Q2603" s="18"/>
      <c r="R2603" s="10">
        <f>P2603*Q2603</f>
        <v>0</v>
      </c>
      <c r="S2603" s="28">
        <f>0.04*Q2603</f>
        <v>0</v>
      </c>
      <c r="T2603" s="20">
        <f>0.00004*Q2603</f>
        <v>0</v>
      </c>
      <c r="U2603" s="21"/>
      <c r="V2603" s="22" t="s">
        <v>11724</v>
      </c>
      <c r="W2603" s="22" t="s">
        <v>49</v>
      </c>
      <c r="X2603" s="3"/>
      <c r="Y2603" s="3"/>
      <c r="Z2603" s="3" t="s">
        <v>52</v>
      </c>
      <c r="AA2603" s="3"/>
      <c r="AB2603" s="3"/>
      <c r="AC2603" s="3" t="str">
        <f>HYPERLINK("https://knigipp.ru/api/getInfo/image/f8c7e812-922f-11eb-a233-0cc47a2bbb49")</f>
        <v>https://knigipp.ru/api/getInfo/image/f8c7e812-922f-11eb-a233-0cc47a2bbb49</v>
      </c>
      <c r="AD2603" s="3"/>
      <c r="AE2603" s="3"/>
      <c r="AF2603" s="3" t="s">
        <v>1119</v>
      </c>
      <c r="AG2603" s="3"/>
      <c r="AH2603" s="3" t="s">
        <v>56</v>
      </c>
      <c r="AI2603" s="3"/>
      <c r="AJ2603" s="3"/>
      <c r="AK2603" s="3" t="str">
        <f>HYPERLINK("https://knigipp.ru/api/getInfo/item/f8c7e812-922f-11eb-a233-0cc47a2bbb49")</f>
        <v>https://knigipp.ru/api/getInfo/item/f8c7e812-922f-11eb-a233-0cc47a2bbb49</v>
      </c>
      <c r="AL2603" s="3" t="s">
        <v>11716</v>
      </c>
    </row>
    <row r="2604" spans="1:38" ht="21" customHeight="1" outlineLevel="5" x14ac:dyDescent="0.2">
      <c r="A2604" s="39">
        <v>2021</v>
      </c>
      <c r="B2604" s="3" t="s">
        <v>11725</v>
      </c>
      <c r="C2604" s="49" t="s">
        <v>11726</v>
      </c>
      <c r="D2604" s="49"/>
      <c r="E2604" s="49"/>
      <c r="F2604" s="49"/>
      <c r="G2604" s="4" t="s">
        <v>11727</v>
      </c>
      <c r="H2604" s="8"/>
      <c r="I2604" s="9" t="s">
        <v>11714</v>
      </c>
      <c r="J2604" s="10"/>
      <c r="K2604" s="11">
        <v>30</v>
      </c>
      <c r="L2604" s="10"/>
      <c r="M2604" s="10" t="s">
        <v>47</v>
      </c>
      <c r="N2604" s="10"/>
      <c r="O2604" s="2">
        <v>1</v>
      </c>
      <c r="P2604" s="17">
        <f>71.25*(1-S3/100)</f>
        <v>71.25</v>
      </c>
      <c r="Q2604" s="18"/>
      <c r="R2604" s="10">
        <f>P2604*Q2604</f>
        <v>0</v>
      </c>
      <c r="S2604" s="28">
        <f>0.04*Q2604</f>
        <v>0</v>
      </c>
      <c r="T2604" s="20">
        <f>0.00004*Q2604</f>
        <v>0</v>
      </c>
      <c r="U2604" s="21"/>
      <c r="V2604" s="22" t="s">
        <v>11728</v>
      </c>
      <c r="W2604" s="22" t="s">
        <v>49</v>
      </c>
      <c r="X2604" s="3"/>
      <c r="Y2604" s="3"/>
      <c r="Z2604" s="3" t="s">
        <v>52</v>
      </c>
      <c r="AA2604" s="3"/>
      <c r="AB2604" s="3"/>
      <c r="AC2604" s="3" t="str">
        <f>HYPERLINK("https://knigipp.ru/api/getInfo/image/feea337d-0a5c-11ec-a20e-ac1f6b442185")</f>
        <v>https://knigipp.ru/api/getInfo/image/feea337d-0a5c-11ec-a20e-ac1f6b442185</v>
      </c>
      <c r="AD2604" s="3"/>
      <c r="AE2604" s="3"/>
      <c r="AF2604" s="3" t="s">
        <v>1119</v>
      </c>
      <c r="AG2604" s="3"/>
      <c r="AH2604" s="3" t="s">
        <v>56</v>
      </c>
      <c r="AI2604" s="3"/>
      <c r="AJ2604" s="3"/>
      <c r="AK2604" s="3" t="str">
        <f>HYPERLINK("https://knigipp.ru/api/getInfo/item/feea337d-0a5c-11ec-a20e-ac1f6b442185")</f>
        <v>https://knigipp.ru/api/getInfo/item/feea337d-0a5c-11ec-a20e-ac1f6b442185</v>
      </c>
      <c r="AL2604" s="3" t="s">
        <v>11716</v>
      </c>
    </row>
    <row r="2605" spans="1:38" ht="21" customHeight="1" outlineLevel="5" x14ac:dyDescent="0.2">
      <c r="A2605" s="39">
        <v>2022</v>
      </c>
      <c r="B2605" s="3" t="s">
        <v>11729</v>
      </c>
      <c r="C2605" s="49" t="s">
        <v>11730</v>
      </c>
      <c r="D2605" s="49"/>
      <c r="E2605" s="49"/>
      <c r="F2605" s="49"/>
      <c r="G2605" s="4" t="s">
        <v>11731</v>
      </c>
      <c r="H2605" s="8"/>
      <c r="I2605" s="9" t="s">
        <v>11714</v>
      </c>
      <c r="J2605" s="10"/>
      <c r="K2605" s="11">
        <v>30</v>
      </c>
      <c r="L2605" s="10"/>
      <c r="M2605" s="10" t="s">
        <v>78</v>
      </c>
      <c r="N2605" s="10"/>
      <c r="O2605" s="2">
        <v>1</v>
      </c>
      <c r="P2605" s="17">
        <f>71.25*(1-S3/100)</f>
        <v>71.25</v>
      </c>
      <c r="Q2605" s="18"/>
      <c r="R2605" s="10">
        <f>P2605*Q2605</f>
        <v>0</v>
      </c>
      <c r="S2605" s="28">
        <f>0.04*Q2605</f>
        <v>0</v>
      </c>
      <c r="T2605" s="20">
        <f>0.00001*Q2605</f>
        <v>0</v>
      </c>
      <c r="U2605" s="21"/>
      <c r="V2605" s="22" t="s">
        <v>11732</v>
      </c>
      <c r="W2605" s="22" t="s">
        <v>49</v>
      </c>
      <c r="X2605" s="3"/>
      <c r="Y2605" s="3"/>
      <c r="Z2605" s="3" t="s">
        <v>52</v>
      </c>
      <c r="AA2605" s="3"/>
      <c r="AB2605" s="3"/>
      <c r="AC2605" s="3" t="str">
        <f>HYPERLINK("https://knigipp.ru/api/getInfo/image/d8728de0-0a5c-11ec-a20e-ac1f6b442185")</f>
        <v>https://knigipp.ru/api/getInfo/image/d8728de0-0a5c-11ec-a20e-ac1f6b442185</v>
      </c>
      <c r="AD2605" s="3"/>
      <c r="AE2605" s="3"/>
      <c r="AF2605" s="3" t="s">
        <v>1119</v>
      </c>
      <c r="AG2605" s="3"/>
      <c r="AH2605" s="3" t="s">
        <v>56</v>
      </c>
      <c r="AI2605" s="3"/>
      <c r="AJ2605" s="3"/>
      <c r="AK2605" s="3" t="str">
        <f>HYPERLINK("https://knigipp.ru/api/getInfo/item/d8728de0-0a5c-11ec-a20e-ac1f6b442185")</f>
        <v>https://knigipp.ru/api/getInfo/item/d8728de0-0a5c-11ec-a20e-ac1f6b442185</v>
      </c>
      <c r="AL2605" s="3" t="s">
        <v>11716</v>
      </c>
    </row>
    <row r="2606" spans="1:38" ht="23.1" customHeight="1" outlineLevel="3" x14ac:dyDescent="0.2">
      <c r="A2606" s="48" t="s">
        <v>11733</v>
      </c>
      <c r="B2606" s="48"/>
      <c r="C2606" s="48"/>
      <c r="D2606" s="48"/>
      <c r="E2606" s="48"/>
      <c r="F2606" s="48"/>
    </row>
    <row r="2607" spans="1:38" ht="21" customHeight="1" outlineLevel="4" x14ac:dyDescent="0.2">
      <c r="A2607" s="39">
        <v>2023</v>
      </c>
      <c r="B2607" s="3" t="s">
        <v>11734</v>
      </c>
      <c r="C2607" s="49" t="s">
        <v>11735</v>
      </c>
      <c r="D2607" s="49"/>
      <c r="E2607" s="49"/>
      <c r="F2607" s="49"/>
      <c r="G2607" s="4" t="s">
        <v>11736</v>
      </c>
      <c r="H2607" s="8"/>
      <c r="I2607" s="9" t="s">
        <v>11737</v>
      </c>
      <c r="J2607" s="10"/>
      <c r="K2607" s="11">
        <v>33</v>
      </c>
      <c r="L2607" s="10"/>
      <c r="M2607" s="10" t="s">
        <v>304</v>
      </c>
      <c r="N2607" s="10"/>
      <c r="O2607" s="2">
        <v>4</v>
      </c>
      <c r="P2607" s="17">
        <f>161.88*(1-S3/100)</f>
        <v>161.88</v>
      </c>
      <c r="Q2607" s="18"/>
      <c r="R2607" s="10">
        <f>P2607*Q2607</f>
        <v>0</v>
      </c>
      <c r="S2607" s="19">
        <f>0.166*Q2607</f>
        <v>0</v>
      </c>
      <c r="T2607" s="20">
        <f>0.00003*Q2607</f>
        <v>0</v>
      </c>
      <c r="U2607" s="21"/>
      <c r="V2607" s="22" t="s">
        <v>11738</v>
      </c>
      <c r="W2607" s="22" t="s">
        <v>49</v>
      </c>
      <c r="X2607" s="3"/>
      <c r="Y2607" s="3"/>
      <c r="Z2607" s="3" t="s">
        <v>52</v>
      </c>
      <c r="AA2607" s="3"/>
      <c r="AB2607" s="3"/>
      <c r="AC2607" s="3" t="str">
        <f>HYPERLINK("https://knigipp.ru/api/getInfo/image/2db1f283-ae4e-11eb-a201-ac1f6b442185")</f>
        <v>https://knigipp.ru/api/getInfo/image/2db1f283-ae4e-11eb-a201-ac1f6b442185</v>
      </c>
      <c r="AD2607" s="32">
        <v>12</v>
      </c>
      <c r="AE2607" s="3"/>
      <c r="AF2607" s="3" t="s">
        <v>209</v>
      </c>
      <c r="AG2607" s="3"/>
      <c r="AH2607" s="3" t="s">
        <v>56</v>
      </c>
      <c r="AI2607" s="3"/>
      <c r="AJ2607" s="3"/>
      <c r="AK2607" s="3" t="str">
        <f>HYPERLINK("https://knigipp.ru/api/getInfo/item/2db1f283-ae4e-11eb-a201-ac1f6b442185")</f>
        <v>https://knigipp.ru/api/getInfo/item/2db1f283-ae4e-11eb-a201-ac1f6b442185</v>
      </c>
      <c r="AL2607" s="3" t="s">
        <v>11739</v>
      </c>
    </row>
    <row r="2608" spans="1:38" ht="23.1" customHeight="1" outlineLevel="2" x14ac:dyDescent="0.2">
      <c r="A2608" s="47" t="s">
        <v>11740</v>
      </c>
      <c r="B2608" s="47"/>
      <c r="C2608" s="47"/>
      <c r="D2608" s="47"/>
      <c r="E2608" s="47"/>
      <c r="F2608" s="47"/>
    </row>
    <row r="2609" spans="1:38" ht="23.1" customHeight="1" outlineLevel="3" x14ac:dyDescent="0.2">
      <c r="A2609" s="48" t="s">
        <v>11741</v>
      </c>
      <c r="B2609" s="48"/>
      <c r="C2609" s="48"/>
      <c r="D2609" s="48"/>
      <c r="E2609" s="48"/>
      <c r="F2609" s="48"/>
    </row>
    <row r="2610" spans="1:38" ht="21" customHeight="1" outlineLevel="4" x14ac:dyDescent="0.2">
      <c r="A2610" s="39">
        <v>2024</v>
      </c>
      <c r="B2610" s="3" t="s">
        <v>11742</v>
      </c>
      <c r="C2610" s="49" t="s">
        <v>11743</v>
      </c>
      <c r="D2610" s="49"/>
      <c r="E2610" s="49"/>
      <c r="F2610" s="49"/>
      <c r="G2610" s="4" t="s">
        <v>11744</v>
      </c>
      <c r="H2610" s="8"/>
      <c r="I2610" s="9" t="s">
        <v>11745</v>
      </c>
      <c r="J2610" s="10"/>
      <c r="K2610" s="11">
        <v>10</v>
      </c>
      <c r="L2610" s="10"/>
      <c r="M2610" s="10" t="s">
        <v>47</v>
      </c>
      <c r="N2610" s="10"/>
      <c r="O2610" s="2">
        <v>2</v>
      </c>
      <c r="P2610" s="17">
        <f>399*(1-S3/100)</f>
        <v>399</v>
      </c>
      <c r="Q2610" s="18"/>
      <c r="R2610" s="10">
        <f t="shared" ref="R2610:R2619" si="117">P2610*Q2610</f>
        <v>0</v>
      </c>
      <c r="S2610" s="19">
        <f>0.129*Q2610</f>
        <v>0</v>
      </c>
      <c r="T2610" s="20">
        <f>0.00091*Q2610</f>
        <v>0</v>
      </c>
      <c r="U2610" s="21"/>
      <c r="V2610" s="22" t="s">
        <v>11746</v>
      </c>
      <c r="W2610" s="22" t="s">
        <v>49</v>
      </c>
      <c r="X2610" s="3" t="s">
        <v>11747</v>
      </c>
      <c r="Y2610" s="3" t="s">
        <v>11748</v>
      </c>
      <c r="Z2610" s="3" t="s">
        <v>52</v>
      </c>
      <c r="AA2610" s="3"/>
      <c r="AB2610" s="3"/>
      <c r="AC2610" s="3" t="str">
        <f>HYPERLINK("https://knigipp.ru/api/getInfo/image/a20c1aaf-cc57-11f0-a28a-00155d82e908")</f>
        <v>https://knigipp.ru/api/getInfo/image/a20c1aaf-cc57-11f0-a28a-00155d82e908</v>
      </c>
      <c r="AD2610" s="32">
        <v>8</v>
      </c>
      <c r="AE2610" s="3" t="s">
        <v>54</v>
      </c>
      <c r="AF2610" s="3" t="s">
        <v>127</v>
      </c>
      <c r="AG2610" s="3"/>
      <c r="AH2610" s="3" t="s">
        <v>56</v>
      </c>
      <c r="AI2610" s="3"/>
      <c r="AJ2610" s="3"/>
      <c r="AK2610" s="3" t="str">
        <f>HYPERLINK("https://knigipp.ru/api/getInfo/item/a20c1aaf-cc57-11f0-a28a-00155d82e908")</f>
        <v>https://knigipp.ru/api/getInfo/item/a20c1aaf-cc57-11f0-a28a-00155d82e908</v>
      </c>
      <c r="AL2610" s="3" t="s">
        <v>11749</v>
      </c>
    </row>
    <row r="2611" spans="1:38" ht="21" customHeight="1" outlineLevel="4" x14ac:dyDescent="0.2">
      <c r="A2611" s="39">
        <v>2025</v>
      </c>
      <c r="B2611" s="3" t="s">
        <v>11750</v>
      </c>
      <c r="C2611" s="49" t="s">
        <v>11751</v>
      </c>
      <c r="D2611" s="49"/>
      <c r="E2611" s="49"/>
      <c r="F2611" s="49"/>
      <c r="G2611" s="4" t="s">
        <v>11752</v>
      </c>
      <c r="H2611" s="8"/>
      <c r="I2611" s="9" t="s">
        <v>11753</v>
      </c>
      <c r="J2611" s="10"/>
      <c r="K2611" s="11">
        <v>10</v>
      </c>
      <c r="L2611" s="10"/>
      <c r="M2611" s="10" t="s">
        <v>47</v>
      </c>
      <c r="N2611" s="10"/>
      <c r="O2611" s="2">
        <v>2</v>
      </c>
      <c r="P2611" s="17">
        <f>399*(1-S3/100)</f>
        <v>399</v>
      </c>
      <c r="Q2611" s="18"/>
      <c r="R2611" s="10">
        <f t="shared" si="117"/>
        <v>0</v>
      </c>
      <c r="S2611" s="19">
        <f>0.126*Q2611</f>
        <v>0</v>
      </c>
      <c r="T2611" s="20">
        <f>0.00063*Q2611</f>
        <v>0</v>
      </c>
      <c r="U2611" s="21"/>
      <c r="V2611" s="22" t="s">
        <v>11754</v>
      </c>
      <c r="W2611" s="22" t="s">
        <v>49</v>
      </c>
      <c r="X2611" s="3" t="s">
        <v>11755</v>
      </c>
      <c r="Y2611" s="3" t="s">
        <v>11756</v>
      </c>
      <c r="Z2611" s="3" t="s">
        <v>52</v>
      </c>
      <c r="AA2611" s="3"/>
      <c r="AB2611" s="3"/>
      <c r="AC2611" s="3" t="str">
        <f>HYPERLINK("https://knigipp.ru/api/getInfo/image/b41e6ed8-ae53-11ef-a267-00155d82e908")</f>
        <v>https://knigipp.ru/api/getInfo/image/b41e6ed8-ae53-11ef-a267-00155d82e908</v>
      </c>
      <c r="AD2611" s="32">
        <v>8</v>
      </c>
      <c r="AE2611" s="3"/>
      <c r="AF2611" s="3" t="s">
        <v>127</v>
      </c>
      <c r="AG2611" s="3"/>
      <c r="AH2611" s="3" t="s">
        <v>56</v>
      </c>
      <c r="AI2611" s="3"/>
      <c r="AJ2611" s="3"/>
      <c r="AK2611" s="3" t="str">
        <f>HYPERLINK("https://knigipp.ru/api/getInfo/item/b41e6ed8-ae53-11ef-a267-00155d82e908")</f>
        <v>https://knigipp.ru/api/getInfo/item/b41e6ed8-ae53-11ef-a267-00155d82e908</v>
      </c>
      <c r="AL2611" s="3" t="s">
        <v>11757</v>
      </c>
    </row>
    <row r="2612" spans="1:38" ht="21" customHeight="1" outlineLevel="4" x14ac:dyDescent="0.2">
      <c r="A2612" s="39">
        <v>2026</v>
      </c>
      <c r="B2612" s="3" t="s">
        <v>11758</v>
      </c>
      <c r="C2612" s="49" t="s">
        <v>11759</v>
      </c>
      <c r="D2612" s="49"/>
      <c r="E2612" s="49"/>
      <c r="F2612" s="49"/>
      <c r="G2612" s="4" t="s">
        <v>11760</v>
      </c>
      <c r="H2612" s="8"/>
      <c r="I2612" s="9" t="s">
        <v>11753</v>
      </c>
      <c r="J2612" s="10"/>
      <c r="K2612" s="11">
        <v>10</v>
      </c>
      <c r="L2612" s="10"/>
      <c r="M2612" s="10" t="s">
        <v>47</v>
      </c>
      <c r="N2612" s="10"/>
      <c r="O2612" s="2">
        <v>2</v>
      </c>
      <c r="P2612" s="17">
        <f>399*(1-S3/100)</f>
        <v>399</v>
      </c>
      <c r="Q2612" s="18"/>
      <c r="R2612" s="10">
        <f t="shared" si="117"/>
        <v>0</v>
      </c>
      <c r="S2612" s="19">
        <f>0.126*Q2612</f>
        <v>0</v>
      </c>
      <c r="T2612" s="20">
        <f>0.00085*Q2612</f>
        <v>0</v>
      </c>
      <c r="U2612" s="21"/>
      <c r="V2612" s="22" t="s">
        <v>11761</v>
      </c>
      <c r="W2612" s="22" t="s">
        <v>49</v>
      </c>
      <c r="X2612" s="3" t="s">
        <v>11755</v>
      </c>
      <c r="Y2612" s="3" t="s">
        <v>11762</v>
      </c>
      <c r="Z2612" s="3" t="s">
        <v>52</v>
      </c>
      <c r="AA2612" s="3"/>
      <c r="AB2612" s="3"/>
      <c r="AC2612" s="3" t="str">
        <f>HYPERLINK("https://knigipp.ru/api/getInfo/image/3e36fc10-ae54-11ef-a267-00155d82e908")</f>
        <v>https://knigipp.ru/api/getInfo/image/3e36fc10-ae54-11ef-a267-00155d82e908</v>
      </c>
      <c r="AD2612" s="32">
        <v>8</v>
      </c>
      <c r="AE2612" s="3" t="s">
        <v>54</v>
      </c>
      <c r="AF2612" s="3" t="s">
        <v>127</v>
      </c>
      <c r="AG2612" s="3"/>
      <c r="AH2612" s="3" t="s">
        <v>56</v>
      </c>
      <c r="AI2612" s="3"/>
      <c r="AJ2612" s="3"/>
      <c r="AK2612" s="3" t="str">
        <f>HYPERLINK("https://knigipp.ru/api/getInfo/item/3e36fc10-ae54-11ef-a267-00155d82e908")</f>
        <v>https://knigipp.ru/api/getInfo/item/3e36fc10-ae54-11ef-a267-00155d82e908</v>
      </c>
      <c r="AL2612" s="3" t="s">
        <v>11757</v>
      </c>
    </row>
    <row r="2613" spans="1:38" ht="21" customHeight="1" outlineLevel="4" x14ac:dyDescent="0.2">
      <c r="A2613" s="39">
        <v>2027</v>
      </c>
      <c r="B2613" s="3" t="s">
        <v>11763</v>
      </c>
      <c r="C2613" s="49" t="s">
        <v>11764</v>
      </c>
      <c r="D2613" s="49"/>
      <c r="E2613" s="49"/>
      <c r="F2613" s="49"/>
      <c r="G2613" s="4" t="s">
        <v>11765</v>
      </c>
      <c r="H2613" s="8"/>
      <c r="I2613" s="9" t="s">
        <v>11745</v>
      </c>
      <c r="J2613" s="10"/>
      <c r="K2613" s="11">
        <v>10</v>
      </c>
      <c r="L2613" s="10"/>
      <c r="M2613" s="10" t="s">
        <v>47</v>
      </c>
      <c r="N2613" s="10"/>
      <c r="O2613" s="2">
        <v>2</v>
      </c>
      <c r="P2613" s="17">
        <f>399*(1-S3/100)</f>
        <v>399</v>
      </c>
      <c r="Q2613" s="18"/>
      <c r="R2613" s="10">
        <f t="shared" si="117"/>
        <v>0</v>
      </c>
      <c r="S2613" s="19">
        <f>0.134*Q2613</f>
        <v>0</v>
      </c>
      <c r="T2613" s="30">
        <f>0.0015*Q2613</f>
        <v>0</v>
      </c>
      <c r="U2613" s="21"/>
      <c r="V2613" s="22" t="s">
        <v>11766</v>
      </c>
      <c r="W2613" s="22" t="s">
        <v>49</v>
      </c>
      <c r="X2613" s="3" t="s">
        <v>11747</v>
      </c>
      <c r="Y2613" s="3" t="s">
        <v>11767</v>
      </c>
      <c r="Z2613" s="3" t="s">
        <v>52</v>
      </c>
      <c r="AA2613" s="3"/>
      <c r="AB2613" s="3"/>
      <c r="AC2613" s="3" t="str">
        <f>HYPERLINK("https://knigipp.ru/api/getInfo/image/cf7b7f38-cc57-11f0-a28a-00155d82e908")</f>
        <v>https://knigipp.ru/api/getInfo/image/cf7b7f38-cc57-11f0-a28a-00155d82e908</v>
      </c>
      <c r="AD2613" s="32">
        <v>8</v>
      </c>
      <c r="AE2613" s="3" t="s">
        <v>54</v>
      </c>
      <c r="AF2613" s="3" t="s">
        <v>127</v>
      </c>
      <c r="AG2613" s="3"/>
      <c r="AH2613" s="3" t="s">
        <v>56</v>
      </c>
      <c r="AI2613" s="3"/>
      <c r="AJ2613" s="3"/>
      <c r="AK2613" s="3" t="str">
        <f>HYPERLINK("https://knigipp.ru/api/getInfo/item/cf7b7f38-cc57-11f0-a28a-00155d82e908")</f>
        <v>https://knigipp.ru/api/getInfo/item/cf7b7f38-cc57-11f0-a28a-00155d82e908</v>
      </c>
      <c r="AL2613" s="3" t="s">
        <v>11749</v>
      </c>
    </row>
    <row r="2614" spans="1:38" ht="21" customHeight="1" outlineLevel="4" x14ac:dyDescent="0.2">
      <c r="A2614" s="39">
        <v>2028</v>
      </c>
      <c r="B2614" s="3" t="s">
        <v>11768</v>
      </c>
      <c r="C2614" s="49" t="s">
        <v>11769</v>
      </c>
      <c r="D2614" s="49"/>
      <c r="E2614" s="49"/>
      <c r="F2614" s="49"/>
      <c r="G2614" s="4" t="s">
        <v>11770</v>
      </c>
      <c r="H2614" s="8"/>
      <c r="I2614" s="9" t="s">
        <v>11753</v>
      </c>
      <c r="J2614" s="10"/>
      <c r="K2614" s="11">
        <v>10</v>
      </c>
      <c r="L2614" s="10"/>
      <c r="M2614" s="10" t="s">
        <v>47</v>
      </c>
      <c r="N2614" s="10"/>
      <c r="O2614" s="2">
        <v>2</v>
      </c>
      <c r="P2614" s="17">
        <f>399*(1-S3/100)</f>
        <v>399</v>
      </c>
      <c r="Q2614" s="18"/>
      <c r="R2614" s="10">
        <f t="shared" si="117"/>
        <v>0</v>
      </c>
      <c r="S2614" s="19">
        <f>0.127*Q2614</f>
        <v>0</v>
      </c>
      <c r="T2614" s="30">
        <f>0.0008*Q2614</f>
        <v>0</v>
      </c>
      <c r="U2614" s="21"/>
      <c r="V2614" s="22" t="s">
        <v>11771</v>
      </c>
      <c r="W2614" s="22" t="s">
        <v>49</v>
      </c>
      <c r="X2614" s="3" t="s">
        <v>11772</v>
      </c>
      <c r="Y2614" s="3" t="s">
        <v>11773</v>
      </c>
      <c r="Z2614" s="3" t="s">
        <v>52</v>
      </c>
      <c r="AA2614" s="3"/>
      <c r="AB2614" s="3"/>
      <c r="AC2614" s="3" t="str">
        <f>HYPERLINK("https://knigipp.ru/api/getInfo/image/8db12f27-ae54-11ef-a267-00155d82e908")</f>
        <v>https://knigipp.ru/api/getInfo/image/8db12f27-ae54-11ef-a267-00155d82e908</v>
      </c>
      <c r="AD2614" s="32">
        <v>8</v>
      </c>
      <c r="AE2614" s="3"/>
      <c r="AF2614" s="3" t="s">
        <v>127</v>
      </c>
      <c r="AG2614" s="3"/>
      <c r="AH2614" s="3" t="s">
        <v>56</v>
      </c>
      <c r="AI2614" s="3"/>
      <c r="AJ2614" s="3"/>
      <c r="AK2614" s="3" t="str">
        <f>HYPERLINK("https://knigipp.ru/api/getInfo/item/8db12f27-ae54-11ef-a267-00155d82e908")</f>
        <v>https://knigipp.ru/api/getInfo/item/8db12f27-ae54-11ef-a267-00155d82e908</v>
      </c>
      <c r="AL2614" s="3" t="s">
        <v>11757</v>
      </c>
    </row>
    <row r="2615" spans="1:38" ht="21" customHeight="1" outlineLevel="4" x14ac:dyDescent="0.2">
      <c r="A2615" s="40">
        <v>2029</v>
      </c>
      <c r="B2615" s="6" t="s">
        <v>11774</v>
      </c>
      <c r="C2615" s="54" t="s">
        <v>11775</v>
      </c>
      <c r="D2615" s="54"/>
      <c r="E2615" s="54"/>
      <c r="F2615" s="54"/>
      <c r="G2615" s="7" t="s">
        <v>11776</v>
      </c>
      <c r="H2615" s="12"/>
      <c r="I2615" s="13"/>
      <c r="J2615" s="14"/>
      <c r="K2615" s="15">
        <v>10</v>
      </c>
      <c r="L2615" s="14"/>
      <c r="M2615" s="14" t="s">
        <v>47</v>
      </c>
      <c r="N2615" s="14"/>
      <c r="O2615" s="5">
        <v>2</v>
      </c>
      <c r="P2615" s="23">
        <f>399*(1-S3/100)</f>
        <v>399</v>
      </c>
      <c r="Q2615" s="18"/>
      <c r="R2615" s="14">
        <f t="shared" si="117"/>
        <v>0</v>
      </c>
      <c r="S2615" s="24">
        <f>0.126*Q2615</f>
        <v>0</v>
      </c>
      <c r="T2615" s="25">
        <f>0.00059*Q2615</f>
        <v>0</v>
      </c>
      <c r="U2615" s="26" t="s">
        <v>62</v>
      </c>
      <c r="V2615" s="27" t="s">
        <v>11777</v>
      </c>
      <c r="W2615" s="27" t="s">
        <v>49</v>
      </c>
      <c r="X2615" s="6"/>
      <c r="Y2615" s="6"/>
      <c r="Z2615" s="6" t="s">
        <v>52</v>
      </c>
      <c r="AA2615" s="6"/>
      <c r="AB2615" s="6"/>
      <c r="AC2615" s="6"/>
      <c r="AD2615" s="33">
        <v>8</v>
      </c>
      <c r="AE2615" s="6" t="s">
        <v>54</v>
      </c>
      <c r="AF2615" s="6" t="s">
        <v>127</v>
      </c>
      <c r="AG2615" s="6"/>
      <c r="AH2615" s="6" t="s">
        <v>56</v>
      </c>
      <c r="AI2615" s="6"/>
      <c r="AJ2615" s="6"/>
      <c r="AK2615" s="6"/>
      <c r="AL2615" s="6" t="s">
        <v>11778</v>
      </c>
    </row>
    <row r="2616" spans="1:38" ht="21" customHeight="1" outlineLevel="4" x14ac:dyDescent="0.2">
      <c r="A2616" s="40">
        <v>2030</v>
      </c>
      <c r="B2616" s="6" t="s">
        <v>11779</v>
      </c>
      <c r="C2616" s="54" t="s">
        <v>11780</v>
      </c>
      <c r="D2616" s="54"/>
      <c r="E2616" s="54"/>
      <c r="F2616" s="54"/>
      <c r="G2616" s="7" t="s">
        <v>11781</v>
      </c>
      <c r="H2616" s="12"/>
      <c r="I2616" s="13" t="s">
        <v>11782</v>
      </c>
      <c r="J2616" s="14"/>
      <c r="K2616" s="15">
        <v>10</v>
      </c>
      <c r="L2616" s="14"/>
      <c r="M2616" s="14" t="s">
        <v>47</v>
      </c>
      <c r="N2616" s="14"/>
      <c r="O2616" s="5">
        <v>2</v>
      </c>
      <c r="P2616" s="23">
        <f>399*(1-S3/100)</f>
        <v>399</v>
      </c>
      <c r="Q2616" s="18"/>
      <c r="R2616" s="14">
        <f t="shared" si="117"/>
        <v>0</v>
      </c>
      <c r="S2616" s="24">
        <f>0.139*Q2616</f>
        <v>0</v>
      </c>
      <c r="T2616" s="25">
        <f>0.00023*Q2616</f>
        <v>0</v>
      </c>
      <c r="U2616" s="26" t="s">
        <v>62</v>
      </c>
      <c r="V2616" s="27" t="s">
        <v>11783</v>
      </c>
      <c r="W2616" s="27" t="s">
        <v>49</v>
      </c>
      <c r="X2616" s="6" t="s">
        <v>117</v>
      </c>
      <c r="Y2616" s="6" t="s">
        <v>11784</v>
      </c>
      <c r="Z2616" s="6" t="s">
        <v>52</v>
      </c>
      <c r="AA2616" s="6"/>
      <c r="AB2616" s="6"/>
      <c r="AC2616" s="6" t="str">
        <f>HYPERLINK("https://knigipp.ru/api/getInfo/image/69a8c025-13df-11f1-a28f-00155d82e908")</f>
        <v>https://knigipp.ru/api/getInfo/image/69a8c025-13df-11f1-a28f-00155d82e908</v>
      </c>
      <c r="AD2616" s="33">
        <v>8</v>
      </c>
      <c r="AE2616" s="6" t="s">
        <v>54</v>
      </c>
      <c r="AF2616" s="6" t="s">
        <v>127</v>
      </c>
      <c r="AG2616" s="6"/>
      <c r="AH2616" s="6" t="s">
        <v>56</v>
      </c>
      <c r="AI2616" s="6"/>
      <c r="AJ2616" s="6"/>
      <c r="AK2616" s="6" t="str">
        <f>HYPERLINK("https://knigipp.ru/api/getInfo/item/69a8c025-13df-11f1-a28f-00155d82e908")</f>
        <v>https://knigipp.ru/api/getInfo/item/69a8c025-13df-11f1-a28f-00155d82e908</v>
      </c>
      <c r="AL2616" s="6" t="s">
        <v>11785</v>
      </c>
    </row>
    <row r="2617" spans="1:38" ht="21" customHeight="1" outlineLevel="4" x14ac:dyDescent="0.2">
      <c r="A2617" s="39">
        <v>2031</v>
      </c>
      <c r="B2617" s="3" t="s">
        <v>11786</v>
      </c>
      <c r="C2617" s="49" t="s">
        <v>11787</v>
      </c>
      <c r="D2617" s="49"/>
      <c r="E2617" s="49"/>
      <c r="F2617" s="49"/>
      <c r="G2617" s="4" t="s">
        <v>11788</v>
      </c>
      <c r="H2617" s="8"/>
      <c r="I2617" s="9" t="s">
        <v>11753</v>
      </c>
      <c r="J2617" s="10"/>
      <c r="K2617" s="11">
        <v>10</v>
      </c>
      <c r="L2617" s="10"/>
      <c r="M2617" s="10" t="s">
        <v>47</v>
      </c>
      <c r="N2617" s="10"/>
      <c r="O2617" s="2">
        <v>2</v>
      </c>
      <c r="P2617" s="17">
        <f>399*(1-S3/100)</f>
        <v>399</v>
      </c>
      <c r="Q2617" s="18"/>
      <c r="R2617" s="10">
        <f t="shared" si="117"/>
        <v>0</v>
      </c>
      <c r="S2617" s="19">
        <f>0.126*Q2617</f>
        <v>0</v>
      </c>
      <c r="T2617" s="20">
        <f>0.00063*Q2617</f>
        <v>0</v>
      </c>
      <c r="U2617" s="21"/>
      <c r="V2617" s="22" t="s">
        <v>11789</v>
      </c>
      <c r="W2617" s="22" t="s">
        <v>49</v>
      </c>
      <c r="X2617" s="3" t="s">
        <v>11790</v>
      </c>
      <c r="Y2617" s="3" t="s">
        <v>11791</v>
      </c>
      <c r="Z2617" s="3" t="s">
        <v>52</v>
      </c>
      <c r="AA2617" s="3"/>
      <c r="AB2617" s="3"/>
      <c r="AC2617" s="3" t="str">
        <f>HYPERLINK("https://knigipp.ru/api/getInfo/image/aeaed352-ae54-11ef-a267-00155d82e908")</f>
        <v>https://knigipp.ru/api/getInfo/image/aeaed352-ae54-11ef-a267-00155d82e908</v>
      </c>
      <c r="AD2617" s="32">
        <v>8</v>
      </c>
      <c r="AE2617" s="3" t="s">
        <v>54</v>
      </c>
      <c r="AF2617" s="3" t="s">
        <v>127</v>
      </c>
      <c r="AG2617" s="3"/>
      <c r="AH2617" s="3" t="s">
        <v>56</v>
      </c>
      <c r="AI2617" s="3"/>
      <c r="AJ2617" s="3"/>
      <c r="AK2617" s="3" t="str">
        <f>HYPERLINK("https://knigipp.ru/api/getInfo/item/aeaed352-ae54-11ef-a267-00155d82e908")</f>
        <v>https://knigipp.ru/api/getInfo/item/aeaed352-ae54-11ef-a267-00155d82e908</v>
      </c>
      <c r="AL2617" s="3" t="s">
        <v>11757</v>
      </c>
    </row>
    <row r="2618" spans="1:38" ht="21" customHeight="1" outlineLevel="4" x14ac:dyDescent="0.2">
      <c r="A2618" s="40">
        <v>2032</v>
      </c>
      <c r="B2618" s="6" t="s">
        <v>11792</v>
      </c>
      <c r="C2618" s="54" t="s">
        <v>11793</v>
      </c>
      <c r="D2618" s="54"/>
      <c r="E2618" s="54"/>
      <c r="F2618" s="54"/>
      <c r="G2618" s="7" t="s">
        <v>11794</v>
      </c>
      <c r="H2618" s="12"/>
      <c r="I2618" s="13" t="s">
        <v>11795</v>
      </c>
      <c r="J2618" s="14"/>
      <c r="K2618" s="15">
        <v>10</v>
      </c>
      <c r="L2618" s="14"/>
      <c r="M2618" s="14" t="s">
        <v>47</v>
      </c>
      <c r="N2618" s="14"/>
      <c r="O2618" s="5">
        <v>2</v>
      </c>
      <c r="P2618" s="23">
        <f>399*(1-S3/100)</f>
        <v>399</v>
      </c>
      <c r="Q2618" s="18"/>
      <c r="R2618" s="14">
        <f t="shared" si="117"/>
        <v>0</v>
      </c>
      <c r="S2618" s="36">
        <f>0.13*Q2618</f>
        <v>0</v>
      </c>
      <c r="T2618" s="31">
        <f>0.0007*Q2618</f>
        <v>0</v>
      </c>
      <c r="U2618" s="26" t="s">
        <v>62</v>
      </c>
      <c r="V2618" s="27" t="s">
        <v>11796</v>
      </c>
      <c r="W2618" s="27" t="s">
        <v>49</v>
      </c>
      <c r="X2618" s="6" t="s">
        <v>11797</v>
      </c>
      <c r="Y2618" s="6" t="s">
        <v>11798</v>
      </c>
      <c r="Z2618" s="6" t="s">
        <v>52</v>
      </c>
      <c r="AA2618" s="6"/>
      <c r="AB2618" s="6"/>
      <c r="AC2618" s="6" t="str">
        <f>HYPERLINK("https://knigipp.ru/api/getInfo/image/3702f4b6-13df-11f1-a28f-00155d82e908")</f>
        <v>https://knigipp.ru/api/getInfo/image/3702f4b6-13df-11f1-a28f-00155d82e908</v>
      </c>
      <c r="AD2618" s="33">
        <v>8</v>
      </c>
      <c r="AE2618" s="6" t="s">
        <v>54</v>
      </c>
      <c r="AF2618" s="6" t="s">
        <v>127</v>
      </c>
      <c r="AG2618" s="6"/>
      <c r="AH2618" s="6" t="s">
        <v>56</v>
      </c>
      <c r="AI2618" s="6"/>
      <c r="AJ2618" s="6"/>
      <c r="AK2618" s="6" t="str">
        <f>HYPERLINK("https://knigipp.ru/api/getInfo/item/3702f4b6-13df-11f1-a28f-00155d82e908")</f>
        <v>https://knigipp.ru/api/getInfo/item/3702f4b6-13df-11f1-a28f-00155d82e908</v>
      </c>
      <c r="AL2618" s="6" t="s">
        <v>11799</v>
      </c>
    </row>
    <row r="2619" spans="1:38" ht="21" customHeight="1" outlineLevel="4" x14ac:dyDescent="0.2">
      <c r="A2619" s="40">
        <v>2033</v>
      </c>
      <c r="B2619" s="6" t="s">
        <v>11800</v>
      </c>
      <c r="C2619" s="54" t="s">
        <v>11801</v>
      </c>
      <c r="D2619" s="54"/>
      <c r="E2619" s="54"/>
      <c r="F2619" s="54"/>
      <c r="G2619" s="7" t="s">
        <v>11802</v>
      </c>
      <c r="H2619" s="12"/>
      <c r="I2619" s="13" t="s">
        <v>11803</v>
      </c>
      <c r="J2619" s="14"/>
      <c r="K2619" s="15">
        <v>10</v>
      </c>
      <c r="L2619" s="14"/>
      <c r="M2619" s="14" t="s">
        <v>47</v>
      </c>
      <c r="N2619" s="14"/>
      <c r="O2619" s="5">
        <v>2</v>
      </c>
      <c r="P2619" s="23">
        <f>399*(1-S3/100)</f>
        <v>399</v>
      </c>
      <c r="Q2619" s="18"/>
      <c r="R2619" s="14">
        <f t="shared" si="117"/>
        <v>0</v>
      </c>
      <c r="S2619" s="24">
        <f>0.123*Q2619</f>
        <v>0</v>
      </c>
      <c r="T2619" s="25">
        <f>0.00078*Q2619</f>
        <v>0</v>
      </c>
      <c r="U2619" s="26" t="s">
        <v>62</v>
      </c>
      <c r="V2619" s="27" t="s">
        <v>11804</v>
      </c>
      <c r="W2619" s="27" t="s">
        <v>49</v>
      </c>
      <c r="X2619" s="6"/>
      <c r="Y2619" s="6"/>
      <c r="Z2619" s="6" t="s">
        <v>52</v>
      </c>
      <c r="AA2619" s="6"/>
      <c r="AB2619" s="6"/>
      <c r="AC2619" s="6" t="str">
        <f>HYPERLINK("https://knigipp.ru/api/getInfo/image/74fda9d3-4e0c-11f1-a297-00155d82e908")</f>
        <v>https://knigipp.ru/api/getInfo/image/74fda9d3-4e0c-11f1-a297-00155d82e908</v>
      </c>
      <c r="AD2619" s="33">
        <v>8</v>
      </c>
      <c r="AE2619" s="6" t="s">
        <v>54</v>
      </c>
      <c r="AF2619" s="6" t="s">
        <v>127</v>
      </c>
      <c r="AG2619" s="6"/>
      <c r="AH2619" s="6" t="s">
        <v>56</v>
      </c>
      <c r="AI2619" s="6"/>
      <c r="AJ2619" s="6"/>
      <c r="AK2619" s="6" t="str">
        <f>HYPERLINK("https://knigipp.ru/api/getInfo/item/74fda9d3-4e0c-11f1-a297-00155d82e908")</f>
        <v>https://knigipp.ru/api/getInfo/item/74fda9d3-4e0c-11f1-a297-00155d82e908</v>
      </c>
      <c r="AL2619" s="6" t="s">
        <v>11785</v>
      </c>
    </row>
    <row r="2620" spans="1:38" ht="23.1" customHeight="1" outlineLevel="3" x14ac:dyDescent="0.2">
      <c r="A2620" s="48" t="s">
        <v>11805</v>
      </c>
      <c r="B2620" s="48"/>
      <c r="C2620" s="48"/>
      <c r="D2620" s="48"/>
      <c r="E2620" s="48"/>
      <c r="F2620" s="48"/>
    </row>
    <row r="2621" spans="1:38" ht="21" customHeight="1" outlineLevel="4" x14ac:dyDescent="0.2">
      <c r="A2621" s="39">
        <v>2034</v>
      </c>
      <c r="B2621" s="3" t="s">
        <v>11806</v>
      </c>
      <c r="C2621" s="49" t="s">
        <v>11807</v>
      </c>
      <c r="D2621" s="49"/>
      <c r="E2621" s="49"/>
      <c r="F2621" s="49"/>
      <c r="G2621" s="4" t="s">
        <v>11808</v>
      </c>
      <c r="H2621" s="8"/>
      <c r="I2621" s="9" t="s">
        <v>11809</v>
      </c>
      <c r="J2621" s="10"/>
      <c r="K2621" s="11">
        <v>10</v>
      </c>
      <c r="L2621" s="10"/>
      <c r="M2621" s="10" t="s">
        <v>47</v>
      </c>
      <c r="N2621" s="10"/>
      <c r="O2621" s="2">
        <v>2</v>
      </c>
      <c r="P2621" s="17">
        <f>349*(1-S3/100)</f>
        <v>349</v>
      </c>
      <c r="Q2621" s="18"/>
      <c r="R2621" s="10">
        <f t="shared" ref="R2621:R2626" si="118">P2621*Q2621</f>
        <v>0</v>
      </c>
      <c r="S2621" s="19">
        <f>0.316*Q2621</f>
        <v>0</v>
      </c>
      <c r="T2621" s="20">
        <f>0.00072*Q2621</f>
        <v>0</v>
      </c>
      <c r="U2621" s="21"/>
      <c r="V2621" s="22" t="s">
        <v>11810</v>
      </c>
      <c r="W2621" s="22" t="s">
        <v>49</v>
      </c>
      <c r="X2621" s="3"/>
      <c r="Y2621" s="3" t="s">
        <v>11811</v>
      </c>
      <c r="Z2621" s="3" t="s">
        <v>52</v>
      </c>
      <c r="AA2621" s="3"/>
      <c r="AB2621" s="3"/>
      <c r="AC2621" s="3" t="str">
        <f>HYPERLINK("https://knigipp.ru/api/getInfo/image/9a4ff6f8-9e96-11eb-a201-ac1f6b442185")</f>
        <v>https://knigipp.ru/api/getInfo/image/9a4ff6f8-9e96-11eb-a201-ac1f6b442185</v>
      </c>
      <c r="AD2621" s="32">
        <v>8</v>
      </c>
      <c r="AE2621" s="3"/>
      <c r="AF2621" s="3" t="s">
        <v>127</v>
      </c>
      <c r="AG2621" s="3"/>
      <c r="AH2621" s="3" t="s">
        <v>56</v>
      </c>
      <c r="AI2621" s="3"/>
      <c r="AJ2621" s="3"/>
      <c r="AK2621" s="3" t="str">
        <f>HYPERLINK("https://knigipp.ru/api/getInfo/item/9a4ff6f8-9e96-11eb-a201-ac1f6b442185")</f>
        <v>https://knigipp.ru/api/getInfo/item/9a4ff6f8-9e96-11eb-a201-ac1f6b442185</v>
      </c>
      <c r="AL2621" s="3" t="s">
        <v>11812</v>
      </c>
    </row>
    <row r="2622" spans="1:38" ht="21" customHeight="1" outlineLevel="4" x14ac:dyDescent="0.2">
      <c r="A2622" s="40">
        <v>2035</v>
      </c>
      <c r="B2622" s="6" t="s">
        <v>11813</v>
      </c>
      <c r="C2622" s="54" t="s">
        <v>11814</v>
      </c>
      <c r="D2622" s="54"/>
      <c r="E2622" s="54"/>
      <c r="F2622" s="54"/>
      <c r="G2622" s="7" t="s">
        <v>11815</v>
      </c>
      <c r="H2622" s="12"/>
      <c r="I2622" s="13" t="s">
        <v>11816</v>
      </c>
      <c r="J2622" s="14"/>
      <c r="K2622" s="15">
        <v>10</v>
      </c>
      <c r="L2622" s="14"/>
      <c r="M2622" s="14" t="s">
        <v>47</v>
      </c>
      <c r="N2622" s="14"/>
      <c r="O2622" s="5">
        <v>1</v>
      </c>
      <c r="P2622" s="23">
        <f>437*(1-S3/100)</f>
        <v>437</v>
      </c>
      <c r="Q2622" s="18"/>
      <c r="R2622" s="14">
        <f t="shared" si="118"/>
        <v>0</v>
      </c>
      <c r="S2622" s="24">
        <f>0.249*Q2622</f>
        <v>0</v>
      </c>
      <c r="T2622" s="31">
        <f>0.0012*Q2622</f>
        <v>0</v>
      </c>
      <c r="U2622" s="26" t="s">
        <v>62</v>
      </c>
      <c r="V2622" s="27" t="s">
        <v>11817</v>
      </c>
      <c r="W2622" s="27" t="s">
        <v>49</v>
      </c>
      <c r="X2622" s="6" t="s">
        <v>11818</v>
      </c>
      <c r="Y2622" s="6" t="s">
        <v>11819</v>
      </c>
      <c r="Z2622" s="6" t="s">
        <v>52</v>
      </c>
      <c r="AA2622" s="6"/>
      <c r="AB2622" s="6"/>
      <c r="AC2622" s="6" t="str">
        <f>HYPERLINK("https://knigipp.ru/api/getInfo/image/213a80e9-2cf6-11f1-a292-00155d82e908")</f>
        <v>https://knigipp.ru/api/getInfo/image/213a80e9-2cf6-11f1-a292-00155d82e908</v>
      </c>
      <c r="AD2622" s="33">
        <v>8</v>
      </c>
      <c r="AE2622" s="6" t="s">
        <v>54</v>
      </c>
      <c r="AF2622" s="6" t="s">
        <v>127</v>
      </c>
      <c r="AG2622" s="6"/>
      <c r="AH2622" s="6" t="s">
        <v>56</v>
      </c>
      <c r="AI2622" s="6"/>
      <c r="AJ2622" s="6"/>
      <c r="AK2622" s="6" t="str">
        <f>HYPERLINK("https://knigipp.ru/api/getInfo/item/213a80e9-2cf6-11f1-a292-00155d82e908")</f>
        <v>https://knigipp.ru/api/getInfo/item/213a80e9-2cf6-11f1-a292-00155d82e908</v>
      </c>
      <c r="AL2622" s="6" t="s">
        <v>11820</v>
      </c>
    </row>
    <row r="2623" spans="1:38" ht="21" customHeight="1" outlineLevel="4" x14ac:dyDescent="0.2">
      <c r="A2623" s="39">
        <v>2036</v>
      </c>
      <c r="B2623" s="3" t="s">
        <v>11821</v>
      </c>
      <c r="C2623" s="49" t="s">
        <v>11822</v>
      </c>
      <c r="D2623" s="49"/>
      <c r="E2623" s="49"/>
      <c r="F2623" s="49"/>
      <c r="G2623" s="4" t="s">
        <v>11823</v>
      </c>
      <c r="H2623" s="8"/>
      <c r="I2623" s="9" t="s">
        <v>11824</v>
      </c>
      <c r="J2623" s="10"/>
      <c r="K2623" s="11">
        <v>10</v>
      </c>
      <c r="L2623" s="10"/>
      <c r="M2623" s="10" t="s">
        <v>47</v>
      </c>
      <c r="N2623" s="10"/>
      <c r="O2623" s="2">
        <v>2</v>
      </c>
      <c r="P2623" s="17">
        <f>349*(1-S3/100)</f>
        <v>349</v>
      </c>
      <c r="Q2623" s="18"/>
      <c r="R2623" s="10">
        <f t="shared" si="118"/>
        <v>0</v>
      </c>
      <c r="S2623" s="19">
        <f>0.265*Q2623</f>
        <v>0</v>
      </c>
      <c r="T2623" s="20">
        <f>0.00137*Q2623</f>
        <v>0</v>
      </c>
      <c r="U2623" s="21"/>
      <c r="V2623" s="22" t="s">
        <v>11825</v>
      </c>
      <c r="W2623" s="22" t="s">
        <v>49</v>
      </c>
      <c r="X2623" s="3" t="s">
        <v>319</v>
      </c>
      <c r="Y2623" s="3" t="s">
        <v>11826</v>
      </c>
      <c r="Z2623" s="3" t="s">
        <v>52</v>
      </c>
      <c r="AA2623" s="3"/>
      <c r="AB2623" s="3"/>
      <c r="AC2623" s="3" t="str">
        <f>HYPERLINK("https://knigipp.ru/api/getInfo/image/62304acf-fa2d-11e8-a215-ac1f6b442184")</f>
        <v>https://knigipp.ru/api/getInfo/image/62304acf-fa2d-11e8-a215-ac1f6b442184</v>
      </c>
      <c r="AD2623" s="32">
        <v>8</v>
      </c>
      <c r="AE2623" s="3"/>
      <c r="AF2623" s="3" t="s">
        <v>127</v>
      </c>
      <c r="AG2623" s="3"/>
      <c r="AH2623" s="3" t="s">
        <v>56</v>
      </c>
      <c r="AI2623" s="3"/>
      <c r="AJ2623" s="3" t="s">
        <v>11827</v>
      </c>
      <c r="AK2623" s="3" t="str">
        <f>HYPERLINK("https://knigipp.ru/api/getInfo/item/62304acf-fa2d-11e8-a215-ac1f6b442184")</f>
        <v>https://knigipp.ru/api/getInfo/item/62304acf-fa2d-11e8-a215-ac1f6b442184</v>
      </c>
      <c r="AL2623" s="3" t="s">
        <v>11812</v>
      </c>
    </row>
    <row r="2624" spans="1:38" ht="21" customHeight="1" outlineLevel="4" x14ac:dyDescent="0.2">
      <c r="A2624" s="39">
        <v>2037</v>
      </c>
      <c r="B2624" s="3" t="s">
        <v>11828</v>
      </c>
      <c r="C2624" s="49" t="s">
        <v>11829</v>
      </c>
      <c r="D2624" s="49"/>
      <c r="E2624" s="49"/>
      <c r="F2624" s="49"/>
      <c r="G2624" s="4" t="s">
        <v>11830</v>
      </c>
      <c r="H2624" s="8"/>
      <c r="I2624" s="9" t="s">
        <v>11809</v>
      </c>
      <c r="J2624" s="10"/>
      <c r="K2624" s="11">
        <v>10</v>
      </c>
      <c r="L2624" s="10"/>
      <c r="M2624" s="10" t="s">
        <v>47</v>
      </c>
      <c r="N2624" s="10"/>
      <c r="O2624" s="2">
        <v>2</v>
      </c>
      <c r="P2624" s="17">
        <f>437*(1-S3/100)</f>
        <v>437</v>
      </c>
      <c r="Q2624" s="18"/>
      <c r="R2624" s="10">
        <f t="shared" si="118"/>
        <v>0</v>
      </c>
      <c r="S2624" s="19">
        <f>0.237*Q2624</f>
        <v>0</v>
      </c>
      <c r="T2624" s="20">
        <f>0.00075*Q2624</f>
        <v>0</v>
      </c>
      <c r="U2624" s="21"/>
      <c r="V2624" s="22" t="s">
        <v>11831</v>
      </c>
      <c r="W2624" s="22" t="s">
        <v>49</v>
      </c>
      <c r="X2624" s="3" t="s">
        <v>4754</v>
      </c>
      <c r="Y2624" s="3" t="s">
        <v>11832</v>
      </c>
      <c r="Z2624" s="3" t="s">
        <v>52</v>
      </c>
      <c r="AA2624" s="3"/>
      <c r="AB2624" s="3"/>
      <c r="AC2624" s="3" t="str">
        <f>HYPERLINK("https://knigipp.ru/api/getInfo/image/bc8ef532-9e96-11eb-a201-ac1f6b442185")</f>
        <v>https://knigipp.ru/api/getInfo/image/bc8ef532-9e96-11eb-a201-ac1f6b442185</v>
      </c>
      <c r="AD2624" s="32">
        <v>8</v>
      </c>
      <c r="AE2624" s="3"/>
      <c r="AF2624" s="3" t="s">
        <v>127</v>
      </c>
      <c r="AG2624" s="3"/>
      <c r="AH2624" s="3" t="s">
        <v>56</v>
      </c>
      <c r="AI2624" s="3"/>
      <c r="AJ2624" s="3"/>
      <c r="AK2624" s="3" t="str">
        <f>HYPERLINK("https://knigipp.ru/api/getInfo/item/bc8ef532-9e96-11eb-a201-ac1f6b442185")</f>
        <v>https://knigipp.ru/api/getInfo/item/bc8ef532-9e96-11eb-a201-ac1f6b442185</v>
      </c>
      <c r="AL2624" s="3" t="s">
        <v>11812</v>
      </c>
    </row>
    <row r="2625" spans="1:38" ht="21" customHeight="1" outlineLevel="4" x14ac:dyDescent="0.2">
      <c r="A2625" s="39">
        <v>2038</v>
      </c>
      <c r="B2625" s="3" t="s">
        <v>11833</v>
      </c>
      <c r="C2625" s="49" t="s">
        <v>11834</v>
      </c>
      <c r="D2625" s="49"/>
      <c r="E2625" s="49"/>
      <c r="F2625" s="49"/>
      <c r="G2625" s="4" t="s">
        <v>11835</v>
      </c>
      <c r="H2625" s="8"/>
      <c r="I2625" s="9" t="s">
        <v>11836</v>
      </c>
      <c r="J2625" s="10"/>
      <c r="K2625" s="11">
        <v>10</v>
      </c>
      <c r="L2625" s="10"/>
      <c r="M2625" s="10" t="s">
        <v>47</v>
      </c>
      <c r="N2625" s="10"/>
      <c r="O2625" s="2">
        <v>2</v>
      </c>
      <c r="P2625" s="17">
        <f>349*(1-S3/100)</f>
        <v>349</v>
      </c>
      <c r="Q2625" s="18"/>
      <c r="R2625" s="10">
        <f t="shared" si="118"/>
        <v>0</v>
      </c>
      <c r="S2625" s="19">
        <f>0.238*Q2625</f>
        <v>0</v>
      </c>
      <c r="T2625" s="20">
        <f>0.00088*Q2625</f>
        <v>0</v>
      </c>
      <c r="U2625" s="21"/>
      <c r="V2625" s="22" t="s">
        <v>11837</v>
      </c>
      <c r="W2625" s="22" t="s">
        <v>49</v>
      </c>
      <c r="X2625" s="3"/>
      <c r="Y2625" s="3" t="s">
        <v>11838</v>
      </c>
      <c r="Z2625" s="3" t="s">
        <v>52</v>
      </c>
      <c r="AA2625" s="3"/>
      <c r="AB2625" s="3"/>
      <c r="AC2625" s="3" t="str">
        <f>HYPERLINK("https://knigipp.ru/api/getInfo/image/4dccb694-c7c9-11ec-a212-ac1f6b442185")</f>
        <v>https://knigipp.ru/api/getInfo/image/4dccb694-c7c9-11ec-a212-ac1f6b442185</v>
      </c>
      <c r="AD2625" s="32">
        <v>8</v>
      </c>
      <c r="AE2625" s="3"/>
      <c r="AF2625" s="3" t="s">
        <v>127</v>
      </c>
      <c r="AG2625" s="3"/>
      <c r="AH2625" s="3" t="s">
        <v>56</v>
      </c>
      <c r="AI2625" s="3"/>
      <c r="AJ2625" s="3"/>
      <c r="AK2625" s="3" t="str">
        <f>HYPERLINK("https://knigipp.ru/api/getInfo/item/4dccb694-c7c9-11ec-a212-ac1f6b442185")</f>
        <v>https://knigipp.ru/api/getInfo/item/4dccb694-c7c9-11ec-a212-ac1f6b442185</v>
      </c>
      <c r="AL2625" s="3" t="s">
        <v>11812</v>
      </c>
    </row>
    <row r="2626" spans="1:38" ht="21" customHeight="1" outlineLevel="4" x14ac:dyDescent="0.2">
      <c r="A2626" s="39">
        <v>2039</v>
      </c>
      <c r="B2626" s="3" t="s">
        <v>11839</v>
      </c>
      <c r="C2626" s="49" t="s">
        <v>11840</v>
      </c>
      <c r="D2626" s="49"/>
      <c r="E2626" s="49"/>
      <c r="F2626" s="49"/>
      <c r="G2626" s="4" t="s">
        <v>11841</v>
      </c>
      <c r="H2626" s="8"/>
      <c r="I2626" s="9" t="s">
        <v>11842</v>
      </c>
      <c r="J2626" s="10"/>
      <c r="K2626" s="11">
        <v>10</v>
      </c>
      <c r="L2626" s="10"/>
      <c r="M2626" s="10" t="s">
        <v>47</v>
      </c>
      <c r="N2626" s="10"/>
      <c r="O2626" s="2">
        <v>2</v>
      </c>
      <c r="P2626" s="17">
        <f>437*(1-S3/100)</f>
        <v>437</v>
      </c>
      <c r="Q2626" s="18"/>
      <c r="R2626" s="10">
        <f t="shared" si="118"/>
        <v>0</v>
      </c>
      <c r="S2626" s="19">
        <f>0.237*Q2626</f>
        <v>0</v>
      </c>
      <c r="T2626" s="20">
        <f>0.00075*Q2626</f>
        <v>0</v>
      </c>
      <c r="U2626" s="21"/>
      <c r="V2626" s="22" t="s">
        <v>11843</v>
      </c>
      <c r="W2626" s="22" t="s">
        <v>49</v>
      </c>
      <c r="X2626" s="3"/>
      <c r="Y2626" s="3" t="s">
        <v>11844</v>
      </c>
      <c r="Z2626" s="3" t="s">
        <v>52</v>
      </c>
      <c r="AA2626" s="3"/>
      <c r="AB2626" s="3"/>
      <c r="AC2626" s="3" t="str">
        <f>HYPERLINK("https://knigipp.ru/api/getInfo/image/f0561254-4a0a-11ed-a216-ac1f6b442185")</f>
        <v>https://knigipp.ru/api/getInfo/image/f0561254-4a0a-11ed-a216-ac1f6b442185</v>
      </c>
      <c r="AD2626" s="32">
        <v>8</v>
      </c>
      <c r="AE2626" s="3" t="s">
        <v>54</v>
      </c>
      <c r="AF2626" s="3" t="s">
        <v>127</v>
      </c>
      <c r="AG2626" s="3"/>
      <c r="AH2626" s="3" t="s">
        <v>56</v>
      </c>
      <c r="AI2626" s="3"/>
      <c r="AJ2626" s="3"/>
      <c r="AK2626" s="3" t="str">
        <f>HYPERLINK("https://knigipp.ru/api/getInfo/item/f0561254-4a0a-11ed-a216-ac1f6b442185")</f>
        <v>https://knigipp.ru/api/getInfo/item/f0561254-4a0a-11ed-a216-ac1f6b442185</v>
      </c>
      <c r="AL2626" s="3" t="s">
        <v>11812</v>
      </c>
    </row>
    <row r="2627" spans="1:38" ht="23.1" customHeight="1" outlineLevel="3" x14ac:dyDescent="0.2">
      <c r="A2627" s="48" t="s">
        <v>11845</v>
      </c>
      <c r="B2627" s="48"/>
      <c r="C2627" s="48"/>
      <c r="D2627" s="48"/>
      <c r="E2627" s="48"/>
      <c r="F2627" s="48"/>
    </row>
    <row r="2628" spans="1:38" ht="21" customHeight="1" outlineLevel="4" x14ac:dyDescent="0.2">
      <c r="A2628" s="39">
        <v>2040</v>
      </c>
      <c r="B2628" s="3" t="s">
        <v>11846</v>
      </c>
      <c r="C2628" s="49" t="s">
        <v>11847</v>
      </c>
      <c r="D2628" s="49"/>
      <c r="E2628" s="49"/>
      <c r="F2628" s="49"/>
      <c r="G2628" s="4" t="s">
        <v>11848</v>
      </c>
      <c r="H2628" s="8"/>
      <c r="I2628" s="9" t="s">
        <v>11849</v>
      </c>
      <c r="J2628" s="10"/>
      <c r="K2628" s="11">
        <v>6</v>
      </c>
      <c r="L2628" s="10"/>
      <c r="M2628" s="10" t="s">
        <v>47</v>
      </c>
      <c r="N2628" s="10"/>
      <c r="O2628" s="2">
        <v>1</v>
      </c>
      <c r="P2628" s="17">
        <f>787*(1-S3/100)</f>
        <v>787</v>
      </c>
      <c r="Q2628" s="18"/>
      <c r="R2628" s="10">
        <f>P2628*Q2628</f>
        <v>0</v>
      </c>
      <c r="S2628" s="19">
        <f>0.394*Q2628</f>
        <v>0</v>
      </c>
      <c r="T2628" s="20">
        <f>0.00224*Q2628</f>
        <v>0</v>
      </c>
      <c r="U2628" s="21"/>
      <c r="V2628" s="22" t="s">
        <v>11850</v>
      </c>
      <c r="W2628" s="22" t="s">
        <v>49</v>
      </c>
      <c r="X2628" s="3" t="s">
        <v>11851</v>
      </c>
      <c r="Y2628" s="3" t="s">
        <v>11852</v>
      </c>
      <c r="Z2628" s="3" t="s">
        <v>52</v>
      </c>
      <c r="AA2628" s="3"/>
      <c r="AB2628" s="3"/>
      <c r="AC2628" s="3" t="str">
        <f>HYPERLINK("https://knigipp.ru/api/getInfo/image/de451012-25c7-11f0-a279-00155d82e908")</f>
        <v>https://knigipp.ru/api/getInfo/image/de451012-25c7-11f0-a279-00155d82e908</v>
      </c>
      <c r="AD2628" s="32">
        <v>32</v>
      </c>
      <c r="AE2628" s="3" t="s">
        <v>54</v>
      </c>
      <c r="AF2628" s="3" t="s">
        <v>127</v>
      </c>
      <c r="AG2628" s="3"/>
      <c r="AH2628" s="3" t="s">
        <v>56</v>
      </c>
      <c r="AI2628" s="3"/>
      <c r="AJ2628" s="3"/>
      <c r="AK2628" s="3" t="str">
        <f>HYPERLINK("https://knigipp.ru/api/getInfo/item/de451012-25c7-11f0-a279-00155d82e908")</f>
        <v>https://knigipp.ru/api/getInfo/item/de451012-25c7-11f0-a279-00155d82e908</v>
      </c>
      <c r="AL2628" s="3" t="s">
        <v>11853</v>
      </c>
    </row>
    <row r="2629" spans="1:38" ht="21" customHeight="1" outlineLevel="4" x14ac:dyDescent="0.2">
      <c r="A2629" s="39">
        <v>2041</v>
      </c>
      <c r="B2629" s="3" t="s">
        <v>11854</v>
      </c>
      <c r="C2629" s="49" t="s">
        <v>11855</v>
      </c>
      <c r="D2629" s="49"/>
      <c r="E2629" s="49"/>
      <c r="F2629" s="49"/>
      <c r="G2629" s="4" t="s">
        <v>11856</v>
      </c>
      <c r="H2629" s="8"/>
      <c r="I2629" s="9" t="s">
        <v>11857</v>
      </c>
      <c r="J2629" s="10"/>
      <c r="K2629" s="11">
        <v>6</v>
      </c>
      <c r="L2629" s="10"/>
      <c r="M2629" s="10" t="s">
        <v>47</v>
      </c>
      <c r="N2629" s="10"/>
      <c r="O2629" s="2">
        <v>1</v>
      </c>
      <c r="P2629" s="17">
        <f>787*(1-S3/100)</f>
        <v>787</v>
      </c>
      <c r="Q2629" s="18"/>
      <c r="R2629" s="10">
        <f>P2629*Q2629</f>
        <v>0</v>
      </c>
      <c r="S2629" s="19">
        <f>0.398*Q2629</f>
        <v>0</v>
      </c>
      <c r="T2629" s="20">
        <f>0.00253*Q2629</f>
        <v>0</v>
      </c>
      <c r="U2629" s="21"/>
      <c r="V2629" s="22" t="s">
        <v>11858</v>
      </c>
      <c r="W2629" s="22" t="s">
        <v>49</v>
      </c>
      <c r="X2629" s="3" t="s">
        <v>4754</v>
      </c>
      <c r="Y2629" s="3" t="s">
        <v>11859</v>
      </c>
      <c r="Z2629" s="3" t="s">
        <v>52</v>
      </c>
      <c r="AA2629" s="3"/>
      <c r="AB2629" s="3"/>
      <c r="AC2629" s="3" t="str">
        <f>HYPERLINK("https://knigipp.ru/api/getInfo/image/955be91c-55a7-11f0-a27e-00155d82e908")</f>
        <v>https://knigipp.ru/api/getInfo/image/955be91c-55a7-11f0-a27e-00155d82e908</v>
      </c>
      <c r="AD2629" s="32">
        <v>32</v>
      </c>
      <c r="AE2629" s="3" t="s">
        <v>54</v>
      </c>
      <c r="AF2629" s="3" t="s">
        <v>127</v>
      </c>
      <c r="AG2629" s="3"/>
      <c r="AH2629" s="3" t="s">
        <v>56</v>
      </c>
      <c r="AI2629" s="3"/>
      <c r="AJ2629" s="3"/>
      <c r="AK2629" s="3" t="str">
        <f>HYPERLINK("https://knigipp.ru/api/getInfo/item/955be91c-55a7-11f0-a27e-00155d82e908")</f>
        <v>https://knigipp.ru/api/getInfo/item/955be91c-55a7-11f0-a27e-00155d82e908</v>
      </c>
      <c r="AL2629" s="3" t="s">
        <v>11853</v>
      </c>
    </row>
    <row r="2630" spans="1:38" ht="21" customHeight="1" outlineLevel="4" x14ac:dyDescent="0.2">
      <c r="A2630" s="39">
        <v>2042</v>
      </c>
      <c r="B2630" s="3" t="s">
        <v>11860</v>
      </c>
      <c r="C2630" s="49" t="s">
        <v>11861</v>
      </c>
      <c r="D2630" s="49"/>
      <c r="E2630" s="49"/>
      <c r="F2630" s="49"/>
      <c r="G2630" s="4" t="s">
        <v>11862</v>
      </c>
      <c r="H2630" s="8"/>
      <c r="I2630" s="9" t="s">
        <v>11863</v>
      </c>
      <c r="J2630" s="10"/>
      <c r="K2630" s="11">
        <v>6</v>
      </c>
      <c r="L2630" s="10"/>
      <c r="M2630" s="10" t="s">
        <v>47</v>
      </c>
      <c r="N2630" s="10"/>
      <c r="O2630" s="2">
        <v>1</v>
      </c>
      <c r="P2630" s="17">
        <f>787*(1-S3/100)</f>
        <v>787</v>
      </c>
      <c r="Q2630" s="18"/>
      <c r="R2630" s="10">
        <f>P2630*Q2630</f>
        <v>0</v>
      </c>
      <c r="S2630" s="19">
        <f>0.401*Q2630</f>
        <v>0</v>
      </c>
      <c r="T2630" s="30">
        <f>0.0022*Q2630</f>
        <v>0</v>
      </c>
      <c r="U2630" s="21"/>
      <c r="V2630" s="22" t="s">
        <v>11864</v>
      </c>
      <c r="W2630" s="22" t="s">
        <v>49</v>
      </c>
      <c r="X2630" s="3" t="s">
        <v>4754</v>
      </c>
      <c r="Y2630" s="3" t="s">
        <v>11865</v>
      </c>
      <c r="Z2630" s="3" t="s">
        <v>52</v>
      </c>
      <c r="AA2630" s="3"/>
      <c r="AB2630" s="3"/>
      <c r="AC2630" s="3" t="str">
        <f>HYPERLINK("https://knigipp.ru/api/getInfo/image/d7255add-4a0d-11ed-a216-ac1f6b442185")</f>
        <v>https://knigipp.ru/api/getInfo/image/d7255add-4a0d-11ed-a216-ac1f6b442185</v>
      </c>
      <c r="AD2630" s="32">
        <v>32</v>
      </c>
      <c r="AE2630" s="3" t="s">
        <v>54</v>
      </c>
      <c r="AF2630" s="3" t="s">
        <v>127</v>
      </c>
      <c r="AG2630" s="3"/>
      <c r="AH2630" s="3" t="s">
        <v>56</v>
      </c>
      <c r="AI2630" s="3"/>
      <c r="AJ2630" s="3"/>
      <c r="AK2630" s="3" t="str">
        <f>HYPERLINK("https://knigipp.ru/api/getInfo/item/d7255add-4a0d-11ed-a216-ac1f6b442185")</f>
        <v>https://knigipp.ru/api/getInfo/item/d7255add-4a0d-11ed-a216-ac1f6b442185</v>
      </c>
      <c r="AL2630" s="3" t="s">
        <v>11853</v>
      </c>
    </row>
    <row r="2631" spans="1:38" ht="21" customHeight="1" outlineLevel="4" x14ac:dyDescent="0.2">
      <c r="A2631" s="39">
        <v>2043</v>
      </c>
      <c r="B2631" s="3" t="s">
        <v>11866</v>
      </c>
      <c r="C2631" s="49" t="s">
        <v>11867</v>
      </c>
      <c r="D2631" s="49"/>
      <c r="E2631" s="49"/>
      <c r="F2631" s="49"/>
      <c r="G2631" s="4" t="s">
        <v>11868</v>
      </c>
      <c r="H2631" s="8"/>
      <c r="I2631" s="9" t="s">
        <v>11869</v>
      </c>
      <c r="J2631" s="10"/>
      <c r="K2631" s="11">
        <v>6</v>
      </c>
      <c r="L2631" s="10"/>
      <c r="M2631" s="10" t="s">
        <v>47</v>
      </c>
      <c r="N2631" s="10"/>
      <c r="O2631" s="2">
        <v>1</v>
      </c>
      <c r="P2631" s="17">
        <f>787*(1-S3/100)</f>
        <v>787</v>
      </c>
      <c r="Q2631" s="18"/>
      <c r="R2631" s="10">
        <f>P2631*Q2631</f>
        <v>0</v>
      </c>
      <c r="S2631" s="19">
        <f>0.465*Q2631</f>
        <v>0</v>
      </c>
      <c r="T2631" s="30">
        <f>0.0017*Q2631</f>
        <v>0</v>
      </c>
      <c r="U2631" s="21"/>
      <c r="V2631" s="22" t="s">
        <v>11870</v>
      </c>
      <c r="W2631" s="22" t="s">
        <v>49</v>
      </c>
      <c r="X2631" s="3"/>
      <c r="Y2631" s="3" t="s">
        <v>11871</v>
      </c>
      <c r="Z2631" s="3" t="s">
        <v>52</v>
      </c>
      <c r="AA2631" s="3"/>
      <c r="AB2631" s="3"/>
      <c r="AC2631" s="3" t="str">
        <f>HYPERLINK("https://knigipp.ru/api/getInfo/image/70ec336d-4a0e-11ed-a216-ac1f6b442185")</f>
        <v>https://knigipp.ru/api/getInfo/image/70ec336d-4a0e-11ed-a216-ac1f6b442185</v>
      </c>
      <c r="AD2631" s="32">
        <v>32</v>
      </c>
      <c r="AE2631" s="3" t="s">
        <v>54</v>
      </c>
      <c r="AF2631" s="3" t="s">
        <v>127</v>
      </c>
      <c r="AG2631" s="3"/>
      <c r="AH2631" s="3" t="s">
        <v>56</v>
      </c>
      <c r="AI2631" s="3"/>
      <c r="AJ2631" s="3"/>
      <c r="AK2631" s="3" t="str">
        <f>HYPERLINK("https://knigipp.ru/api/getInfo/item/70ec336d-4a0e-11ed-a216-ac1f6b442185")</f>
        <v>https://knigipp.ru/api/getInfo/item/70ec336d-4a0e-11ed-a216-ac1f6b442185</v>
      </c>
      <c r="AL2631" s="3" t="s">
        <v>11853</v>
      </c>
    </row>
    <row r="2632" spans="1:38" ht="21" customHeight="1" outlineLevel="4" x14ac:dyDescent="0.2">
      <c r="A2632" s="39">
        <v>2044</v>
      </c>
      <c r="B2632" s="3" t="s">
        <v>11872</v>
      </c>
      <c r="C2632" s="49" t="s">
        <v>11873</v>
      </c>
      <c r="D2632" s="49"/>
      <c r="E2632" s="49"/>
      <c r="F2632" s="49"/>
      <c r="G2632" s="4" t="s">
        <v>11874</v>
      </c>
      <c r="H2632" s="8"/>
      <c r="I2632" s="9" t="s">
        <v>11875</v>
      </c>
      <c r="J2632" s="10"/>
      <c r="K2632" s="11">
        <v>6</v>
      </c>
      <c r="L2632" s="10"/>
      <c r="M2632" s="10" t="s">
        <v>47</v>
      </c>
      <c r="N2632" s="10"/>
      <c r="O2632" s="2">
        <v>1</v>
      </c>
      <c r="P2632" s="17">
        <f>787*(1-S3/100)</f>
        <v>787</v>
      </c>
      <c r="Q2632" s="18"/>
      <c r="R2632" s="10">
        <f>P2632*Q2632</f>
        <v>0</v>
      </c>
      <c r="S2632" s="19">
        <f>0.388*Q2632</f>
        <v>0</v>
      </c>
      <c r="T2632" s="20">
        <f>0.00284*Q2632</f>
        <v>0</v>
      </c>
      <c r="U2632" s="21"/>
      <c r="V2632" s="22" t="s">
        <v>11876</v>
      </c>
      <c r="W2632" s="22" t="s">
        <v>49</v>
      </c>
      <c r="X2632" s="3"/>
      <c r="Y2632" s="3" t="s">
        <v>11877</v>
      </c>
      <c r="Z2632" s="3" t="s">
        <v>52</v>
      </c>
      <c r="AA2632" s="3"/>
      <c r="AB2632" s="3"/>
      <c r="AC2632" s="3" t="str">
        <f>HYPERLINK("https://knigipp.ru/api/getInfo/image/9feffe5d-7fd2-11ef-a265-00155d82e908")</f>
        <v>https://knigipp.ru/api/getInfo/image/9feffe5d-7fd2-11ef-a265-00155d82e908</v>
      </c>
      <c r="AD2632" s="32">
        <v>32</v>
      </c>
      <c r="AE2632" s="3" t="s">
        <v>54</v>
      </c>
      <c r="AF2632" s="3" t="s">
        <v>127</v>
      </c>
      <c r="AG2632" s="3"/>
      <c r="AH2632" s="3" t="s">
        <v>56</v>
      </c>
      <c r="AI2632" s="3"/>
      <c r="AJ2632" s="3"/>
      <c r="AK2632" s="3" t="str">
        <f>HYPERLINK("https://knigipp.ru/api/getInfo/item/9feffe5d-7fd2-11ef-a265-00155d82e908")</f>
        <v>https://knigipp.ru/api/getInfo/item/9feffe5d-7fd2-11ef-a265-00155d82e908</v>
      </c>
      <c r="AL2632" s="3" t="s">
        <v>11878</v>
      </c>
    </row>
    <row r="2633" spans="1:38" ht="23.1" customHeight="1" outlineLevel="2" x14ac:dyDescent="0.2">
      <c r="A2633" s="47" t="s">
        <v>11879</v>
      </c>
      <c r="B2633" s="47"/>
      <c r="C2633" s="47"/>
      <c r="D2633" s="47"/>
      <c r="E2633" s="47"/>
      <c r="F2633" s="47"/>
    </row>
    <row r="2634" spans="1:38" ht="23.1" customHeight="1" outlineLevel="3" x14ac:dyDescent="0.2">
      <c r="A2634" s="48" t="s">
        <v>11880</v>
      </c>
      <c r="B2634" s="48"/>
      <c r="C2634" s="48"/>
      <c r="D2634" s="48"/>
      <c r="E2634" s="48"/>
      <c r="F2634" s="48"/>
    </row>
    <row r="2635" spans="1:38" ht="21" customHeight="1" outlineLevel="4" x14ac:dyDescent="0.2">
      <c r="A2635" s="39">
        <v>2045</v>
      </c>
      <c r="B2635" s="3" t="s">
        <v>11881</v>
      </c>
      <c r="C2635" s="49" t="s">
        <v>11882</v>
      </c>
      <c r="D2635" s="49"/>
      <c r="E2635" s="49"/>
      <c r="F2635" s="49"/>
      <c r="G2635" s="4" t="s">
        <v>11883</v>
      </c>
      <c r="H2635" s="8"/>
      <c r="I2635" s="9"/>
      <c r="J2635" s="10"/>
      <c r="K2635" s="11">
        <v>40</v>
      </c>
      <c r="L2635" s="10"/>
      <c r="M2635" s="10" t="s">
        <v>47</v>
      </c>
      <c r="N2635" s="10"/>
      <c r="O2635" s="2">
        <v>5</v>
      </c>
      <c r="P2635" s="17">
        <f>169*(1-S3/100)</f>
        <v>169</v>
      </c>
      <c r="Q2635" s="18"/>
      <c r="R2635" s="10">
        <f t="shared" ref="R2635:R2671" si="119">P2635*Q2635</f>
        <v>0</v>
      </c>
      <c r="S2635" s="19">
        <f>0.112*Q2635</f>
        <v>0</v>
      </c>
      <c r="T2635" s="20">
        <f>0.00022*Q2635</f>
        <v>0</v>
      </c>
      <c r="U2635" s="21"/>
      <c r="V2635" s="22" t="s">
        <v>11884</v>
      </c>
      <c r="W2635" s="22" t="s">
        <v>49</v>
      </c>
      <c r="X2635" s="3"/>
      <c r="Y2635" s="3"/>
      <c r="Z2635" s="3" t="s">
        <v>52</v>
      </c>
      <c r="AA2635" s="3"/>
      <c r="AB2635" s="3"/>
      <c r="AC2635" s="3" t="str">
        <f>HYPERLINK("https://knigipp.ru/api/getInfo/image/f75d283d-cc64-11f0-a28a-00155d82e908")</f>
        <v>https://knigipp.ru/api/getInfo/image/f75d283d-cc64-11f0-a28a-00155d82e908</v>
      </c>
      <c r="AD2635" s="32">
        <v>10</v>
      </c>
      <c r="AE2635" s="3" t="s">
        <v>54</v>
      </c>
      <c r="AF2635" s="3" t="s">
        <v>209</v>
      </c>
      <c r="AG2635" s="3"/>
      <c r="AH2635" s="3" t="s">
        <v>56</v>
      </c>
      <c r="AI2635" s="3"/>
      <c r="AJ2635" s="3" t="s">
        <v>11885</v>
      </c>
      <c r="AK2635" s="3" t="str">
        <f>HYPERLINK("https://knigipp.ru/api/getInfo/item/f75d283d-cc64-11f0-a28a-00155d82e908")</f>
        <v>https://knigipp.ru/api/getInfo/item/f75d283d-cc64-11f0-a28a-00155d82e908</v>
      </c>
      <c r="AL2635" s="3" t="s">
        <v>11886</v>
      </c>
    </row>
    <row r="2636" spans="1:38" ht="21" customHeight="1" outlineLevel="4" x14ac:dyDescent="0.2">
      <c r="A2636" s="39">
        <v>2046</v>
      </c>
      <c r="B2636" s="3" t="s">
        <v>11887</v>
      </c>
      <c r="C2636" s="49" t="s">
        <v>11888</v>
      </c>
      <c r="D2636" s="49"/>
      <c r="E2636" s="49"/>
      <c r="F2636" s="49"/>
      <c r="G2636" s="4" t="s">
        <v>11889</v>
      </c>
      <c r="H2636" s="8"/>
      <c r="I2636" s="9" t="s">
        <v>11890</v>
      </c>
      <c r="J2636" s="10"/>
      <c r="K2636" s="11">
        <v>40</v>
      </c>
      <c r="L2636" s="10"/>
      <c r="M2636" s="10" t="s">
        <v>47</v>
      </c>
      <c r="N2636" s="10"/>
      <c r="O2636" s="2">
        <v>5</v>
      </c>
      <c r="P2636" s="17">
        <f>169*(1-S3/100)</f>
        <v>169</v>
      </c>
      <c r="Q2636" s="18"/>
      <c r="R2636" s="10">
        <f t="shared" si="119"/>
        <v>0</v>
      </c>
      <c r="S2636" s="19">
        <f>0.113*Q2636</f>
        <v>0</v>
      </c>
      <c r="T2636" s="20">
        <f>0.00018*Q2636</f>
        <v>0</v>
      </c>
      <c r="U2636" s="21"/>
      <c r="V2636" s="22" t="s">
        <v>11891</v>
      </c>
      <c r="W2636" s="22" t="s">
        <v>49</v>
      </c>
      <c r="X2636" s="3" t="s">
        <v>11892</v>
      </c>
      <c r="Y2636" s="3" t="s">
        <v>11893</v>
      </c>
      <c r="Z2636" s="3" t="s">
        <v>52</v>
      </c>
      <c r="AA2636" s="3"/>
      <c r="AB2636" s="3"/>
      <c r="AC2636" s="3" t="str">
        <f>HYPERLINK("https://knigipp.ru/api/getInfo/image/96951a38-9b43-11ee-a256-00155d82e908")</f>
        <v>https://knigipp.ru/api/getInfo/image/96951a38-9b43-11ee-a256-00155d82e908</v>
      </c>
      <c r="AD2636" s="32">
        <v>10</v>
      </c>
      <c r="AE2636" s="3"/>
      <c r="AF2636" s="3" t="s">
        <v>209</v>
      </c>
      <c r="AG2636" s="3"/>
      <c r="AH2636" s="3" t="s">
        <v>56</v>
      </c>
      <c r="AI2636" s="3"/>
      <c r="AJ2636" s="3" t="s">
        <v>11885</v>
      </c>
      <c r="AK2636" s="3" t="str">
        <f>HYPERLINK("https://knigipp.ru/api/getInfo/item/96951a38-9b43-11ee-a256-00155d82e908")</f>
        <v>https://knigipp.ru/api/getInfo/item/96951a38-9b43-11ee-a256-00155d82e908</v>
      </c>
      <c r="AL2636" s="3" t="s">
        <v>11886</v>
      </c>
    </row>
    <row r="2637" spans="1:38" ht="21" customHeight="1" outlineLevel="4" x14ac:dyDescent="0.2">
      <c r="A2637" s="39">
        <v>2047</v>
      </c>
      <c r="B2637" s="3" t="s">
        <v>11894</v>
      </c>
      <c r="C2637" s="49" t="s">
        <v>11895</v>
      </c>
      <c r="D2637" s="49"/>
      <c r="E2637" s="49"/>
      <c r="F2637" s="49"/>
      <c r="G2637" s="4" t="s">
        <v>11896</v>
      </c>
      <c r="H2637" s="8"/>
      <c r="I2637" s="9" t="s">
        <v>11890</v>
      </c>
      <c r="J2637" s="10"/>
      <c r="K2637" s="11">
        <v>40</v>
      </c>
      <c r="L2637" s="10"/>
      <c r="M2637" s="10" t="s">
        <v>47</v>
      </c>
      <c r="N2637" s="10"/>
      <c r="O2637" s="2">
        <v>5</v>
      </c>
      <c r="P2637" s="17">
        <f>169*(1-S3/100)</f>
        <v>169</v>
      </c>
      <c r="Q2637" s="18"/>
      <c r="R2637" s="10">
        <f t="shared" si="119"/>
        <v>0</v>
      </c>
      <c r="S2637" s="28">
        <f>0.11*Q2637</f>
        <v>0</v>
      </c>
      <c r="T2637" s="20">
        <f>0.00018*Q2637</f>
        <v>0</v>
      </c>
      <c r="U2637" s="21"/>
      <c r="V2637" s="22" t="s">
        <v>11897</v>
      </c>
      <c r="W2637" s="22" t="s">
        <v>49</v>
      </c>
      <c r="X2637" s="3"/>
      <c r="Y2637" s="3"/>
      <c r="Z2637" s="3" t="s">
        <v>52</v>
      </c>
      <c r="AA2637" s="3"/>
      <c r="AB2637" s="3"/>
      <c r="AC2637" s="3" t="str">
        <f>HYPERLINK("https://knigipp.ru/api/getInfo/image/204247bb-cc65-11f0-a28a-00155d82e908")</f>
        <v>https://knigipp.ru/api/getInfo/image/204247bb-cc65-11f0-a28a-00155d82e908</v>
      </c>
      <c r="AD2637" s="32">
        <v>10</v>
      </c>
      <c r="AE2637" s="3" t="s">
        <v>54</v>
      </c>
      <c r="AF2637" s="3" t="s">
        <v>209</v>
      </c>
      <c r="AG2637" s="3"/>
      <c r="AH2637" s="3" t="s">
        <v>56</v>
      </c>
      <c r="AI2637" s="3"/>
      <c r="AJ2637" s="3" t="s">
        <v>11885</v>
      </c>
      <c r="AK2637" s="3" t="str">
        <f>HYPERLINK("https://knigipp.ru/api/getInfo/item/204247bb-cc65-11f0-a28a-00155d82e908")</f>
        <v>https://knigipp.ru/api/getInfo/item/204247bb-cc65-11f0-a28a-00155d82e908</v>
      </c>
      <c r="AL2637" s="3" t="s">
        <v>11886</v>
      </c>
    </row>
    <row r="2638" spans="1:38" ht="21" customHeight="1" outlineLevel="4" x14ac:dyDescent="0.2">
      <c r="A2638" s="39">
        <v>2048</v>
      </c>
      <c r="B2638" s="3" t="s">
        <v>11898</v>
      </c>
      <c r="C2638" s="49" t="s">
        <v>11899</v>
      </c>
      <c r="D2638" s="49"/>
      <c r="E2638" s="49"/>
      <c r="F2638" s="49"/>
      <c r="G2638" s="4" t="s">
        <v>11900</v>
      </c>
      <c r="H2638" s="8"/>
      <c r="I2638" s="9" t="s">
        <v>11890</v>
      </c>
      <c r="J2638" s="10"/>
      <c r="K2638" s="11">
        <v>40</v>
      </c>
      <c r="L2638" s="10"/>
      <c r="M2638" s="10" t="s">
        <v>47</v>
      </c>
      <c r="N2638" s="10"/>
      <c r="O2638" s="2">
        <v>5</v>
      </c>
      <c r="P2638" s="17">
        <f>169*(1-S3/100)</f>
        <v>169</v>
      </c>
      <c r="Q2638" s="18"/>
      <c r="R2638" s="10">
        <f t="shared" si="119"/>
        <v>0</v>
      </c>
      <c r="S2638" s="19">
        <f>0.107*Q2638</f>
        <v>0</v>
      </c>
      <c r="T2638" s="20">
        <f>0.00029*Q2638</f>
        <v>0</v>
      </c>
      <c r="U2638" s="21"/>
      <c r="V2638" s="22" t="s">
        <v>11901</v>
      </c>
      <c r="W2638" s="22" t="s">
        <v>49</v>
      </c>
      <c r="X2638" s="3" t="s">
        <v>11892</v>
      </c>
      <c r="Y2638" s="3" t="s">
        <v>11902</v>
      </c>
      <c r="Z2638" s="3" t="s">
        <v>52</v>
      </c>
      <c r="AA2638" s="3"/>
      <c r="AB2638" s="3"/>
      <c r="AC2638" s="3" t="str">
        <f>HYPERLINK("https://knigipp.ru/api/getInfo/image/ba15bc88-9b43-11ee-a256-00155d82e908")</f>
        <v>https://knigipp.ru/api/getInfo/image/ba15bc88-9b43-11ee-a256-00155d82e908</v>
      </c>
      <c r="AD2638" s="32">
        <v>10</v>
      </c>
      <c r="AE2638" s="3"/>
      <c r="AF2638" s="3" t="s">
        <v>209</v>
      </c>
      <c r="AG2638" s="3"/>
      <c r="AH2638" s="3" t="s">
        <v>56</v>
      </c>
      <c r="AI2638" s="3"/>
      <c r="AJ2638" s="3" t="s">
        <v>11885</v>
      </c>
      <c r="AK2638" s="3" t="str">
        <f>HYPERLINK("https://knigipp.ru/api/getInfo/item/ba15bc88-9b43-11ee-a256-00155d82e908")</f>
        <v>https://knigipp.ru/api/getInfo/item/ba15bc88-9b43-11ee-a256-00155d82e908</v>
      </c>
      <c r="AL2638" s="3" t="s">
        <v>11886</v>
      </c>
    </row>
    <row r="2639" spans="1:38" ht="21" customHeight="1" outlineLevel="4" x14ac:dyDescent="0.2">
      <c r="A2639" s="39">
        <v>2049</v>
      </c>
      <c r="B2639" s="3" t="s">
        <v>11903</v>
      </c>
      <c r="C2639" s="49" t="s">
        <v>11904</v>
      </c>
      <c r="D2639" s="49"/>
      <c r="E2639" s="49"/>
      <c r="F2639" s="49"/>
      <c r="G2639" s="4" t="s">
        <v>11905</v>
      </c>
      <c r="H2639" s="8"/>
      <c r="I2639" s="9" t="s">
        <v>11906</v>
      </c>
      <c r="J2639" s="10"/>
      <c r="K2639" s="11">
        <v>40</v>
      </c>
      <c r="L2639" s="10"/>
      <c r="M2639" s="10" t="s">
        <v>47</v>
      </c>
      <c r="N2639" s="10"/>
      <c r="O2639" s="2">
        <v>5</v>
      </c>
      <c r="P2639" s="17">
        <f>169*(1-S3/100)</f>
        <v>169</v>
      </c>
      <c r="Q2639" s="18"/>
      <c r="R2639" s="10">
        <f t="shared" si="119"/>
        <v>0</v>
      </c>
      <c r="S2639" s="19">
        <f>0.108*Q2639</f>
        <v>0</v>
      </c>
      <c r="T2639" s="20">
        <f>0.00044*Q2639</f>
        <v>0</v>
      </c>
      <c r="U2639" s="21"/>
      <c r="V2639" s="22" t="s">
        <v>11907</v>
      </c>
      <c r="W2639" s="22" t="s">
        <v>49</v>
      </c>
      <c r="X2639" s="3" t="s">
        <v>117</v>
      </c>
      <c r="Y2639" s="3"/>
      <c r="Z2639" s="3" t="s">
        <v>52</v>
      </c>
      <c r="AA2639" s="3"/>
      <c r="AB2639" s="3"/>
      <c r="AC2639" s="3" t="str">
        <f>HYPERLINK("https://knigipp.ru/api/getInfo/image/9211fc02-4f3b-11ef-a262-00155d82e908")</f>
        <v>https://knigipp.ru/api/getInfo/image/9211fc02-4f3b-11ef-a262-00155d82e908</v>
      </c>
      <c r="AD2639" s="32">
        <v>10</v>
      </c>
      <c r="AE2639" s="3" t="s">
        <v>54</v>
      </c>
      <c r="AF2639" s="3" t="s">
        <v>209</v>
      </c>
      <c r="AG2639" s="3"/>
      <c r="AH2639" s="3" t="s">
        <v>56</v>
      </c>
      <c r="AI2639" s="3"/>
      <c r="AJ2639" s="3" t="s">
        <v>11885</v>
      </c>
      <c r="AK2639" s="3" t="str">
        <f>HYPERLINK("https://knigipp.ru/api/getInfo/item/9211fc02-4f3b-11ef-a262-00155d82e908")</f>
        <v>https://knigipp.ru/api/getInfo/item/9211fc02-4f3b-11ef-a262-00155d82e908</v>
      </c>
      <c r="AL2639" s="3" t="s">
        <v>11886</v>
      </c>
    </row>
    <row r="2640" spans="1:38" ht="21" customHeight="1" outlineLevel="4" x14ac:dyDescent="0.2">
      <c r="A2640" s="39">
        <v>2050</v>
      </c>
      <c r="B2640" s="3" t="s">
        <v>11908</v>
      </c>
      <c r="C2640" s="49" t="s">
        <v>11909</v>
      </c>
      <c r="D2640" s="49"/>
      <c r="E2640" s="49"/>
      <c r="F2640" s="49"/>
      <c r="G2640" s="4" t="s">
        <v>11910</v>
      </c>
      <c r="H2640" s="8"/>
      <c r="I2640" s="9" t="s">
        <v>11906</v>
      </c>
      <c r="J2640" s="10"/>
      <c r="K2640" s="11">
        <v>40</v>
      </c>
      <c r="L2640" s="10"/>
      <c r="M2640" s="10" t="s">
        <v>47</v>
      </c>
      <c r="N2640" s="10"/>
      <c r="O2640" s="2">
        <v>5</v>
      </c>
      <c r="P2640" s="17">
        <f>169*(1-S3/100)</f>
        <v>169</v>
      </c>
      <c r="Q2640" s="18"/>
      <c r="R2640" s="10">
        <f t="shared" si="119"/>
        <v>0</v>
      </c>
      <c r="S2640" s="19">
        <f>0.113*Q2640</f>
        <v>0</v>
      </c>
      <c r="T2640" s="20">
        <f>0.00039*Q2640</f>
        <v>0</v>
      </c>
      <c r="U2640" s="21"/>
      <c r="V2640" s="22" t="s">
        <v>11911</v>
      </c>
      <c r="W2640" s="22" t="s">
        <v>49</v>
      </c>
      <c r="X2640" s="3" t="s">
        <v>117</v>
      </c>
      <c r="Y2640" s="3" t="s">
        <v>11912</v>
      </c>
      <c r="Z2640" s="3" t="s">
        <v>52</v>
      </c>
      <c r="AA2640" s="3"/>
      <c r="AB2640" s="3"/>
      <c r="AC2640" s="3" t="str">
        <f>HYPERLINK("https://knigipp.ru/api/getInfo/image/34019c5b-4f3b-11ef-a262-00155d82e908")</f>
        <v>https://knigipp.ru/api/getInfo/image/34019c5b-4f3b-11ef-a262-00155d82e908</v>
      </c>
      <c r="AD2640" s="32">
        <v>10</v>
      </c>
      <c r="AE2640" s="3" t="s">
        <v>54</v>
      </c>
      <c r="AF2640" s="3" t="s">
        <v>209</v>
      </c>
      <c r="AG2640" s="3"/>
      <c r="AH2640" s="3" t="s">
        <v>56</v>
      </c>
      <c r="AI2640" s="3"/>
      <c r="AJ2640" s="3" t="s">
        <v>11885</v>
      </c>
      <c r="AK2640" s="3" t="str">
        <f>HYPERLINK("https://knigipp.ru/api/getInfo/item/34019c5b-4f3b-11ef-a262-00155d82e908")</f>
        <v>https://knigipp.ru/api/getInfo/item/34019c5b-4f3b-11ef-a262-00155d82e908</v>
      </c>
      <c r="AL2640" s="3" t="s">
        <v>11886</v>
      </c>
    </row>
    <row r="2641" spans="1:38" ht="21" customHeight="1" outlineLevel="4" x14ac:dyDescent="0.2">
      <c r="A2641" s="39">
        <v>2051</v>
      </c>
      <c r="B2641" s="3" t="s">
        <v>11913</v>
      </c>
      <c r="C2641" s="49" t="s">
        <v>11914</v>
      </c>
      <c r="D2641" s="49"/>
      <c r="E2641" s="49"/>
      <c r="F2641" s="49"/>
      <c r="G2641" s="4" t="s">
        <v>11915</v>
      </c>
      <c r="H2641" s="8"/>
      <c r="I2641" s="9" t="s">
        <v>11906</v>
      </c>
      <c r="J2641" s="10"/>
      <c r="K2641" s="11">
        <v>40</v>
      </c>
      <c r="L2641" s="10"/>
      <c r="M2641" s="10" t="s">
        <v>47</v>
      </c>
      <c r="N2641" s="10"/>
      <c r="O2641" s="2">
        <v>5</v>
      </c>
      <c r="P2641" s="17">
        <f>169*(1-S3/100)</f>
        <v>169</v>
      </c>
      <c r="Q2641" s="18"/>
      <c r="R2641" s="10">
        <f t="shared" si="119"/>
        <v>0</v>
      </c>
      <c r="S2641" s="28">
        <f>0.11*Q2641</f>
        <v>0</v>
      </c>
      <c r="T2641" s="20">
        <f>0.00018*Q2641</f>
        <v>0</v>
      </c>
      <c r="U2641" s="21"/>
      <c r="V2641" s="22" t="s">
        <v>11916</v>
      </c>
      <c r="W2641" s="22" t="s">
        <v>49</v>
      </c>
      <c r="X2641" s="3" t="s">
        <v>117</v>
      </c>
      <c r="Y2641" s="3" t="s">
        <v>11917</v>
      </c>
      <c r="Z2641" s="3" t="s">
        <v>52</v>
      </c>
      <c r="AA2641" s="3"/>
      <c r="AB2641" s="3"/>
      <c r="AC2641" s="3" t="str">
        <f>HYPERLINK("https://knigipp.ru/api/getInfo/image/65734990-4f3b-11ef-a262-00155d82e908")</f>
        <v>https://knigipp.ru/api/getInfo/image/65734990-4f3b-11ef-a262-00155d82e908</v>
      </c>
      <c r="AD2641" s="32">
        <v>10</v>
      </c>
      <c r="AE2641" s="3" t="s">
        <v>54</v>
      </c>
      <c r="AF2641" s="3" t="s">
        <v>209</v>
      </c>
      <c r="AG2641" s="3"/>
      <c r="AH2641" s="3" t="s">
        <v>56</v>
      </c>
      <c r="AI2641" s="3"/>
      <c r="AJ2641" s="3" t="s">
        <v>11885</v>
      </c>
      <c r="AK2641" s="3" t="str">
        <f>HYPERLINK("https://knigipp.ru/api/getInfo/item/65734990-4f3b-11ef-a262-00155d82e908")</f>
        <v>https://knigipp.ru/api/getInfo/item/65734990-4f3b-11ef-a262-00155d82e908</v>
      </c>
      <c r="AL2641" s="3" t="s">
        <v>11886</v>
      </c>
    </row>
    <row r="2642" spans="1:38" ht="21" customHeight="1" outlineLevel="4" x14ac:dyDescent="0.2">
      <c r="A2642" s="39">
        <v>2052</v>
      </c>
      <c r="B2642" s="3" t="s">
        <v>11918</v>
      </c>
      <c r="C2642" s="49" t="s">
        <v>11919</v>
      </c>
      <c r="D2642" s="49"/>
      <c r="E2642" s="49"/>
      <c r="F2642" s="49"/>
      <c r="G2642" s="4" t="s">
        <v>11920</v>
      </c>
      <c r="H2642" s="8"/>
      <c r="I2642" s="9" t="s">
        <v>11906</v>
      </c>
      <c r="J2642" s="10"/>
      <c r="K2642" s="11">
        <v>40</v>
      </c>
      <c r="L2642" s="10"/>
      <c r="M2642" s="10" t="s">
        <v>47</v>
      </c>
      <c r="N2642" s="10"/>
      <c r="O2642" s="2">
        <v>5</v>
      </c>
      <c r="P2642" s="17">
        <f>169*(1-S3/100)</f>
        <v>169</v>
      </c>
      <c r="Q2642" s="18"/>
      <c r="R2642" s="10">
        <f t="shared" si="119"/>
        <v>0</v>
      </c>
      <c r="S2642" s="19">
        <f>0.097*Q2642</f>
        <v>0</v>
      </c>
      <c r="T2642" s="20">
        <f>0.00011*Q2642</f>
        <v>0</v>
      </c>
      <c r="U2642" s="21"/>
      <c r="V2642" s="22" t="s">
        <v>11921</v>
      </c>
      <c r="W2642" s="22" t="s">
        <v>49</v>
      </c>
      <c r="X2642" s="3" t="s">
        <v>117</v>
      </c>
      <c r="Y2642" s="3" t="s">
        <v>11922</v>
      </c>
      <c r="Z2642" s="3" t="s">
        <v>52</v>
      </c>
      <c r="AA2642" s="3"/>
      <c r="AB2642" s="3"/>
      <c r="AC2642" s="3" t="str">
        <f>HYPERLINK("https://knigipp.ru/api/getInfo/image/fbc12108-4f3a-11ef-a262-00155d82e908")</f>
        <v>https://knigipp.ru/api/getInfo/image/fbc12108-4f3a-11ef-a262-00155d82e908</v>
      </c>
      <c r="AD2642" s="32">
        <v>10</v>
      </c>
      <c r="AE2642" s="3" t="s">
        <v>54</v>
      </c>
      <c r="AF2642" s="3" t="s">
        <v>209</v>
      </c>
      <c r="AG2642" s="3"/>
      <c r="AH2642" s="3" t="s">
        <v>56</v>
      </c>
      <c r="AI2642" s="3"/>
      <c r="AJ2642" s="3" t="s">
        <v>11885</v>
      </c>
      <c r="AK2642" s="3" t="str">
        <f>HYPERLINK("https://knigipp.ru/api/getInfo/item/fbc12108-4f3a-11ef-a262-00155d82e908")</f>
        <v>https://knigipp.ru/api/getInfo/item/fbc12108-4f3a-11ef-a262-00155d82e908</v>
      </c>
      <c r="AL2642" s="3" t="s">
        <v>11886</v>
      </c>
    </row>
    <row r="2643" spans="1:38" ht="21" customHeight="1" outlineLevel="4" x14ac:dyDescent="0.2">
      <c r="A2643" s="39">
        <v>2053</v>
      </c>
      <c r="B2643" s="3" t="s">
        <v>11923</v>
      </c>
      <c r="C2643" s="49" t="s">
        <v>11924</v>
      </c>
      <c r="D2643" s="49"/>
      <c r="E2643" s="49"/>
      <c r="F2643" s="49"/>
      <c r="G2643" s="4" t="s">
        <v>11925</v>
      </c>
      <c r="H2643" s="8"/>
      <c r="I2643" s="9" t="s">
        <v>11890</v>
      </c>
      <c r="J2643" s="10"/>
      <c r="K2643" s="11">
        <v>40</v>
      </c>
      <c r="L2643" s="10"/>
      <c r="M2643" s="10" t="s">
        <v>47</v>
      </c>
      <c r="N2643" s="10"/>
      <c r="O2643" s="2">
        <v>5</v>
      </c>
      <c r="P2643" s="17">
        <f>169*(1-S3/100)</f>
        <v>169</v>
      </c>
      <c r="Q2643" s="18"/>
      <c r="R2643" s="10">
        <f t="shared" si="119"/>
        <v>0</v>
      </c>
      <c r="S2643" s="19">
        <f>0.108*Q2643</f>
        <v>0</v>
      </c>
      <c r="T2643" s="20">
        <f>0.00036*Q2643</f>
        <v>0</v>
      </c>
      <c r="U2643" s="21"/>
      <c r="V2643" s="22" t="s">
        <v>11926</v>
      </c>
      <c r="W2643" s="22" t="s">
        <v>49</v>
      </c>
      <c r="X2643" s="3" t="s">
        <v>11927</v>
      </c>
      <c r="Y2643" s="3" t="s">
        <v>11928</v>
      </c>
      <c r="Z2643" s="3" t="s">
        <v>52</v>
      </c>
      <c r="AA2643" s="3"/>
      <c r="AB2643" s="3"/>
      <c r="AC2643" s="3" t="str">
        <f>HYPERLINK("https://knigipp.ru/api/getInfo/image/fa8171ff-6e10-11f0-a284-00155d82e908")</f>
        <v>https://knigipp.ru/api/getInfo/image/fa8171ff-6e10-11f0-a284-00155d82e908</v>
      </c>
      <c r="AD2643" s="32">
        <v>10</v>
      </c>
      <c r="AE2643" s="3" t="s">
        <v>54</v>
      </c>
      <c r="AF2643" s="3" t="s">
        <v>209</v>
      </c>
      <c r="AG2643" s="3"/>
      <c r="AH2643" s="3" t="s">
        <v>56</v>
      </c>
      <c r="AI2643" s="3"/>
      <c r="AJ2643" s="3" t="s">
        <v>11885</v>
      </c>
      <c r="AK2643" s="3" t="str">
        <f>HYPERLINK("https://knigipp.ru/api/getInfo/item/fa8171ff-6e10-11f0-a284-00155d82e908")</f>
        <v>https://knigipp.ru/api/getInfo/item/fa8171ff-6e10-11f0-a284-00155d82e908</v>
      </c>
      <c r="AL2643" s="3" t="s">
        <v>11886</v>
      </c>
    </row>
    <row r="2644" spans="1:38" ht="21" customHeight="1" outlineLevel="4" x14ac:dyDescent="0.2">
      <c r="A2644" s="39">
        <v>2054</v>
      </c>
      <c r="B2644" s="3" t="s">
        <v>11929</v>
      </c>
      <c r="C2644" s="49" t="s">
        <v>11930</v>
      </c>
      <c r="D2644" s="49"/>
      <c r="E2644" s="49"/>
      <c r="F2644" s="49"/>
      <c r="G2644" s="4" t="s">
        <v>11931</v>
      </c>
      <c r="H2644" s="8"/>
      <c r="I2644" s="9" t="s">
        <v>11890</v>
      </c>
      <c r="J2644" s="10"/>
      <c r="K2644" s="11">
        <v>40</v>
      </c>
      <c r="L2644" s="10"/>
      <c r="M2644" s="10" t="s">
        <v>47</v>
      </c>
      <c r="N2644" s="10"/>
      <c r="O2644" s="2">
        <v>5</v>
      </c>
      <c r="P2644" s="17">
        <f>169*(1-S3/100)</f>
        <v>169</v>
      </c>
      <c r="Q2644" s="18"/>
      <c r="R2644" s="10">
        <f t="shared" si="119"/>
        <v>0</v>
      </c>
      <c r="S2644" s="19">
        <f>0.108*Q2644</f>
        <v>0</v>
      </c>
      <c r="T2644" s="20">
        <f>0.00022*Q2644</f>
        <v>0</v>
      </c>
      <c r="U2644" s="21"/>
      <c r="V2644" s="22" t="s">
        <v>11932</v>
      </c>
      <c r="W2644" s="22" t="s">
        <v>49</v>
      </c>
      <c r="X2644" s="3" t="s">
        <v>11933</v>
      </c>
      <c r="Y2644" s="3" t="s">
        <v>11934</v>
      </c>
      <c r="Z2644" s="3" t="s">
        <v>52</v>
      </c>
      <c r="AA2644" s="3"/>
      <c r="AB2644" s="3"/>
      <c r="AC2644" s="3" t="str">
        <f>HYPERLINK("https://knigipp.ru/api/getInfo/image/3cc423aa-6e11-11f0-a284-00155d82e908")</f>
        <v>https://knigipp.ru/api/getInfo/image/3cc423aa-6e11-11f0-a284-00155d82e908</v>
      </c>
      <c r="AD2644" s="32">
        <v>10</v>
      </c>
      <c r="AE2644" s="3" t="s">
        <v>54</v>
      </c>
      <c r="AF2644" s="3" t="s">
        <v>209</v>
      </c>
      <c r="AG2644" s="3"/>
      <c r="AH2644" s="3" t="s">
        <v>56</v>
      </c>
      <c r="AI2644" s="3"/>
      <c r="AJ2644" s="3" t="s">
        <v>11885</v>
      </c>
      <c r="AK2644" s="3" t="str">
        <f>HYPERLINK("https://knigipp.ru/api/getInfo/item/3cc423aa-6e11-11f0-a284-00155d82e908")</f>
        <v>https://knigipp.ru/api/getInfo/item/3cc423aa-6e11-11f0-a284-00155d82e908</v>
      </c>
      <c r="AL2644" s="3" t="s">
        <v>11886</v>
      </c>
    </row>
    <row r="2645" spans="1:38" ht="21" customHeight="1" outlineLevel="4" x14ac:dyDescent="0.2">
      <c r="A2645" s="39">
        <v>2055</v>
      </c>
      <c r="B2645" s="3" t="s">
        <v>11935</v>
      </c>
      <c r="C2645" s="49" t="s">
        <v>11936</v>
      </c>
      <c r="D2645" s="49"/>
      <c r="E2645" s="49"/>
      <c r="F2645" s="49"/>
      <c r="G2645" s="4" t="s">
        <v>11937</v>
      </c>
      <c r="H2645" s="8"/>
      <c r="I2645" s="9" t="s">
        <v>11938</v>
      </c>
      <c r="J2645" s="10"/>
      <c r="K2645" s="11">
        <v>40</v>
      </c>
      <c r="L2645" s="10"/>
      <c r="M2645" s="10" t="s">
        <v>47</v>
      </c>
      <c r="N2645" s="10"/>
      <c r="O2645" s="2">
        <v>5</v>
      </c>
      <c r="P2645" s="17">
        <f>169*(1-S3/100)</f>
        <v>169</v>
      </c>
      <c r="Q2645" s="18"/>
      <c r="R2645" s="10">
        <f t="shared" si="119"/>
        <v>0</v>
      </c>
      <c r="S2645" s="19">
        <f>0.108*Q2645</f>
        <v>0</v>
      </c>
      <c r="T2645" s="20">
        <f>0.00044*Q2645</f>
        <v>0</v>
      </c>
      <c r="U2645" s="21"/>
      <c r="V2645" s="22" t="s">
        <v>11939</v>
      </c>
      <c r="W2645" s="22" t="s">
        <v>49</v>
      </c>
      <c r="X2645" s="3"/>
      <c r="Y2645" s="3"/>
      <c r="Z2645" s="3" t="s">
        <v>52</v>
      </c>
      <c r="AA2645" s="3" t="s">
        <v>11940</v>
      </c>
      <c r="AB2645" s="3"/>
      <c r="AC2645" s="3" t="str">
        <f>HYPERLINK("https://knigipp.ru/api/getInfo/image/7d917f1f-c686-11e1-81d3-5ef3fc502493")</f>
        <v>https://knigipp.ru/api/getInfo/image/7d917f1f-c686-11e1-81d3-5ef3fc502493</v>
      </c>
      <c r="AD2645" s="32">
        <v>10</v>
      </c>
      <c r="AE2645" s="3"/>
      <c r="AF2645" s="3" t="s">
        <v>209</v>
      </c>
      <c r="AG2645" s="3"/>
      <c r="AH2645" s="3" t="s">
        <v>56</v>
      </c>
      <c r="AI2645" s="3"/>
      <c r="AJ2645" s="3" t="s">
        <v>11885</v>
      </c>
      <c r="AK2645" s="3" t="str">
        <f>HYPERLINK("https://knigipp.ru/api/getInfo/item/7d917f1f-c686-11e1-81d3-5ef3fc502493")</f>
        <v>https://knigipp.ru/api/getInfo/item/7d917f1f-c686-11e1-81d3-5ef3fc502493</v>
      </c>
      <c r="AL2645" s="3" t="s">
        <v>11886</v>
      </c>
    </row>
    <row r="2646" spans="1:38" ht="21" customHeight="1" outlineLevel="4" x14ac:dyDescent="0.2">
      <c r="A2646" s="39">
        <v>2056</v>
      </c>
      <c r="B2646" s="3" t="s">
        <v>11941</v>
      </c>
      <c r="C2646" s="49" t="s">
        <v>11942</v>
      </c>
      <c r="D2646" s="49"/>
      <c r="E2646" s="49"/>
      <c r="F2646" s="49"/>
      <c r="G2646" s="4" t="s">
        <v>11943</v>
      </c>
      <c r="H2646" s="8"/>
      <c r="I2646" s="9" t="s">
        <v>11890</v>
      </c>
      <c r="J2646" s="10"/>
      <c r="K2646" s="11">
        <v>40</v>
      </c>
      <c r="L2646" s="10"/>
      <c r="M2646" s="10" t="s">
        <v>47</v>
      </c>
      <c r="N2646" s="10"/>
      <c r="O2646" s="2">
        <v>5</v>
      </c>
      <c r="P2646" s="17">
        <f>169*(1-S3/100)</f>
        <v>169</v>
      </c>
      <c r="Q2646" s="18"/>
      <c r="R2646" s="10">
        <f t="shared" si="119"/>
        <v>0</v>
      </c>
      <c r="S2646" s="19">
        <f>0.112*Q2646</f>
        <v>0</v>
      </c>
      <c r="T2646" s="20">
        <f>0.00074*Q2646</f>
        <v>0</v>
      </c>
      <c r="U2646" s="21"/>
      <c r="V2646" s="22" t="s">
        <v>11944</v>
      </c>
      <c r="W2646" s="22" t="s">
        <v>49</v>
      </c>
      <c r="X2646" s="3" t="s">
        <v>9446</v>
      </c>
      <c r="Y2646" s="3" t="s">
        <v>11945</v>
      </c>
      <c r="Z2646" s="3" t="s">
        <v>52</v>
      </c>
      <c r="AA2646" s="3"/>
      <c r="AB2646" s="3"/>
      <c r="AC2646" s="3" t="str">
        <f>HYPERLINK("https://knigipp.ru/api/getInfo/image/c3213370-55a6-11f0-a27e-00155d82e908")</f>
        <v>https://knigipp.ru/api/getInfo/image/c3213370-55a6-11f0-a27e-00155d82e908</v>
      </c>
      <c r="AD2646" s="32">
        <v>10</v>
      </c>
      <c r="AE2646" s="3" t="s">
        <v>54</v>
      </c>
      <c r="AF2646" s="3" t="s">
        <v>209</v>
      </c>
      <c r="AG2646" s="3"/>
      <c r="AH2646" s="3" t="s">
        <v>56</v>
      </c>
      <c r="AI2646" s="3"/>
      <c r="AJ2646" s="3" t="s">
        <v>11885</v>
      </c>
      <c r="AK2646" s="3" t="str">
        <f>HYPERLINK("https://knigipp.ru/api/getInfo/item/c3213370-55a6-11f0-a27e-00155d82e908")</f>
        <v>https://knigipp.ru/api/getInfo/item/c3213370-55a6-11f0-a27e-00155d82e908</v>
      </c>
      <c r="AL2646" s="3" t="s">
        <v>11886</v>
      </c>
    </row>
    <row r="2647" spans="1:38" ht="21" customHeight="1" outlineLevel="4" x14ac:dyDescent="0.2">
      <c r="A2647" s="39">
        <v>2057</v>
      </c>
      <c r="B2647" s="3" t="s">
        <v>11946</v>
      </c>
      <c r="C2647" s="49" t="s">
        <v>11947</v>
      </c>
      <c r="D2647" s="49"/>
      <c r="E2647" s="49"/>
      <c r="F2647" s="49"/>
      <c r="G2647" s="4" t="s">
        <v>11948</v>
      </c>
      <c r="H2647" s="8"/>
      <c r="I2647" s="9" t="s">
        <v>11890</v>
      </c>
      <c r="J2647" s="10"/>
      <c r="K2647" s="11">
        <v>40</v>
      </c>
      <c r="L2647" s="10"/>
      <c r="M2647" s="10" t="s">
        <v>47</v>
      </c>
      <c r="N2647" s="10"/>
      <c r="O2647" s="2">
        <v>5</v>
      </c>
      <c r="P2647" s="17">
        <f>169*(1-S3/100)</f>
        <v>169</v>
      </c>
      <c r="Q2647" s="18"/>
      <c r="R2647" s="10">
        <f t="shared" si="119"/>
        <v>0</v>
      </c>
      <c r="S2647" s="19">
        <f>0.111*Q2647</f>
        <v>0</v>
      </c>
      <c r="T2647" s="20">
        <f>0.00023*Q2647</f>
        <v>0</v>
      </c>
      <c r="U2647" s="21"/>
      <c r="V2647" s="22" t="s">
        <v>11949</v>
      </c>
      <c r="W2647" s="22" t="s">
        <v>49</v>
      </c>
      <c r="X2647" s="3"/>
      <c r="Y2647" s="3"/>
      <c r="Z2647" s="3" t="s">
        <v>52</v>
      </c>
      <c r="AA2647" s="3" t="s">
        <v>11490</v>
      </c>
      <c r="AB2647" s="3"/>
      <c r="AC2647" s="3" t="str">
        <f>HYPERLINK("https://knigipp.ru/api/getInfo/image/7d917f22-c686-11e1-81d3-5ef3fc502493")</f>
        <v>https://knigipp.ru/api/getInfo/image/7d917f22-c686-11e1-81d3-5ef3fc502493</v>
      </c>
      <c r="AD2647" s="32">
        <v>10</v>
      </c>
      <c r="AE2647" s="3"/>
      <c r="AF2647" s="3" t="s">
        <v>209</v>
      </c>
      <c r="AG2647" s="3"/>
      <c r="AH2647" s="3" t="s">
        <v>56</v>
      </c>
      <c r="AI2647" s="3"/>
      <c r="AJ2647" s="3" t="s">
        <v>11885</v>
      </c>
      <c r="AK2647" s="3" t="str">
        <f>HYPERLINK("https://knigipp.ru/api/getInfo/item/7d917f22-c686-11e1-81d3-5ef3fc502493")</f>
        <v>https://knigipp.ru/api/getInfo/item/7d917f22-c686-11e1-81d3-5ef3fc502493</v>
      </c>
      <c r="AL2647" s="3" t="s">
        <v>11886</v>
      </c>
    </row>
    <row r="2648" spans="1:38" ht="21" customHeight="1" outlineLevel="4" x14ac:dyDescent="0.2">
      <c r="A2648" s="39">
        <v>2058</v>
      </c>
      <c r="B2648" s="3" t="s">
        <v>11950</v>
      </c>
      <c r="C2648" s="49" t="s">
        <v>11951</v>
      </c>
      <c r="D2648" s="49"/>
      <c r="E2648" s="49"/>
      <c r="F2648" s="49"/>
      <c r="G2648" s="4" t="s">
        <v>11952</v>
      </c>
      <c r="H2648" s="8"/>
      <c r="I2648" s="9" t="s">
        <v>11890</v>
      </c>
      <c r="J2648" s="10"/>
      <c r="K2648" s="11">
        <v>40</v>
      </c>
      <c r="L2648" s="10"/>
      <c r="M2648" s="10" t="s">
        <v>47</v>
      </c>
      <c r="N2648" s="10"/>
      <c r="O2648" s="2">
        <v>5</v>
      </c>
      <c r="P2648" s="17">
        <f>169*(1-S3/100)</f>
        <v>169</v>
      </c>
      <c r="Q2648" s="18"/>
      <c r="R2648" s="10">
        <f t="shared" si="119"/>
        <v>0</v>
      </c>
      <c r="S2648" s="19">
        <f>0.108*Q2648</f>
        <v>0</v>
      </c>
      <c r="T2648" s="20">
        <f>0.00022*Q2648</f>
        <v>0</v>
      </c>
      <c r="U2648" s="21"/>
      <c r="V2648" s="22" t="s">
        <v>11953</v>
      </c>
      <c r="W2648" s="22" t="s">
        <v>49</v>
      </c>
      <c r="X2648" s="3"/>
      <c r="Y2648" s="3" t="s">
        <v>11954</v>
      </c>
      <c r="Z2648" s="3" t="s">
        <v>52</v>
      </c>
      <c r="AA2648" s="3"/>
      <c r="AB2648" s="3"/>
      <c r="AC2648" s="3" t="str">
        <f>HYPERLINK("https://knigipp.ru/api/getInfo/image/f69f66a4-459b-11ef-a262-00155d82e908")</f>
        <v>https://knigipp.ru/api/getInfo/image/f69f66a4-459b-11ef-a262-00155d82e908</v>
      </c>
      <c r="AD2648" s="32">
        <v>10</v>
      </c>
      <c r="AE2648" s="3"/>
      <c r="AF2648" s="3" t="s">
        <v>209</v>
      </c>
      <c r="AG2648" s="3"/>
      <c r="AH2648" s="3" t="s">
        <v>56</v>
      </c>
      <c r="AI2648" s="3"/>
      <c r="AJ2648" s="3" t="s">
        <v>11885</v>
      </c>
      <c r="AK2648" s="3" t="str">
        <f>HYPERLINK("https://knigipp.ru/api/getInfo/item/f69f66a4-459b-11ef-a262-00155d82e908")</f>
        <v>https://knigipp.ru/api/getInfo/item/f69f66a4-459b-11ef-a262-00155d82e908</v>
      </c>
      <c r="AL2648" s="3" t="s">
        <v>11886</v>
      </c>
    </row>
    <row r="2649" spans="1:38" ht="21" customHeight="1" outlineLevel="4" x14ac:dyDescent="0.2">
      <c r="A2649" s="39">
        <v>2059</v>
      </c>
      <c r="B2649" s="3" t="s">
        <v>11955</v>
      </c>
      <c r="C2649" s="49" t="s">
        <v>11956</v>
      </c>
      <c r="D2649" s="49"/>
      <c r="E2649" s="49"/>
      <c r="F2649" s="49"/>
      <c r="G2649" s="4" t="s">
        <v>11957</v>
      </c>
      <c r="H2649" s="8"/>
      <c r="I2649" s="9" t="s">
        <v>11890</v>
      </c>
      <c r="J2649" s="10"/>
      <c r="K2649" s="11">
        <v>40</v>
      </c>
      <c r="L2649" s="10"/>
      <c r="M2649" s="10" t="s">
        <v>47</v>
      </c>
      <c r="N2649" s="10"/>
      <c r="O2649" s="2">
        <v>5</v>
      </c>
      <c r="P2649" s="17">
        <f>169*(1-S3/100)</f>
        <v>169</v>
      </c>
      <c r="Q2649" s="18"/>
      <c r="R2649" s="10">
        <f t="shared" si="119"/>
        <v>0</v>
      </c>
      <c r="S2649" s="19">
        <f>0.139*Q2649</f>
        <v>0</v>
      </c>
      <c r="T2649" s="20">
        <f>0.00021*Q2649</f>
        <v>0</v>
      </c>
      <c r="U2649" s="21"/>
      <c r="V2649" s="22" t="s">
        <v>11958</v>
      </c>
      <c r="W2649" s="22" t="s">
        <v>49</v>
      </c>
      <c r="X2649" s="3" t="s">
        <v>11959</v>
      </c>
      <c r="Y2649" s="3"/>
      <c r="Z2649" s="3" t="s">
        <v>52</v>
      </c>
      <c r="AA2649" s="3" t="s">
        <v>11940</v>
      </c>
      <c r="AB2649" s="3"/>
      <c r="AC2649" s="3" t="str">
        <f>HYPERLINK("https://knigipp.ru/api/getInfo/image/7d917f25-c686-11e1-81d3-5ef3fc502493")</f>
        <v>https://knigipp.ru/api/getInfo/image/7d917f25-c686-11e1-81d3-5ef3fc502493</v>
      </c>
      <c r="AD2649" s="32">
        <v>10</v>
      </c>
      <c r="AE2649" s="3"/>
      <c r="AF2649" s="3" t="s">
        <v>209</v>
      </c>
      <c r="AG2649" s="3"/>
      <c r="AH2649" s="3" t="s">
        <v>56</v>
      </c>
      <c r="AI2649" s="3"/>
      <c r="AJ2649" s="3" t="s">
        <v>11885</v>
      </c>
      <c r="AK2649" s="3" t="str">
        <f>HYPERLINK("https://knigipp.ru/api/getInfo/item/7d917f25-c686-11e1-81d3-5ef3fc502493")</f>
        <v>https://knigipp.ru/api/getInfo/item/7d917f25-c686-11e1-81d3-5ef3fc502493</v>
      </c>
      <c r="AL2649" s="3" t="s">
        <v>11886</v>
      </c>
    </row>
    <row r="2650" spans="1:38" ht="21" customHeight="1" outlineLevel="4" x14ac:dyDescent="0.2">
      <c r="A2650" s="39">
        <v>2060</v>
      </c>
      <c r="B2650" s="3" t="s">
        <v>11960</v>
      </c>
      <c r="C2650" s="49" t="s">
        <v>11961</v>
      </c>
      <c r="D2650" s="49"/>
      <c r="E2650" s="49"/>
      <c r="F2650" s="49"/>
      <c r="G2650" s="4" t="s">
        <v>11962</v>
      </c>
      <c r="H2650" s="8"/>
      <c r="I2650" s="9" t="s">
        <v>11963</v>
      </c>
      <c r="J2650" s="10"/>
      <c r="K2650" s="11">
        <v>40</v>
      </c>
      <c r="L2650" s="10"/>
      <c r="M2650" s="10" t="s">
        <v>47</v>
      </c>
      <c r="N2650" s="10"/>
      <c r="O2650" s="2">
        <v>5</v>
      </c>
      <c r="P2650" s="17">
        <f>169*(1-S3/100)</f>
        <v>169</v>
      </c>
      <c r="Q2650" s="18"/>
      <c r="R2650" s="10">
        <f t="shared" si="119"/>
        <v>0</v>
      </c>
      <c r="S2650" s="19">
        <f>0.118*Q2650</f>
        <v>0</v>
      </c>
      <c r="T2650" s="20">
        <f>0.00018*Q2650</f>
        <v>0</v>
      </c>
      <c r="U2650" s="21"/>
      <c r="V2650" s="22" t="s">
        <v>11964</v>
      </c>
      <c r="W2650" s="22" t="s">
        <v>49</v>
      </c>
      <c r="X2650" s="3" t="s">
        <v>11965</v>
      </c>
      <c r="Y2650" s="3" t="s">
        <v>11966</v>
      </c>
      <c r="Z2650" s="3" t="s">
        <v>52</v>
      </c>
      <c r="AA2650" s="3"/>
      <c r="AB2650" s="3"/>
      <c r="AC2650" s="3" t="str">
        <f>HYPERLINK("https://knigipp.ru/api/getInfo/image/a2112997-84c1-11f0-a284-00155d82e908")</f>
        <v>https://knigipp.ru/api/getInfo/image/a2112997-84c1-11f0-a284-00155d82e908</v>
      </c>
      <c r="AD2650" s="32">
        <v>10</v>
      </c>
      <c r="AE2650" s="3" t="s">
        <v>54</v>
      </c>
      <c r="AF2650" s="3" t="s">
        <v>209</v>
      </c>
      <c r="AG2650" s="3"/>
      <c r="AH2650" s="3" t="s">
        <v>56</v>
      </c>
      <c r="AI2650" s="3"/>
      <c r="AJ2650" s="3" t="s">
        <v>11885</v>
      </c>
      <c r="AK2650" s="3" t="str">
        <f>HYPERLINK("https://knigipp.ru/api/getInfo/item/a2112997-84c1-11f0-a284-00155d82e908")</f>
        <v>https://knigipp.ru/api/getInfo/item/a2112997-84c1-11f0-a284-00155d82e908</v>
      </c>
      <c r="AL2650" s="3" t="s">
        <v>11886</v>
      </c>
    </row>
    <row r="2651" spans="1:38" ht="21" customHeight="1" outlineLevel="4" x14ac:dyDescent="0.2">
      <c r="A2651" s="39">
        <v>2061</v>
      </c>
      <c r="B2651" s="3" t="s">
        <v>11967</v>
      </c>
      <c r="C2651" s="49" t="s">
        <v>11968</v>
      </c>
      <c r="D2651" s="49"/>
      <c r="E2651" s="49"/>
      <c r="F2651" s="49"/>
      <c r="G2651" s="4" t="s">
        <v>11969</v>
      </c>
      <c r="H2651" s="8"/>
      <c r="I2651" s="9" t="s">
        <v>11890</v>
      </c>
      <c r="J2651" s="10"/>
      <c r="K2651" s="11">
        <v>40</v>
      </c>
      <c r="L2651" s="10"/>
      <c r="M2651" s="10" t="s">
        <v>47</v>
      </c>
      <c r="N2651" s="10"/>
      <c r="O2651" s="2">
        <v>5</v>
      </c>
      <c r="P2651" s="17">
        <f>169*(1-S3/100)</f>
        <v>169</v>
      </c>
      <c r="Q2651" s="18"/>
      <c r="R2651" s="10">
        <f t="shared" si="119"/>
        <v>0</v>
      </c>
      <c r="S2651" s="19">
        <f>0.113*Q2651</f>
        <v>0</v>
      </c>
      <c r="T2651" s="30">
        <f>0.0003*Q2651</f>
        <v>0</v>
      </c>
      <c r="U2651" s="21"/>
      <c r="V2651" s="22" t="s">
        <v>11970</v>
      </c>
      <c r="W2651" s="22" t="s">
        <v>49</v>
      </c>
      <c r="X2651" s="3"/>
      <c r="Y2651" s="3" t="s">
        <v>11971</v>
      </c>
      <c r="Z2651" s="3" t="s">
        <v>52</v>
      </c>
      <c r="AA2651" s="3"/>
      <c r="AB2651" s="3"/>
      <c r="AC2651" s="3" t="str">
        <f>HYPERLINK("https://knigipp.ru/api/getInfo/image/dcc18754-4219-11f0-a27c-00155d82e908")</f>
        <v>https://knigipp.ru/api/getInfo/image/dcc18754-4219-11f0-a27c-00155d82e908</v>
      </c>
      <c r="AD2651" s="32">
        <v>10</v>
      </c>
      <c r="AE2651" s="3" t="s">
        <v>54</v>
      </c>
      <c r="AF2651" s="3" t="s">
        <v>209</v>
      </c>
      <c r="AG2651" s="3"/>
      <c r="AH2651" s="3" t="s">
        <v>56</v>
      </c>
      <c r="AI2651" s="3"/>
      <c r="AJ2651" s="3" t="s">
        <v>11885</v>
      </c>
      <c r="AK2651" s="3" t="str">
        <f>HYPERLINK("https://knigipp.ru/api/getInfo/item/dcc18754-4219-11f0-a27c-00155d82e908")</f>
        <v>https://knigipp.ru/api/getInfo/item/dcc18754-4219-11f0-a27c-00155d82e908</v>
      </c>
      <c r="AL2651" s="3" t="s">
        <v>11886</v>
      </c>
    </row>
    <row r="2652" spans="1:38" ht="21" customHeight="1" outlineLevel="4" x14ac:dyDescent="0.2">
      <c r="A2652" s="39">
        <v>2062</v>
      </c>
      <c r="B2652" s="3" t="s">
        <v>11972</v>
      </c>
      <c r="C2652" s="49" t="s">
        <v>11973</v>
      </c>
      <c r="D2652" s="49"/>
      <c r="E2652" s="49"/>
      <c r="F2652" s="49"/>
      <c r="G2652" s="4" t="s">
        <v>11974</v>
      </c>
      <c r="H2652" s="8"/>
      <c r="I2652" s="9"/>
      <c r="J2652" s="10"/>
      <c r="K2652" s="11">
        <v>40</v>
      </c>
      <c r="L2652" s="10"/>
      <c r="M2652" s="10" t="s">
        <v>47</v>
      </c>
      <c r="N2652" s="10"/>
      <c r="O2652" s="2">
        <v>5</v>
      </c>
      <c r="P2652" s="17">
        <f>169*(1-S3/100)</f>
        <v>169</v>
      </c>
      <c r="Q2652" s="18"/>
      <c r="R2652" s="10">
        <f t="shared" si="119"/>
        <v>0</v>
      </c>
      <c r="S2652" s="19">
        <f>0.112*Q2652</f>
        <v>0</v>
      </c>
      <c r="T2652" s="20">
        <f>0.00018*Q2652</f>
        <v>0</v>
      </c>
      <c r="U2652" s="21"/>
      <c r="V2652" s="22" t="s">
        <v>11975</v>
      </c>
      <c r="W2652" s="22" t="s">
        <v>49</v>
      </c>
      <c r="X2652" s="3" t="s">
        <v>672</v>
      </c>
      <c r="Y2652" s="3"/>
      <c r="Z2652" s="3" t="s">
        <v>52</v>
      </c>
      <c r="AA2652" s="3"/>
      <c r="AB2652" s="3"/>
      <c r="AC2652" s="3" t="str">
        <f>HYPERLINK("https://knigipp.ru/api/getInfo/image/b9949998-8e12-11eb-a278-ac1f6b442184")</f>
        <v>https://knigipp.ru/api/getInfo/image/b9949998-8e12-11eb-a278-ac1f6b442184</v>
      </c>
      <c r="AD2652" s="32">
        <v>10</v>
      </c>
      <c r="AE2652" s="3" t="s">
        <v>54</v>
      </c>
      <c r="AF2652" s="3" t="s">
        <v>209</v>
      </c>
      <c r="AG2652" s="3"/>
      <c r="AH2652" s="3" t="s">
        <v>56</v>
      </c>
      <c r="AI2652" s="3"/>
      <c r="AJ2652" s="3" t="s">
        <v>11885</v>
      </c>
      <c r="AK2652" s="3" t="str">
        <f>HYPERLINK("https://knigipp.ru/api/getInfo/item/b9949998-8e12-11eb-a278-ac1f6b442184")</f>
        <v>https://knigipp.ru/api/getInfo/item/b9949998-8e12-11eb-a278-ac1f6b442184</v>
      </c>
      <c r="AL2652" s="3" t="s">
        <v>11886</v>
      </c>
    </row>
    <row r="2653" spans="1:38" ht="21" customHeight="1" outlineLevel="4" x14ac:dyDescent="0.2">
      <c r="A2653" s="39">
        <v>2063</v>
      </c>
      <c r="B2653" s="3" t="s">
        <v>11976</v>
      </c>
      <c r="C2653" s="49" t="s">
        <v>11977</v>
      </c>
      <c r="D2653" s="49"/>
      <c r="E2653" s="49"/>
      <c r="F2653" s="49"/>
      <c r="G2653" s="4" t="s">
        <v>11978</v>
      </c>
      <c r="H2653" s="8"/>
      <c r="I2653" s="9" t="s">
        <v>11963</v>
      </c>
      <c r="J2653" s="10"/>
      <c r="K2653" s="11">
        <v>40</v>
      </c>
      <c r="L2653" s="10"/>
      <c r="M2653" s="10" t="s">
        <v>47</v>
      </c>
      <c r="N2653" s="10"/>
      <c r="O2653" s="2">
        <v>5</v>
      </c>
      <c r="P2653" s="17">
        <f>169*(1-S3/100)</f>
        <v>169</v>
      </c>
      <c r="Q2653" s="18"/>
      <c r="R2653" s="10">
        <f t="shared" si="119"/>
        <v>0</v>
      </c>
      <c r="S2653" s="28">
        <f>0.11*Q2653</f>
        <v>0</v>
      </c>
      <c r="T2653" s="20">
        <f>0.00029*Q2653</f>
        <v>0</v>
      </c>
      <c r="U2653" s="21"/>
      <c r="V2653" s="22" t="s">
        <v>11979</v>
      </c>
      <c r="W2653" s="22" t="s">
        <v>49</v>
      </c>
      <c r="X2653" s="3" t="s">
        <v>10276</v>
      </c>
      <c r="Y2653" s="3" t="s">
        <v>11980</v>
      </c>
      <c r="Z2653" s="3" t="s">
        <v>52</v>
      </c>
      <c r="AA2653" s="3"/>
      <c r="AB2653" s="3"/>
      <c r="AC2653" s="3" t="str">
        <f>HYPERLINK("https://knigipp.ru/api/getInfo/image/57cf2711-84c1-11f0-a284-00155d82e908")</f>
        <v>https://knigipp.ru/api/getInfo/image/57cf2711-84c1-11f0-a284-00155d82e908</v>
      </c>
      <c r="AD2653" s="32">
        <v>10</v>
      </c>
      <c r="AE2653" s="3" t="s">
        <v>54</v>
      </c>
      <c r="AF2653" s="3" t="s">
        <v>209</v>
      </c>
      <c r="AG2653" s="3"/>
      <c r="AH2653" s="3" t="s">
        <v>56</v>
      </c>
      <c r="AI2653" s="3"/>
      <c r="AJ2653" s="3" t="s">
        <v>11885</v>
      </c>
      <c r="AK2653" s="3" t="str">
        <f>HYPERLINK("https://knigipp.ru/api/getInfo/item/57cf2711-84c1-11f0-a284-00155d82e908")</f>
        <v>https://knigipp.ru/api/getInfo/item/57cf2711-84c1-11f0-a284-00155d82e908</v>
      </c>
      <c r="AL2653" s="3" t="s">
        <v>11886</v>
      </c>
    </row>
    <row r="2654" spans="1:38" ht="21" customHeight="1" outlineLevel="4" x14ac:dyDescent="0.2">
      <c r="A2654" s="39">
        <v>2064</v>
      </c>
      <c r="B2654" s="3" t="s">
        <v>11981</v>
      </c>
      <c r="C2654" s="49" t="s">
        <v>11982</v>
      </c>
      <c r="D2654" s="49"/>
      <c r="E2654" s="49"/>
      <c r="F2654" s="49"/>
      <c r="G2654" s="4" t="s">
        <v>11983</v>
      </c>
      <c r="H2654" s="8"/>
      <c r="I2654" s="9" t="s">
        <v>11890</v>
      </c>
      <c r="J2654" s="10"/>
      <c r="K2654" s="11">
        <v>40</v>
      </c>
      <c r="L2654" s="10"/>
      <c r="M2654" s="10" t="s">
        <v>47</v>
      </c>
      <c r="N2654" s="10"/>
      <c r="O2654" s="2">
        <v>5</v>
      </c>
      <c r="P2654" s="17">
        <f>169*(1-S3/100)</f>
        <v>169</v>
      </c>
      <c r="Q2654" s="18"/>
      <c r="R2654" s="10">
        <f t="shared" si="119"/>
        <v>0</v>
      </c>
      <c r="S2654" s="19">
        <f>0.109*Q2654</f>
        <v>0</v>
      </c>
      <c r="T2654" s="20">
        <f>0.00015*Q2654</f>
        <v>0</v>
      </c>
      <c r="U2654" s="21"/>
      <c r="V2654" s="22" t="s">
        <v>11984</v>
      </c>
      <c r="W2654" s="22" t="s">
        <v>49</v>
      </c>
      <c r="X2654" s="3"/>
      <c r="Y2654" s="3" t="s">
        <v>11985</v>
      </c>
      <c r="Z2654" s="3" t="s">
        <v>52</v>
      </c>
      <c r="AA2654" s="3"/>
      <c r="AB2654" s="3"/>
      <c r="AC2654" s="3" t="str">
        <f>HYPERLINK("https://knigipp.ru/api/getInfo/image/004a2c66-421a-11f0-a27c-00155d82e908")</f>
        <v>https://knigipp.ru/api/getInfo/image/004a2c66-421a-11f0-a27c-00155d82e908</v>
      </c>
      <c r="AD2654" s="32">
        <v>10</v>
      </c>
      <c r="AE2654" s="3" t="s">
        <v>54</v>
      </c>
      <c r="AF2654" s="3" t="s">
        <v>209</v>
      </c>
      <c r="AG2654" s="3"/>
      <c r="AH2654" s="3" t="s">
        <v>56</v>
      </c>
      <c r="AI2654" s="3"/>
      <c r="AJ2654" s="3" t="s">
        <v>11885</v>
      </c>
      <c r="AK2654" s="3" t="str">
        <f>HYPERLINK("https://knigipp.ru/api/getInfo/item/004a2c66-421a-11f0-a27c-00155d82e908")</f>
        <v>https://knigipp.ru/api/getInfo/item/004a2c66-421a-11f0-a27c-00155d82e908</v>
      </c>
      <c r="AL2654" s="3" t="s">
        <v>11886</v>
      </c>
    </row>
    <row r="2655" spans="1:38" ht="21" customHeight="1" outlineLevel="4" x14ac:dyDescent="0.2">
      <c r="A2655" s="39">
        <v>2065</v>
      </c>
      <c r="B2655" s="3" t="s">
        <v>11986</v>
      </c>
      <c r="C2655" s="49" t="s">
        <v>11987</v>
      </c>
      <c r="D2655" s="49"/>
      <c r="E2655" s="49"/>
      <c r="F2655" s="49"/>
      <c r="G2655" s="4" t="s">
        <v>11988</v>
      </c>
      <c r="H2655" s="8"/>
      <c r="I2655" s="9" t="s">
        <v>11890</v>
      </c>
      <c r="J2655" s="10"/>
      <c r="K2655" s="11">
        <v>40</v>
      </c>
      <c r="L2655" s="10"/>
      <c r="M2655" s="10" t="s">
        <v>47</v>
      </c>
      <c r="N2655" s="10"/>
      <c r="O2655" s="2">
        <v>5</v>
      </c>
      <c r="P2655" s="17">
        <f>169*(1-S3/100)</f>
        <v>169</v>
      </c>
      <c r="Q2655" s="18"/>
      <c r="R2655" s="10">
        <f t="shared" si="119"/>
        <v>0</v>
      </c>
      <c r="S2655" s="19">
        <f>0.139*Q2655</f>
        <v>0</v>
      </c>
      <c r="T2655" s="20">
        <f>0.00021*Q2655</f>
        <v>0</v>
      </c>
      <c r="U2655" s="21"/>
      <c r="V2655" s="22" t="s">
        <v>11989</v>
      </c>
      <c r="W2655" s="22" t="s">
        <v>49</v>
      </c>
      <c r="X2655" s="3" t="s">
        <v>11990</v>
      </c>
      <c r="Y2655" s="3"/>
      <c r="Z2655" s="3" t="s">
        <v>52</v>
      </c>
      <c r="AA2655" s="3" t="s">
        <v>11490</v>
      </c>
      <c r="AB2655" s="3"/>
      <c r="AC2655" s="3" t="str">
        <f>HYPERLINK("https://knigipp.ru/api/getInfo/image/7d917f38-c686-11e1-81d3-5ef3fc502493")</f>
        <v>https://knigipp.ru/api/getInfo/image/7d917f38-c686-11e1-81d3-5ef3fc502493</v>
      </c>
      <c r="AD2655" s="32">
        <v>10</v>
      </c>
      <c r="AE2655" s="3"/>
      <c r="AF2655" s="3" t="s">
        <v>209</v>
      </c>
      <c r="AG2655" s="3"/>
      <c r="AH2655" s="3" t="s">
        <v>56</v>
      </c>
      <c r="AI2655" s="3"/>
      <c r="AJ2655" s="3" t="s">
        <v>11885</v>
      </c>
      <c r="AK2655" s="3" t="str">
        <f>HYPERLINK("https://knigipp.ru/api/getInfo/item/7d917f38-c686-11e1-81d3-5ef3fc502493")</f>
        <v>https://knigipp.ru/api/getInfo/item/7d917f38-c686-11e1-81d3-5ef3fc502493</v>
      </c>
      <c r="AL2655" s="3" t="s">
        <v>11886</v>
      </c>
    </row>
    <row r="2656" spans="1:38" ht="21" customHeight="1" outlineLevel="4" x14ac:dyDescent="0.2">
      <c r="A2656" s="39">
        <v>2066</v>
      </c>
      <c r="B2656" s="3" t="s">
        <v>11991</v>
      </c>
      <c r="C2656" s="49" t="s">
        <v>11992</v>
      </c>
      <c r="D2656" s="49"/>
      <c r="E2656" s="49"/>
      <c r="F2656" s="49"/>
      <c r="G2656" s="4" t="s">
        <v>11993</v>
      </c>
      <c r="H2656" s="8"/>
      <c r="I2656" s="9" t="s">
        <v>11890</v>
      </c>
      <c r="J2656" s="10"/>
      <c r="K2656" s="11">
        <v>40</v>
      </c>
      <c r="L2656" s="10"/>
      <c r="M2656" s="10" t="s">
        <v>47</v>
      </c>
      <c r="N2656" s="10"/>
      <c r="O2656" s="2">
        <v>5</v>
      </c>
      <c r="P2656" s="17">
        <f>169*(1-S3/100)</f>
        <v>169</v>
      </c>
      <c r="Q2656" s="18"/>
      <c r="R2656" s="10">
        <f t="shared" si="119"/>
        <v>0</v>
      </c>
      <c r="S2656" s="19">
        <f>0.107*Q2656</f>
        <v>0</v>
      </c>
      <c r="T2656" s="20">
        <f>0.00037*Q2656</f>
        <v>0</v>
      </c>
      <c r="U2656" s="21"/>
      <c r="V2656" s="22" t="s">
        <v>11994</v>
      </c>
      <c r="W2656" s="22" t="s">
        <v>49</v>
      </c>
      <c r="X2656" s="3" t="s">
        <v>11995</v>
      </c>
      <c r="Y2656" s="3" t="s">
        <v>11996</v>
      </c>
      <c r="Z2656" s="3" t="s">
        <v>52</v>
      </c>
      <c r="AA2656" s="3"/>
      <c r="AB2656" s="3"/>
      <c r="AC2656" s="3" t="str">
        <f>HYPERLINK("https://knigipp.ru/api/getInfo/image/1ad9f127-459c-11ef-a262-00155d82e908")</f>
        <v>https://knigipp.ru/api/getInfo/image/1ad9f127-459c-11ef-a262-00155d82e908</v>
      </c>
      <c r="AD2656" s="32">
        <v>10</v>
      </c>
      <c r="AE2656" s="3"/>
      <c r="AF2656" s="3" t="s">
        <v>209</v>
      </c>
      <c r="AG2656" s="3"/>
      <c r="AH2656" s="3" t="s">
        <v>56</v>
      </c>
      <c r="AI2656" s="3"/>
      <c r="AJ2656" s="3" t="s">
        <v>11885</v>
      </c>
      <c r="AK2656" s="3" t="str">
        <f>HYPERLINK("https://knigipp.ru/api/getInfo/item/1ad9f127-459c-11ef-a262-00155d82e908")</f>
        <v>https://knigipp.ru/api/getInfo/item/1ad9f127-459c-11ef-a262-00155d82e908</v>
      </c>
      <c r="AL2656" s="3" t="s">
        <v>11886</v>
      </c>
    </row>
    <row r="2657" spans="1:38" ht="21" customHeight="1" outlineLevel="4" x14ac:dyDescent="0.2">
      <c r="A2657" s="39">
        <v>2067</v>
      </c>
      <c r="B2657" s="3" t="s">
        <v>11997</v>
      </c>
      <c r="C2657" s="49" t="s">
        <v>11998</v>
      </c>
      <c r="D2657" s="49"/>
      <c r="E2657" s="49"/>
      <c r="F2657" s="49"/>
      <c r="G2657" s="4" t="s">
        <v>11999</v>
      </c>
      <c r="H2657" s="8"/>
      <c r="I2657" s="9" t="s">
        <v>11890</v>
      </c>
      <c r="J2657" s="10"/>
      <c r="K2657" s="11">
        <v>40</v>
      </c>
      <c r="L2657" s="10"/>
      <c r="M2657" s="10" t="s">
        <v>47</v>
      </c>
      <c r="N2657" s="10"/>
      <c r="O2657" s="2">
        <v>5</v>
      </c>
      <c r="P2657" s="17">
        <f>169*(1-S3/100)</f>
        <v>169</v>
      </c>
      <c r="Q2657" s="18"/>
      <c r="R2657" s="10">
        <f t="shared" si="119"/>
        <v>0</v>
      </c>
      <c r="S2657" s="19">
        <f>0.139*Q2657</f>
        <v>0</v>
      </c>
      <c r="T2657" s="20">
        <f>0.00021*Q2657</f>
        <v>0</v>
      </c>
      <c r="U2657" s="21"/>
      <c r="V2657" s="22" t="s">
        <v>12000</v>
      </c>
      <c r="W2657" s="22" t="s">
        <v>49</v>
      </c>
      <c r="X2657" s="3" t="s">
        <v>12001</v>
      </c>
      <c r="Y2657" s="3"/>
      <c r="Z2657" s="3" t="s">
        <v>52</v>
      </c>
      <c r="AA2657" s="3" t="s">
        <v>12002</v>
      </c>
      <c r="AB2657" s="3"/>
      <c r="AC2657" s="3" t="str">
        <f>HYPERLINK("https://knigipp.ru/api/getInfo/image/7d917f4d-c686-11e1-81d3-5ef3fc502493")</f>
        <v>https://knigipp.ru/api/getInfo/image/7d917f4d-c686-11e1-81d3-5ef3fc502493</v>
      </c>
      <c r="AD2657" s="32">
        <v>10</v>
      </c>
      <c r="AE2657" s="3"/>
      <c r="AF2657" s="3" t="s">
        <v>209</v>
      </c>
      <c r="AG2657" s="3"/>
      <c r="AH2657" s="3" t="s">
        <v>56</v>
      </c>
      <c r="AI2657" s="3"/>
      <c r="AJ2657" s="3" t="s">
        <v>11885</v>
      </c>
      <c r="AK2657" s="3" t="str">
        <f>HYPERLINK("https://knigipp.ru/api/getInfo/item/7d917f4d-c686-11e1-81d3-5ef3fc502493")</f>
        <v>https://knigipp.ru/api/getInfo/item/7d917f4d-c686-11e1-81d3-5ef3fc502493</v>
      </c>
      <c r="AL2657" s="3" t="s">
        <v>11886</v>
      </c>
    </row>
    <row r="2658" spans="1:38" ht="21" customHeight="1" outlineLevel="4" x14ac:dyDescent="0.2">
      <c r="A2658" s="39">
        <v>2068</v>
      </c>
      <c r="B2658" s="3" t="s">
        <v>12003</v>
      </c>
      <c r="C2658" s="49" t="s">
        <v>12004</v>
      </c>
      <c r="D2658" s="49"/>
      <c r="E2658" s="49"/>
      <c r="F2658" s="49"/>
      <c r="G2658" s="4" t="s">
        <v>12005</v>
      </c>
      <c r="H2658" s="8"/>
      <c r="I2658" s="9" t="s">
        <v>11890</v>
      </c>
      <c r="J2658" s="10"/>
      <c r="K2658" s="11">
        <v>40</v>
      </c>
      <c r="L2658" s="10"/>
      <c r="M2658" s="10" t="s">
        <v>47</v>
      </c>
      <c r="N2658" s="10"/>
      <c r="O2658" s="2">
        <v>5</v>
      </c>
      <c r="P2658" s="17">
        <f>169*(1-S3/100)</f>
        <v>169</v>
      </c>
      <c r="Q2658" s="18"/>
      <c r="R2658" s="10">
        <f t="shared" si="119"/>
        <v>0</v>
      </c>
      <c r="S2658" s="19">
        <f>0.109*Q2658</f>
        <v>0</v>
      </c>
      <c r="T2658" s="20">
        <f>0.00022*Q2658</f>
        <v>0</v>
      </c>
      <c r="U2658" s="21"/>
      <c r="V2658" s="22" t="s">
        <v>12006</v>
      </c>
      <c r="W2658" s="22" t="s">
        <v>49</v>
      </c>
      <c r="X2658" s="3"/>
      <c r="Y2658" s="3" t="s">
        <v>12007</v>
      </c>
      <c r="Z2658" s="3" t="s">
        <v>52</v>
      </c>
      <c r="AA2658" s="3"/>
      <c r="AB2658" s="3"/>
      <c r="AC2658" s="3" t="str">
        <f>HYPERLINK("https://knigipp.ru/api/getInfo/image/ecae7a39-55a6-11f0-a27e-00155d82e908")</f>
        <v>https://knigipp.ru/api/getInfo/image/ecae7a39-55a6-11f0-a27e-00155d82e908</v>
      </c>
      <c r="AD2658" s="32">
        <v>10</v>
      </c>
      <c r="AE2658" s="3" t="s">
        <v>54</v>
      </c>
      <c r="AF2658" s="3" t="s">
        <v>209</v>
      </c>
      <c r="AG2658" s="3"/>
      <c r="AH2658" s="3" t="s">
        <v>56</v>
      </c>
      <c r="AI2658" s="3"/>
      <c r="AJ2658" s="3" t="s">
        <v>11885</v>
      </c>
      <c r="AK2658" s="3" t="str">
        <f>HYPERLINK("https://knigipp.ru/api/getInfo/item/ecae7a39-55a6-11f0-a27e-00155d82e908")</f>
        <v>https://knigipp.ru/api/getInfo/item/ecae7a39-55a6-11f0-a27e-00155d82e908</v>
      </c>
      <c r="AL2658" s="3" t="s">
        <v>11886</v>
      </c>
    </row>
    <row r="2659" spans="1:38" ht="21" customHeight="1" outlineLevel="4" x14ac:dyDescent="0.2">
      <c r="A2659" s="39">
        <v>2069</v>
      </c>
      <c r="B2659" s="3" t="s">
        <v>12008</v>
      </c>
      <c r="C2659" s="49" t="s">
        <v>12009</v>
      </c>
      <c r="D2659" s="49"/>
      <c r="E2659" s="49"/>
      <c r="F2659" s="49"/>
      <c r="G2659" s="4" t="s">
        <v>12010</v>
      </c>
      <c r="H2659" s="8"/>
      <c r="I2659" s="9" t="s">
        <v>11890</v>
      </c>
      <c r="J2659" s="10"/>
      <c r="K2659" s="11">
        <v>40</v>
      </c>
      <c r="L2659" s="10"/>
      <c r="M2659" s="10" t="s">
        <v>47</v>
      </c>
      <c r="N2659" s="10"/>
      <c r="O2659" s="2">
        <v>5</v>
      </c>
      <c r="P2659" s="17">
        <f>169*(1-S3/100)</f>
        <v>169</v>
      </c>
      <c r="Q2659" s="18"/>
      <c r="R2659" s="10">
        <f t="shared" si="119"/>
        <v>0</v>
      </c>
      <c r="S2659" s="28">
        <f>0.11*Q2659</f>
        <v>0</v>
      </c>
      <c r="T2659" s="20">
        <f>0.00025*Q2659</f>
        <v>0</v>
      </c>
      <c r="U2659" s="21"/>
      <c r="V2659" s="22" t="s">
        <v>12011</v>
      </c>
      <c r="W2659" s="22" t="s">
        <v>49</v>
      </c>
      <c r="X2659" s="3"/>
      <c r="Y2659" s="3"/>
      <c r="Z2659" s="3" t="s">
        <v>52</v>
      </c>
      <c r="AA2659" s="3" t="s">
        <v>5886</v>
      </c>
      <c r="AB2659" s="3"/>
      <c r="AC2659" s="3" t="str">
        <f>HYPERLINK("https://knigipp.ru/api/getInfo/image/7d917f57-c686-11e1-81d3-5ef3fc502493")</f>
        <v>https://knigipp.ru/api/getInfo/image/7d917f57-c686-11e1-81d3-5ef3fc502493</v>
      </c>
      <c r="AD2659" s="32">
        <v>10</v>
      </c>
      <c r="AE2659" s="3"/>
      <c r="AF2659" s="3" t="s">
        <v>209</v>
      </c>
      <c r="AG2659" s="3"/>
      <c r="AH2659" s="3" t="s">
        <v>56</v>
      </c>
      <c r="AI2659" s="3"/>
      <c r="AJ2659" s="3" t="s">
        <v>11885</v>
      </c>
      <c r="AK2659" s="3" t="str">
        <f>HYPERLINK("https://knigipp.ru/api/getInfo/item/7d917f57-c686-11e1-81d3-5ef3fc502493")</f>
        <v>https://knigipp.ru/api/getInfo/item/7d917f57-c686-11e1-81d3-5ef3fc502493</v>
      </c>
      <c r="AL2659" s="3" t="s">
        <v>11886</v>
      </c>
    </row>
    <row r="2660" spans="1:38" ht="21" customHeight="1" outlineLevel="4" x14ac:dyDescent="0.2">
      <c r="A2660" s="39">
        <v>2070</v>
      </c>
      <c r="B2660" s="3" t="s">
        <v>12012</v>
      </c>
      <c r="C2660" s="49" t="s">
        <v>12013</v>
      </c>
      <c r="D2660" s="49"/>
      <c r="E2660" s="49"/>
      <c r="F2660" s="49"/>
      <c r="G2660" s="4" t="s">
        <v>12014</v>
      </c>
      <c r="H2660" s="8"/>
      <c r="I2660" s="9" t="s">
        <v>11890</v>
      </c>
      <c r="J2660" s="10"/>
      <c r="K2660" s="11">
        <v>40</v>
      </c>
      <c r="L2660" s="10"/>
      <c r="M2660" s="10" t="s">
        <v>47</v>
      </c>
      <c r="N2660" s="10"/>
      <c r="O2660" s="2">
        <v>5</v>
      </c>
      <c r="P2660" s="17">
        <f>169*(1-S3/100)</f>
        <v>169</v>
      </c>
      <c r="Q2660" s="18"/>
      <c r="R2660" s="10">
        <f t="shared" si="119"/>
        <v>0</v>
      </c>
      <c r="S2660" s="19">
        <f>0.107*Q2660</f>
        <v>0</v>
      </c>
      <c r="T2660" s="30">
        <f>0.0003*Q2660</f>
        <v>0</v>
      </c>
      <c r="U2660" s="21"/>
      <c r="V2660" s="22" t="s">
        <v>12015</v>
      </c>
      <c r="W2660" s="22" t="s">
        <v>49</v>
      </c>
      <c r="X2660" s="3"/>
      <c r="Y2660" s="3"/>
      <c r="Z2660" s="3" t="s">
        <v>52</v>
      </c>
      <c r="AA2660" s="3" t="s">
        <v>12016</v>
      </c>
      <c r="AB2660" s="3"/>
      <c r="AC2660" s="3" t="str">
        <f>HYPERLINK("https://knigipp.ru/api/getInfo/image/7d917f5a-c686-11e1-81d3-5ef3fc502493")</f>
        <v>https://knigipp.ru/api/getInfo/image/7d917f5a-c686-11e1-81d3-5ef3fc502493</v>
      </c>
      <c r="AD2660" s="32">
        <v>10</v>
      </c>
      <c r="AE2660" s="3"/>
      <c r="AF2660" s="3" t="s">
        <v>209</v>
      </c>
      <c r="AG2660" s="3"/>
      <c r="AH2660" s="3" t="s">
        <v>56</v>
      </c>
      <c r="AI2660" s="3"/>
      <c r="AJ2660" s="3" t="s">
        <v>11885</v>
      </c>
      <c r="AK2660" s="3" t="str">
        <f>HYPERLINK("https://knigipp.ru/api/getInfo/item/7d917f5a-c686-11e1-81d3-5ef3fc502493")</f>
        <v>https://knigipp.ru/api/getInfo/item/7d917f5a-c686-11e1-81d3-5ef3fc502493</v>
      </c>
      <c r="AL2660" s="3" t="s">
        <v>11886</v>
      </c>
    </row>
    <row r="2661" spans="1:38" ht="21" customHeight="1" outlineLevel="4" x14ac:dyDescent="0.2">
      <c r="A2661" s="39">
        <v>2071</v>
      </c>
      <c r="B2661" s="3" t="s">
        <v>12017</v>
      </c>
      <c r="C2661" s="49" t="s">
        <v>12018</v>
      </c>
      <c r="D2661" s="49"/>
      <c r="E2661" s="49"/>
      <c r="F2661" s="49"/>
      <c r="G2661" s="4" t="s">
        <v>12019</v>
      </c>
      <c r="H2661" s="8"/>
      <c r="I2661" s="9" t="s">
        <v>11963</v>
      </c>
      <c r="J2661" s="10"/>
      <c r="K2661" s="11">
        <v>40</v>
      </c>
      <c r="L2661" s="10"/>
      <c r="M2661" s="10" t="s">
        <v>47</v>
      </c>
      <c r="N2661" s="10"/>
      <c r="O2661" s="2">
        <v>5</v>
      </c>
      <c r="P2661" s="17">
        <f>169*(1-S3/100)</f>
        <v>169</v>
      </c>
      <c r="Q2661" s="18"/>
      <c r="R2661" s="10">
        <f t="shared" si="119"/>
        <v>0</v>
      </c>
      <c r="S2661" s="19">
        <f>0.118*Q2661</f>
        <v>0</v>
      </c>
      <c r="T2661" s="20">
        <f>0.00018*Q2661</f>
        <v>0</v>
      </c>
      <c r="U2661" s="21"/>
      <c r="V2661" s="22" t="s">
        <v>12020</v>
      </c>
      <c r="W2661" s="22" t="s">
        <v>49</v>
      </c>
      <c r="X2661" s="3" t="s">
        <v>10977</v>
      </c>
      <c r="Y2661" s="3" t="s">
        <v>12021</v>
      </c>
      <c r="Z2661" s="3" t="s">
        <v>52</v>
      </c>
      <c r="AA2661" s="3"/>
      <c r="AB2661" s="3"/>
      <c r="AC2661" s="3" t="str">
        <f>HYPERLINK("https://knigipp.ru/api/getInfo/image/af3e64a4-6e11-11f0-a284-00155d82e908")</f>
        <v>https://knigipp.ru/api/getInfo/image/af3e64a4-6e11-11f0-a284-00155d82e908</v>
      </c>
      <c r="AD2661" s="32">
        <v>10</v>
      </c>
      <c r="AE2661" s="3" t="s">
        <v>54</v>
      </c>
      <c r="AF2661" s="3" t="s">
        <v>209</v>
      </c>
      <c r="AG2661" s="3"/>
      <c r="AH2661" s="3" t="s">
        <v>56</v>
      </c>
      <c r="AI2661" s="3"/>
      <c r="AJ2661" s="3" t="s">
        <v>11885</v>
      </c>
      <c r="AK2661" s="3" t="str">
        <f>HYPERLINK("https://knigipp.ru/api/getInfo/item/af3e64a4-6e11-11f0-a284-00155d82e908")</f>
        <v>https://knigipp.ru/api/getInfo/item/af3e64a4-6e11-11f0-a284-00155d82e908</v>
      </c>
      <c r="AL2661" s="3" t="s">
        <v>11886</v>
      </c>
    </row>
    <row r="2662" spans="1:38" ht="21" customHeight="1" outlineLevel="4" x14ac:dyDescent="0.2">
      <c r="A2662" s="39">
        <v>2072</v>
      </c>
      <c r="B2662" s="3" t="s">
        <v>12022</v>
      </c>
      <c r="C2662" s="49" t="s">
        <v>12023</v>
      </c>
      <c r="D2662" s="49"/>
      <c r="E2662" s="49"/>
      <c r="F2662" s="49"/>
      <c r="G2662" s="4" t="s">
        <v>12024</v>
      </c>
      <c r="H2662" s="8"/>
      <c r="I2662" s="9" t="s">
        <v>11890</v>
      </c>
      <c r="J2662" s="10"/>
      <c r="K2662" s="11">
        <v>40</v>
      </c>
      <c r="L2662" s="10"/>
      <c r="M2662" s="10" t="s">
        <v>304</v>
      </c>
      <c r="N2662" s="10"/>
      <c r="O2662" s="2">
        <v>5</v>
      </c>
      <c r="P2662" s="17">
        <f>169*(1-S3/100)</f>
        <v>169</v>
      </c>
      <c r="Q2662" s="18"/>
      <c r="R2662" s="10">
        <f t="shared" si="119"/>
        <v>0</v>
      </c>
      <c r="S2662" s="19">
        <f>0.139*Q2662</f>
        <v>0</v>
      </c>
      <c r="T2662" s="20">
        <f>0.00021*Q2662</f>
        <v>0</v>
      </c>
      <c r="U2662" s="21"/>
      <c r="V2662" s="22" t="s">
        <v>12025</v>
      </c>
      <c r="W2662" s="22" t="s">
        <v>49</v>
      </c>
      <c r="X2662" s="3" t="s">
        <v>12026</v>
      </c>
      <c r="Y2662" s="3"/>
      <c r="Z2662" s="3" t="s">
        <v>52</v>
      </c>
      <c r="AA2662" s="3" t="s">
        <v>11940</v>
      </c>
      <c r="AB2662" s="3"/>
      <c r="AC2662" s="3" t="str">
        <f>HYPERLINK("https://knigipp.ru/api/getInfo/image/7d917f6d-c686-11e1-81d3-5ef3fc502493")</f>
        <v>https://knigipp.ru/api/getInfo/image/7d917f6d-c686-11e1-81d3-5ef3fc502493</v>
      </c>
      <c r="AD2662" s="32">
        <v>10</v>
      </c>
      <c r="AE2662" s="3"/>
      <c r="AF2662" s="3" t="s">
        <v>209</v>
      </c>
      <c r="AG2662" s="3"/>
      <c r="AH2662" s="3" t="s">
        <v>56</v>
      </c>
      <c r="AI2662" s="3"/>
      <c r="AJ2662" s="3" t="s">
        <v>11885</v>
      </c>
      <c r="AK2662" s="3" t="str">
        <f>HYPERLINK("https://knigipp.ru/api/getInfo/item/7d917f6d-c686-11e1-81d3-5ef3fc502493")</f>
        <v>https://knigipp.ru/api/getInfo/item/7d917f6d-c686-11e1-81d3-5ef3fc502493</v>
      </c>
      <c r="AL2662" s="3" t="s">
        <v>11886</v>
      </c>
    </row>
    <row r="2663" spans="1:38" ht="21" customHeight="1" outlineLevel="4" x14ac:dyDescent="0.2">
      <c r="A2663" s="39">
        <v>2073</v>
      </c>
      <c r="B2663" s="3" t="s">
        <v>12027</v>
      </c>
      <c r="C2663" s="49" t="s">
        <v>12028</v>
      </c>
      <c r="D2663" s="49"/>
      <c r="E2663" s="49"/>
      <c r="F2663" s="49"/>
      <c r="G2663" s="4" t="s">
        <v>12029</v>
      </c>
      <c r="H2663" s="8"/>
      <c r="I2663" s="9" t="s">
        <v>11890</v>
      </c>
      <c r="J2663" s="10"/>
      <c r="K2663" s="11">
        <v>40</v>
      </c>
      <c r="L2663" s="10"/>
      <c r="M2663" s="10" t="s">
        <v>47</v>
      </c>
      <c r="N2663" s="10"/>
      <c r="O2663" s="2">
        <v>5</v>
      </c>
      <c r="P2663" s="17">
        <f>169*(1-S3/100)</f>
        <v>169</v>
      </c>
      <c r="Q2663" s="18"/>
      <c r="R2663" s="10">
        <f t="shared" si="119"/>
        <v>0</v>
      </c>
      <c r="S2663" s="19">
        <f>0.113*Q2663</f>
        <v>0</v>
      </c>
      <c r="T2663" s="20">
        <f>0.00017*Q2663</f>
        <v>0</v>
      </c>
      <c r="U2663" s="21"/>
      <c r="V2663" s="22" t="s">
        <v>12030</v>
      </c>
      <c r="W2663" s="22" t="s">
        <v>49</v>
      </c>
      <c r="X2663" s="3" t="s">
        <v>12031</v>
      </c>
      <c r="Y2663" s="3"/>
      <c r="Z2663" s="3" t="s">
        <v>52</v>
      </c>
      <c r="AA2663" s="3" t="s">
        <v>12032</v>
      </c>
      <c r="AB2663" s="3"/>
      <c r="AC2663" s="3" t="str">
        <f>HYPERLINK("https://knigipp.ru/api/getInfo/image/7d917f6e-c686-11e1-81d3-5ef3fc502493")</f>
        <v>https://knigipp.ru/api/getInfo/image/7d917f6e-c686-11e1-81d3-5ef3fc502493</v>
      </c>
      <c r="AD2663" s="32">
        <v>10</v>
      </c>
      <c r="AE2663" s="3"/>
      <c r="AF2663" s="3" t="s">
        <v>209</v>
      </c>
      <c r="AG2663" s="3"/>
      <c r="AH2663" s="3" t="s">
        <v>56</v>
      </c>
      <c r="AI2663" s="3"/>
      <c r="AJ2663" s="3" t="s">
        <v>11885</v>
      </c>
      <c r="AK2663" s="3" t="str">
        <f>HYPERLINK("https://knigipp.ru/api/getInfo/item/7d917f6e-c686-11e1-81d3-5ef3fc502493")</f>
        <v>https://knigipp.ru/api/getInfo/item/7d917f6e-c686-11e1-81d3-5ef3fc502493</v>
      </c>
      <c r="AL2663" s="3" t="s">
        <v>11886</v>
      </c>
    </row>
    <row r="2664" spans="1:38" ht="21" customHeight="1" outlineLevel="4" x14ac:dyDescent="0.2">
      <c r="A2664" s="39">
        <v>2074</v>
      </c>
      <c r="B2664" s="3" t="s">
        <v>12033</v>
      </c>
      <c r="C2664" s="49" t="s">
        <v>12034</v>
      </c>
      <c r="D2664" s="49"/>
      <c r="E2664" s="49"/>
      <c r="F2664" s="49"/>
      <c r="G2664" s="4" t="s">
        <v>12035</v>
      </c>
      <c r="H2664" s="8"/>
      <c r="I2664" s="9" t="s">
        <v>11890</v>
      </c>
      <c r="J2664" s="10"/>
      <c r="K2664" s="11">
        <v>40</v>
      </c>
      <c r="L2664" s="10"/>
      <c r="M2664" s="10" t="s">
        <v>47</v>
      </c>
      <c r="N2664" s="10"/>
      <c r="O2664" s="2">
        <v>5</v>
      </c>
      <c r="P2664" s="17">
        <f>169*(1-S3/100)</f>
        <v>169</v>
      </c>
      <c r="Q2664" s="18"/>
      <c r="R2664" s="10">
        <f t="shared" si="119"/>
        <v>0</v>
      </c>
      <c r="S2664" s="19">
        <f>0.107*Q2664</f>
        <v>0</v>
      </c>
      <c r="T2664" s="20">
        <f>0.00051*Q2664</f>
        <v>0</v>
      </c>
      <c r="U2664" s="21"/>
      <c r="V2664" s="22" t="s">
        <v>12036</v>
      </c>
      <c r="W2664" s="22" t="s">
        <v>49</v>
      </c>
      <c r="X2664" s="3" t="s">
        <v>672</v>
      </c>
      <c r="Y2664" s="3" t="s">
        <v>12037</v>
      </c>
      <c r="Z2664" s="3" t="s">
        <v>52</v>
      </c>
      <c r="AA2664" s="3"/>
      <c r="AB2664" s="3"/>
      <c r="AC2664" s="3" t="str">
        <f>HYPERLINK("https://knigipp.ru/api/getInfo/image/49e70fe7-f59c-11ee-a25b-00155d82e908")</f>
        <v>https://knigipp.ru/api/getInfo/image/49e70fe7-f59c-11ee-a25b-00155d82e908</v>
      </c>
      <c r="AD2664" s="32">
        <v>10</v>
      </c>
      <c r="AE2664" s="3" t="s">
        <v>54</v>
      </c>
      <c r="AF2664" s="3" t="s">
        <v>209</v>
      </c>
      <c r="AG2664" s="3"/>
      <c r="AH2664" s="3" t="s">
        <v>56</v>
      </c>
      <c r="AI2664" s="3"/>
      <c r="AJ2664" s="3"/>
      <c r="AK2664" s="3" t="str">
        <f>HYPERLINK("https://knigipp.ru/api/getInfo/item/49e70fe7-f59c-11ee-a25b-00155d82e908")</f>
        <v>https://knigipp.ru/api/getInfo/item/49e70fe7-f59c-11ee-a25b-00155d82e908</v>
      </c>
      <c r="AL2664" s="3" t="s">
        <v>11886</v>
      </c>
    </row>
    <row r="2665" spans="1:38" ht="21" customHeight="1" outlineLevel="4" x14ac:dyDescent="0.2">
      <c r="A2665" s="39">
        <v>2075</v>
      </c>
      <c r="B2665" s="3" t="s">
        <v>12038</v>
      </c>
      <c r="C2665" s="49" t="s">
        <v>12039</v>
      </c>
      <c r="D2665" s="49"/>
      <c r="E2665" s="49"/>
      <c r="F2665" s="49"/>
      <c r="G2665" s="4" t="s">
        <v>12040</v>
      </c>
      <c r="H2665" s="8"/>
      <c r="I2665" s="9"/>
      <c r="J2665" s="10"/>
      <c r="K2665" s="11">
        <v>40</v>
      </c>
      <c r="L2665" s="10"/>
      <c r="M2665" s="10" t="s">
        <v>47</v>
      </c>
      <c r="N2665" s="10"/>
      <c r="O2665" s="2">
        <v>5</v>
      </c>
      <c r="P2665" s="17">
        <f>169*(1-S3/100)</f>
        <v>169</v>
      </c>
      <c r="Q2665" s="18"/>
      <c r="R2665" s="10">
        <f t="shared" si="119"/>
        <v>0</v>
      </c>
      <c r="S2665" s="28">
        <f>0.11*Q2665</f>
        <v>0</v>
      </c>
      <c r="T2665" s="20">
        <f>0.00018*Q2665</f>
        <v>0</v>
      </c>
      <c r="U2665" s="21"/>
      <c r="V2665" s="22" t="s">
        <v>12041</v>
      </c>
      <c r="W2665" s="22" t="s">
        <v>49</v>
      </c>
      <c r="X2665" s="3"/>
      <c r="Y2665" s="3" t="s">
        <v>12042</v>
      </c>
      <c r="Z2665" s="3" t="s">
        <v>52</v>
      </c>
      <c r="AA2665" s="3"/>
      <c r="AB2665" s="3"/>
      <c r="AC2665" s="3" t="str">
        <f>HYPERLINK("https://knigipp.ru/api/getInfo/image/4e3af5c5-c4f6-11ef-a268-00155d82e908")</f>
        <v>https://knigipp.ru/api/getInfo/image/4e3af5c5-c4f6-11ef-a268-00155d82e908</v>
      </c>
      <c r="AD2665" s="32">
        <v>10</v>
      </c>
      <c r="AE2665" s="3"/>
      <c r="AF2665" s="3" t="s">
        <v>209</v>
      </c>
      <c r="AG2665" s="3"/>
      <c r="AH2665" s="3" t="s">
        <v>56</v>
      </c>
      <c r="AI2665" s="3"/>
      <c r="AJ2665" s="3" t="s">
        <v>11885</v>
      </c>
      <c r="AK2665" s="3" t="str">
        <f>HYPERLINK("https://knigipp.ru/api/getInfo/item/4e3af5c5-c4f6-11ef-a268-00155d82e908")</f>
        <v>https://knigipp.ru/api/getInfo/item/4e3af5c5-c4f6-11ef-a268-00155d82e908</v>
      </c>
      <c r="AL2665" s="3" t="s">
        <v>11886</v>
      </c>
    </row>
    <row r="2666" spans="1:38" ht="21" customHeight="1" outlineLevel="4" x14ac:dyDescent="0.2">
      <c r="A2666" s="39">
        <v>2076</v>
      </c>
      <c r="B2666" s="3" t="s">
        <v>12043</v>
      </c>
      <c r="C2666" s="49" t="s">
        <v>12044</v>
      </c>
      <c r="D2666" s="49"/>
      <c r="E2666" s="49"/>
      <c r="F2666" s="49"/>
      <c r="G2666" s="4" t="s">
        <v>12045</v>
      </c>
      <c r="H2666" s="8"/>
      <c r="I2666" s="9" t="s">
        <v>12046</v>
      </c>
      <c r="J2666" s="10"/>
      <c r="K2666" s="11">
        <v>40</v>
      </c>
      <c r="L2666" s="10"/>
      <c r="M2666" s="10" t="s">
        <v>78</v>
      </c>
      <c r="N2666" s="10"/>
      <c r="O2666" s="2">
        <v>5</v>
      </c>
      <c r="P2666" s="17">
        <f>169*(1-S3/100)</f>
        <v>169</v>
      </c>
      <c r="Q2666" s="18"/>
      <c r="R2666" s="10">
        <f t="shared" si="119"/>
        <v>0</v>
      </c>
      <c r="S2666" s="19">
        <f>0.108*Q2666</f>
        <v>0</v>
      </c>
      <c r="T2666" s="20">
        <f>0.00044*Q2666</f>
        <v>0</v>
      </c>
      <c r="U2666" s="21"/>
      <c r="V2666" s="22" t="s">
        <v>12047</v>
      </c>
      <c r="W2666" s="22" t="s">
        <v>49</v>
      </c>
      <c r="X2666" s="3" t="s">
        <v>117</v>
      </c>
      <c r="Y2666" s="3" t="s">
        <v>12048</v>
      </c>
      <c r="Z2666" s="3" t="s">
        <v>52</v>
      </c>
      <c r="AA2666" s="3"/>
      <c r="AB2666" s="3"/>
      <c r="AC2666" s="3" t="str">
        <f>HYPERLINK("https://knigipp.ru/api/getInfo/image/14864110-4f3a-11ef-a262-00155d82e908")</f>
        <v>https://knigipp.ru/api/getInfo/image/14864110-4f3a-11ef-a262-00155d82e908</v>
      </c>
      <c r="AD2666" s="32">
        <v>10</v>
      </c>
      <c r="AE2666" s="3" t="s">
        <v>54</v>
      </c>
      <c r="AF2666" s="3" t="s">
        <v>209</v>
      </c>
      <c r="AG2666" s="3"/>
      <c r="AH2666" s="3" t="s">
        <v>56</v>
      </c>
      <c r="AI2666" s="3"/>
      <c r="AJ2666" s="3"/>
      <c r="AK2666" s="3" t="str">
        <f>HYPERLINK("https://knigipp.ru/api/getInfo/item/14864110-4f3a-11ef-a262-00155d82e908")</f>
        <v>https://knigipp.ru/api/getInfo/item/14864110-4f3a-11ef-a262-00155d82e908</v>
      </c>
      <c r="AL2666" s="3" t="s">
        <v>3341</v>
      </c>
    </row>
    <row r="2667" spans="1:38" ht="21" customHeight="1" outlineLevel="4" x14ac:dyDescent="0.2">
      <c r="A2667" s="39">
        <v>2077</v>
      </c>
      <c r="B2667" s="3" t="s">
        <v>12049</v>
      </c>
      <c r="C2667" s="49" t="s">
        <v>12050</v>
      </c>
      <c r="D2667" s="49"/>
      <c r="E2667" s="49"/>
      <c r="F2667" s="49"/>
      <c r="G2667" s="4" t="s">
        <v>12051</v>
      </c>
      <c r="H2667" s="8"/>
      <c r="I2667" s="9" t="s">
        <v>12046</v>
      </c>
      <c r="J2667" s="10"/>
      <c r="K2667" s="11">
        <v>40</v>
      </c>
      <c r="L2667" s="10"/>
      <c r="M2667" s="10" t="s">
        <v>47</v>
      </c>
      <c r="N2667" s="10"/>
      <c r="O2667" s="2">
        <v>5</v>
      </c>
      <c r="P2667" s="17">
        <f>169*(1-S3/100)</f>
        <v>169</v>
      </c>
      <c r="Q2667" s="18"/>
      <c r="R2667" s="10">
        <f t="shared" si="119"/>
        <v>0</v>
      </c>
      <c r="S2667" s="19">
        <f>0.097*Q2667</f>
        <v>0</v>
      </c>
      <c r="T2667" s="20">
        <f>0.00007*Q2667</f>
        <v>0</v>
      </c>
      <c r="U2667" s="21"/>
      <c r="V2667" s="22" t="s">
        <v>12052</v>
      </c>
      <c r="W2667" s="22" t="s">
        <v>49</v>
      </c>
      <c r="X2667" s="3" t="s">
        <v>117</v>
      </c>
      <c r="Y2667" s="3" t="s">
        <v>12053</v>
      </c>
      <c r="Z2667" s="3" t="s">
        <v>52</v>
      </c>
      <c r="AA2667" s="3"/>
      <c r="AB2667" s="3"/>
      <c r="AC2667" s="3" t="str">
        <f>HYPERLINK("https://knigipp.ru/api/getInfo/image/94397f42-4f39-11ef-a262-00155d82e908")</f>
        <v>https://knigipp.ru/api/getInfo/image/94397f42-4f39-11ef-a262-00155d82e908</v>
      </c>
      <c r="AD2667" s="32">
        <v>10</v>
      </c>
      <c r="AE2667" s="3" t="s">
        <v>54</v>
      </c>
      <c r="AF2667" s="3" t="s">
        <v>209</v>
      </c>
      <c r="AG2667" s="3"/>
      <c r="AH2667" s="3" t="s">
        <v>56</v>
      </c>
      <c r="AI2667" s="3"/>
      <c r="AJ2667" s="3"/>
      <c r="AK2667" s="3" t="str">
        <f>HYPERLINK("https://knigipp.ru/api/getInfo/item/94397f42-4f39-11ef-a262-00155d82e908")</f>
        <v>https://knigipp.ru/api/getInfo/item/94397f42-4f39-11ef-a262-00155d82e908</v>
      </c>
      <c r="AL2667" s="3" t="s">
        <v>3341</v>
      </c>
    </row>
    <row r="2668" spans="1:38" ht="21" customHeight="1" outlineLevel="4" x14ac:dyDescent="0.2">
      <c r="A2668" s="39">
        <v>2078</v>
      </c>
      <c r="B2668" s="3" t="s">
        <v>12054</v>
      </c>
      <c r="C2668" s="49" t="s">
        <v>12055</v>
      </c>
      <c r="D2668" s="49"/>
      <c r="E2668" s="49"/>
      <c r="F2668" s="49"/>
      <c r="G2668" s="4" t="s">
        <v>12056</v>
      </c>
      <c r="H2668" s="8"/>
      <c r="I2668" s="9" t="s">
        <v>12057</v>
      </c>
      <c r="J2668" s="10"/>
      <c r="K2668" s="11">
        <v>40</v>
      </c>
      <c r="L2668" s="10"/>
      <c r="M2668" s="10" t="s">
        <v>47</v>
      </c>
      <c r="N2668" s="10"/>
      <c r="O2668" s="2">
        <v>5</v>
      </c>
      <c r="P2668" s="17">
        <f>169*(1-S3/100)</f>
        <v>169</v>
      </c>
      <c r="Q2668" s="18"/>
      <c r="R2668" s="10">
        <f t="shared" si="119"/>
        <v>0</v>
      </c>
      <c r="S2668" s="19">
        <f>0.112*Q2668</f>
        <v>0</v>
      </c>
      <c r="T2668" s="20">
        <f>0.00022*Q2668</f>
        <v>0</v>
      </c>
      <c r="U2668" s="21"/>
      <c r="V2668" s="22" t="s">
        <v>12058</v>
      </c>
      <c r="W2668" s="22" t="s">
        <v>49</v>
      </c>
      <c r="X2668" s="3"/>
      <c r="Y2668" s="3" t="s">
        <v>12059</v>
      </c>
      <c r="Z2668" s="3" t="s">
        <v>52</v>
      </c>
      <c r="AA2668" s="3"/>
      <c r="AB2668" s="3"/>
      <c r="AC2668" s="3" t="str">
        <f>HYPERLINK("https://knigipp.ru/api/getInfo/image/3620ae62-9e05-11f0-a285-00155d82e908")</f>
        <v>https://knigipp.ru/api/getInfo/image/3620ae62-9e05-11f0-a285-00155d82e908</v>
      </c>
      <c r="AD2668" s="32">
        <v>10</v>
      </c>
      <c r="AE2668" s="3" t="s">
        <v>54</v>
      </c>
      <c r="AF2668" s="3" t="s">
        <v>209</v>
      </c>
      <c r="AG2668" s="3"/>
      <c r="AH2668" s="3" t="s">
        <v>56</v>
      </c>
      <c r="AI2668" s="3"/>
      <c r="AJ2668" s="3" t="s">
        <v>11885</v>
      </c>
      <c r="AK2668" s="3" t="str">
        <f>HYPERLINK("https://knigipp.ru/api/getInfo/item/3620ae62-9e05-11f0-a285-00155d82e908")</f>
        <v>https://knigipp.ru/api/getInfo/item/3620ae62-9e05-11f0-a285-00155d82e908</v>
      </c>
      <c r="AL2668" s="3" t="s">
        <v>11886</v>
      </c>
    </row>
    <row r="2669" spans="1:38" ht="21" customHeight="1" outlineLevel="4" x14ac:dyDescent="0.2">
      <c r="A2669" s="39">
        <v>2079</v>
      </c>
      <c r="B2669" s="3" t="s">
        <v>12060</v>
      </c>
      <c r="C2669" s="49" t="s">
        <v>12061</v>
      </c>
      <c r="D2669" s="49"/>
      <c r="E2669" s="49"/>
      <c r="F2669" s="49"/>
      <c r="G2669" s="4" t="s">
        <v>12062</v>
      </c>
      <c r="H2669" s="8"/>
      <c r="I2669" s="9" t="s">
        <v>12046</v>
      </c>
      <c r="J2669" s="10"/>
      <c r="K2669" s="11">
        <v>40</v>
      </c>
      <c r="L2669" s="10"/>
      <c r="M2669" s="10" t="s">
        <v>47</v>
      </c>
      <c r="N2669" s="10"/>
      <c r="O2669" s="2">
        <v>5</v>
      </c>
      <c r="P2669" s="17">
        <f>169*(1-S3/100)</f>
        <v>169</v>
      </c>
      <c r="Q2669" s="18"/>
      <c r="R2669" s="10">
        <f t="shared" si="119"/>
        <v>0</v>
      </c>
      <c r="S2669" s="19">
        <f>0.115*Q2669</f>
        <v>0</v>
      </c>
      <c r="T2669" s="20">
        <f>0.00018*Q2669</f>
        <v>0</v>
      </c>
      <c r="U2669" s="21"/>
      <c r="V2669" s="22" t="s">
        <v>12063</v>
      </c>
      <c r="W2669" s="22" t="s">
        <v>49</v>
      </c>
      <c r="X2669" s="3" t="s">
        <v>117</v>
      </c>
      <c r="Y2669" s="3"/>
      <c r="Z2669" s="3" t="s">
        <v>52</v>
      </c>
      <c r="AA2669" s="3"/>
      <c r="AB2669" s="3"/>
      <c r="AC2669" s="3" t="str">
        <f>HYPERLINK("https://knigipp.ru/api/getInfo/image/be2e534a-4f39-11ef-a262-00155d82e908")</f>
        <v>https://knigipp.ru/api/getInfo/image/be2e534a-4f39-11ef-a262-00155d82e908</v>
      </c>
      <c r="AD2669" s="32">
        <v>10</v>
      </c>
      <c r="AE2669" s="3" t="s">
        <v>54</v>
      </c>
      <c r="AF2669" s="3" t="s">
        <v>209</v>
      </c>
      <c r="AG2669" s="3"/>
      <c r="AH2669" s="3" t="s">
        <v>56</v>
      </c>
      <c r="AI2669" s="3"/>
      <c r="AJ2669" s="3"/>
      <c r="AK2669" s="3" t="str">
        <f>HYPERLINK("https://knigipp.ru/api/getInfo/item/be2e534a-4f39-11ef-a262-00155d82e908")</f>
        <v>https://knigipp.ru/api/getInfo/item/be2e534a-4f39-11ef-a262-00155d82e908</v>
      </c>
      <c r="AL2669" s="3" t="s">
        <v>3341</v>
      </c>
    </row>
    <row r="2670" spans="1:38" ht="21" customHeight="1" outlineLevel="4" x14ac:dyDescent="0.2">
      <c r="A2670" s="39">
        <v>2080</v>
      </c>
      <c r="B2670" s="3" t="s">
        <v>12064</v>
      </c>
      <c r="C2670" s="49" t="s">
        <v>12065</v>
      </c>
      <c r="D2670" s="49"/>
      <c r="E2670" s="49"/>
      <c r="F2670" s="49"/>
      <c r="G2670" s="4" t="s">
        <v>12066</v>
      </c>
      <c r="H2670" s="8"/>
      <c r="I2670" s="9" t="s">
        <v>12057</v>
      </c>
      <c r="J2670" s="10"/>
      <c r="K2670" s="11">
        <v>40</v>
      </c>
      <c r="L2670" s="10"/>
      <c r="M2670" s="10" t="s">
        <v>47</v>
      </c>
      <c r="N2670" s="10"/>
      <c r="O2670" s="2">
        <v>5</v>
      </c>
      <c r="P2670" s="17">
        <f>169*(1-S3/100)</f>
        <v>169</v>
      </c>
      <c r="Q2670" s="18"/>
      <c r="R2670" s="10">
        <f t="shared" si="119"/>
        <v>0</v>
      </c>
      <c r="S2670" s="19">
        <f>0.107*Q2670</f>
        <v>0</v>
      </c>
      <c r="T2670" s="20">
        <f>0.00018*Q2670</f>
        <v>0</v>
      </c>
      <c r="U2670" s="21"/>
      <c r="V2670" s="22" t="s">
        <v>12067</v>
      </c>
      <c r="W2670" s="22" t="s">
        <v>49</v>
      </c>
      <c r="X2670" s="3"/>
      <c r="Y2670" s="3" t="s">
        <v>12068</v>
      </c>
      <c r="Z2670" s="3" t="s">
        <v>52</v>
      </c>
      <c r="AA2670" s="3"/>
      <c r="AB2670" s="3"/>
      <c r="AC2670" s="3" t="str">
        <f>HYPERLINK("https://knigipp.ru/api/getInfo/image/b4b72512-9e05-11f0-a285-00155d82e908")</f>
        <v>https://knigipp.ru/api/getInfo/image/b4b72512-9e05-11f0-a285-00155d82e908</v>
      </c>
      <c r="AD2670" s="32">
        <v>10</v>
      </c>
      <c r="AE2670" s="3" t="s">
        <v>54</v>
      </c>
      <c r="AF2670" s="3" t="s">
        <v>209</v>
      </c>
      <c r="AG2670" s="3"/>
      <c r="AH2670" s="3" t="s">
        <v>56</v>
      </c>
      <c r="AI2670" s="3"/>
      <c r="AJ2670" s="3" t="s">
        <v>11885</v>
      </c>
      <c r="AK2670" s="3" t="str">
        <f>HYPERLINK("https://knigipp.ru/api/getInfo/item/b4b72512-9e05-11f0-a285-00155d82e908")</f>
        <v>https://knigipp.ru/api/getInfo/item/b4b72512-9e05-11f0-a285-00155d82e908</v>
      </c>
      <c r="AL2670" s="3" t="s">
        <v>11886</v>
      </c>
    </row>
    <row r="2671" spans="1:38" ht="21" customHeight="1" outlineLevel="4" x14ac:dyDescent="0.2">
      <c r="A2671" s="39">
        <v>2081</v>
      </c>
      <c r="B2671" s="3" t="s">
        <v>12069</v>
      </c>
      <c r="C2671" s="49" t="s">
        <v>12070</v>
      </c>
      <c r="D2671" s="49"/>
      <c r="E2671" s="49"/>
      <c r="F2671" s="49"/>
      <c r="G2671" s="4" t="s">
        <v>12071</v>
      </c>
      <c r="H2671" s="8"/>
      <c r="I2671" s="9" t="s">
        <v>12057</v>
      </c>
      <c r="J2671" s="10"/>
      <c r="K2671" s="11">
        <v>40</v>
      </c>
      <c r="L2671" s="10"/>
      <c r="M2671" s="10" t="s">
        <v>47</v>
      </c>
      <c r="N2671" s="10"/>
      <c r="O2671" s="2">
        <v>5</v>
      </c>
      <c r="P2671" s="17">
        <f>169*(1-S3/100)</f>
        <v>169</v>
      </c>
      <c r="Q2671" s="18"/>
      <c r="R2671" s="10">
        <f t="shared" si="119"/>
        <v>0</v>
      </c>
      <c r="S2671" s="19">
        <f>0.109*Q2671</f>
        <v>0</v>
      </c>
      <c r="T2671" s="20">
        <f>0.00022*Q2671</f>
        <v>0</v>
      </c>
      <c r="U2671" s="21"/>
      <c r="V2671" s="22" t="s">
        <v>12072</v>
      </c>
      <c r="W2671" s="22" t="s">
        <v>49</v>
      </c>
      <c r="X2671" s="3"/>
      <c r="Y2671" s="3" t="s">
        <v>12073</v>
      </c>
      <c r="Z2671" s="3" t="s">
        <v>52</v>
      </c>
      <c r="AA2671" s="3"/>
      <c r="AB2671" s="3"/>
      <c r="AC2671" s="3" t="str">
        <f>HYPERLINK("https://knigipp.ru/api/getInfo/image/fd85e963-9e05-11f0-a285-00155d82e908")</f>
        <v>https://knigipp.ru/api/getInfo/image/fd85e963-9e05-11f0-a285-00155d82e908</v>
      </c>
      <c r="AD2671" s="32">
        <v>10</v>
      </c>
      <c r="AE2671" s="3" t="s">
        <v>54</v>
      </c>
      <c r="AF2671" s="3" t="s">
        <v>209</v>
      </c>
      <c r="AG2671" s="3"/>
      <c r="AH2671" s="3" t="s">
        <v>56</v>
      </c>
      <c r="AI2671" s="3"/>
      <c r="AJ2671" s="3" t="s">
        <v>11885</v>
      </c>
      <c r="AK2671" s="3" t="str">
        <f>HYPERLINK("https://knigipp.ru/api/getInfo/item/fd85e963-9e05-11f0-a285-00155d82e908")</f>
        <v>https://knigipp.ru/api/getInfo/item/fd85e963-9e05-11f0-a285-00155d82e908</v>
      </c>
      <c r="AL2671" s="3" t="s">
        <v>11886</v>
      </c>
    </row>
    <row r="2672" spans="1:38" ht="23.1" customHeight="1" outlineLevel="3" x14ac:dyDescent="0.2">
      <c r="A2672" s="48" t="s">
        <v>12074</v>
      </c>
      <c r="B2672" s="48"/>
      <c r="C2672" s="48"/>
      <c r="D2672" s="48"/>
      <c r="E2672" s="48"/>
      <c r="F2672" s="48"/>
    </row>
    <row r="2673" spans="1:38" ht="21" customHeight="1" outlineLevel="4" x14ac:dyDescent="0.2">
      <c r="A2673" s="39">
        <v>2082</v>
      </c>
      <c r="B2673" s="3" t="s">
        <v>12075</v>
      </c>
      <c r="C2673" s="49" t="s">
        <v>12076</v>
      </c>
      <c r="D2673" s="49"/>
      <c r="E2673" s="49"/>
      <c r="F2673" s="49"/>
      <c r="G2673" s="4" t="s">
        <v>12077</v>
      </c>
      <c r="H2673" s="8"/>
      <c r="I2673" s="9" t="s">
        <v>12078</v>
      </c>
      <c r="J2673" s="10"/>
      <c r="K2673" s="11">
        <v>48</v>
      </c>
      <c r="L2673" s="10"/>
      <c r="M2673" s="10" t="s">
        <v>47</v>
      </c>
      <c r="N2673" s="10"/>
      <c r="O2673" s="2">
        <v>8</v>
      </c>
      <c r="P2673" s="17">
        <f>107*(1-S3/100)</f>
        <v>107</v>
      </c>
      <c r="Q2673" s="18"/>
      <c r="R2673" s="10">
        <f t="shared" ref="R2673:R2717" si="120">P2673*Q2673</f>
        <v>0</v>
      </c>
      <c r="S2673" s="19">
        <f>0.056*Q2673</f>
        <v>0</v>
      </c>
      <c r="T2673" s="20">
        <f>0.00013*Q2673</f>
        <v>0</v>
      </c>
      <c r="U2673" s="21"/>
      <c r="V2673" s="22" t="s">
        <v>12079</v>
      </c>
      <c r="W2673" s="22" t="s">
        <v>49</v>
      </c>
      <c r="X2673" s="3" t="s">
        <v>12080</v>
      </c>
      <c r="Y2673" s="3"/>
      <c r="Z2673" s="3" t="s">
        <v>52</v>
      </c>
      <c r="AA2673" s="3" t="s">
        <v>10252</v>
      </c>
      <c r="AB2673" s="3"/>
      <c r="AC2673" s="3" t="str">
        <f>HYPERLINK("https://knigipp.ru/api/getInfo/image/83cca622-c686-11e1-81d3-5ef3fc502493")</f>
        <v>https://knigipp.ru/api/getInfo/image/83cca622-c686-11e1-81d3-5ef3fc502493</v>
      </c>
      <c r="AD2673" s="32">
        <v>10</v>
      </c>
      <c r="AE2673" s="3"/>
      <c r="AF2673" s="3" t="s">
        <v>209</v>
      </c>
      <c r="AG2673" s="3"/>
      <c r="AH2673" s="3" t="s">
        <v>56</v>
      </c>
      <c r="AI2673" s="3"/>
      <c r="AJ2673" s="3" t="s">
        <v>11885</v>
      </c>
      <c r="AK2673" s="3" t="str">
        <f>HYPERLINK("https://knigipp.ru/api/getInfo/item/83cca622-c686-11e1-81d3-5ef3fc502493")</f>
        <v>https://knigipp.ru/api/getInfo/item/83cca622-c686-11e1-81d3-5ef3fc502493</v>
      </c>
      <c r="AL2673" s="3" t="s">
        <v>564</v>
      </c>
    </row>
    <row r="2674" spans="1:38" ht="21" customHeight="1" outlineLevel="4" x14ac:dyDescent="0.2">
      <c r="A2674" s="39">
        <v>2083</v>
      </c>
      <c r="B2674" s="3" t="s">
        <v>12081</v>
      </c>
      <c r="C2674" s="49" t="s">
        <v>12082</v>
      </c>
      <c r="D2674" s="49"/>
      <c r="E2674" s="49"/>
      <c r="F2674" s="49"/>
      <c r="G2674" s="4" t="s">
        <v>12083</v>
      </c>
      <c r="H2674" s="8"/>
      <c r="I2674" s="9" t="s">
        <v>11963</v>
      </c>
      <c r="J2674" s="10"/>
      <c r="K2674" s="11">
        <v>48</v>
      </c>
      <c r="L2674" s="10"/>
      <c r="M2674" s="10" t="s">
        <v>47</v>
      </c>
      <c r="N2674" s="10"/>
      <c r="O2674" s="2">
        <v>8</v>
      </c>
      <c r="P2674" s="17">
        <f>107*(1-S3/100)</f>
        <v>107</v>
      </c>
      <c r="Q2674" s="18"/>
      <c r="R2674" s="10">
        <f t="shared" si="120"/>
        <v>0</v>
      </c>
      <c r="S2674" s="19">
        <f>0.105*Q2674</f>
        <v>0</v>
      </c>
      <c r="T2674" s="20">
        <f>0.00015*Q2674</f>
        <v>0</v>
      </c>
      <c r="U2674" s="21"/>
      <c r="V2674" s="22" t="s">
        <v>12084</v>
      </c>
      <c r="W2674" s="22" t="s">
        <v>49</v>
      </c>
      <c r="X2674" s="3" t="s">
        <v>12031</v>
      </c>
      <c r="Y2674" s="3" t="s">
        <v>12085</v>
      </c>
      <c r="Z2674" s="3" t="s">
        <v>52</v>
      </c>
      <c r="AA2674" s="3"/>
      <c r="AB2674" s="3"/>
      <c r="AC2674" s="3" t="str">
        <f>HYPERLINK("https://knigipp.ru/api/getInfo/image/18e65286-0e38-11f0-a279-00155d82e908")</f>
        <v>https://knigipp.ru/api/getInfo/image/18e65286-0e38-11f0-a279-00155d82e908</v>
      </c>
      <c r="AD2674" s="32">
        <v>10</v>
      </c>
      <c r="AE2674" s="3" t="s">
        <v>54</v>
      </c>
      <c r="AF2674" s="3" t="s">
        <v>209</v>
      </c>
      <c r="AG2674" s="3"/>
      <c r="AH2674" s="3" t="s">
        <v>56</v>
      </c>
      <c r="AI2674" s="3"/>
      <c r="AJ2674" s="3" t="s">
        <v>11885</v>
      </c>
      <c r="AK2674" s="3" t="str">
        <f>HYPERLINK("https://knigipp.ru/api/getInfo/item/18e65286-0e38-11f0-a279-00155d82e908")</f>
        <v>https://knigipp.ru/api/getInfo/item/18e65286-0e38-11f0-a279-00155d82e908</v>
      </c>
      <c r="AL2674" s="3" t="s">
        <v>564</v>
      </c>
    </row>
    <row r="2675" spans="1:38" ht="21" customHeight="1" outlineLevel="4" x14ac:dyDescent="0.2">
      <c r="A2675" s="39">
        <v>2084</v>
      </c>
      <c r="B2675" s="3" t="s">
        <v>12086</v>
      </c>
      <c r="C2675" s="49" t="s">
        <v>12087</v>
      </c>
      <c r="D2675" s="49"/>
      <c r="E2675" s="49"/>
      <c r="F2675" s="49"/>
      <c r="G2675" s="4" t="s">
        <v>12088</v>
      </c>
      <c r="H2675" s="8"/>
      <c r="I2675" s="9" t="s">
        <v>12078</v>
      </c>
      <c r="J2675" s="10"/>
      <c r="K2675" s="11">
        <v>48</v>
      </c>
      <c r="L2675" s="10"/>
      <c r="M2675" s="10" t="s">
        <v>47</v>
      </c>
      <c r="N2675" s="10"/>
      <c r="O2675" s="2">
        <v>8</v>
      </c>
      <c r="P2675" s="17">
        <f>107*(1-S3/100)</f>
        <v>107</v>
      </c>
      <c r="Q2675" s="18"/>
      <c r="R2675" s="10">
        <f t="shared" si="120"/>
        <v>0</v>
      </c>
      <c r="S2675" s="19">
        <f>0.056*Q2675</f>
        <v>0</v>
      </c>
      <c r="T2675" s="20">
        <f>0.00022*Q2675</f>
        <v>0</v>
      </c>
      <c r="U2675" s="21"/>
      <c r="V2675" s="22" t="s">
        <v>12089</v>
      </c>
      <c r="W2675" s="22" t="s">
        <v>49</v>
      </c>
      <c r="X2675" s="3"/>
      <c r="Y2675" s="3"/>
      <c r="Z2675" s="3" t="s">
        <v>52</v>
      </c>
      <c r="AA2675" s="3" t="s">
        <v>12032</v>
      </c>
      <c r="AB2675" s="3"/>
      <c r="AC2675" s="3" t="str">
        <f>HYPERLINK("https://knigipp.ru/api/getInfo/image/83cca625-c686-11e1-81d3-5ef3fc502493")</f>
        <v>https://knigipp.ru/api/getInfo/image/83cca625-c686-11e1-81d3-5ef3fc502493</v>
      </c>
      <c r="AD2675" s="32">
        <v>10</v>
      </c>
      <c r="AE2675" s="3"/>
      <c r="AF2675" s="3" t="s">
        <v>209</v>
      </c>
      <c r="AG2675" s="3"/>
      <c r="AH2675" s="3" t="s">
        <v>56</v>
      </c>
      <c r="AI2675" s="3"/>
      <c r="AJ2675" s="3" t="s">
        <v>11885</v>
      </c>
      <c r="AK2675" s="3" t="str">
        <f>HYPERLINK("https://knigipp.ru/api/getInfo/item/83cca625-c686-11e1-81d3-5ef3fc502493")</f>
        <v>https://knigipp.ru/api/getInfo/item/83cca625-c686-11e1-81d3-5ef3fc502493</v>
      </c>
      <c r="AL2675" s="3" t="s">
        <v>564</v>
      </c>
    </row>
    <row r="2676" spans="1:38" ht="21" customHeight="1" outlineLevel="4" x14ac:dyDescent="0.2">
      <c r="A2676" s="39">
        <v>2085</v>
      </c>
      <c r="B2676" s="3" t="s">
        <v>12090</v>
      </c>
      <c r="C2676" s="49" t="s">
        <v>12091</v>
      </c>
      <c r="D2676" s="49"/>
      <c r="E2676" s="49"/>
      <c r="F2676" s="49"/>
      <c r="G2676" s="4" t="s">
        <v>12092</v>
      </c>
      <c r="H2676" s="8"/>
      <c r="I2676" s="9" t="s">
        <v>12078</v>
      </c>
      <c r="J2676" s="10"/>
      <c r="K2676" s="11">
        <v>48</v>
      </c>
      <c r="L2676" s="10"/>
      <c r="M2676" s="10" t="s">
        <v>47</v>
      </c>
      <c r="N2676" s="10"/>
      <c r="O2676" s="2">
        <v>8</v>
      </c>
      <c r="P2676" s="17">
        <f>107*(1-S3/100)</f>
        <v>107</v>
      </c>
      <c r="Q2676" s="18"/>
      <c r="R2676" s="10">
        <f t="shared" si="120"/>
        <v>0</v>
      </c>
      <c r="S2676" s="19">
        <f>0.105*Q2676</f>
        <v>0</v>
      </c>
      <c r="T2676" s="20">
        <f>0.00015*Q2676</f>
        <v>0</v>
      </c>
      <c r="U2676" s="21"/>
      <c r="V2676" s="22" t="s">
        <v>12093</v>
      </c>
      <c r="W2676" s="22" t="s">
        <v>49</v>
      </c>
      <c r="X2676" s="3" t="s">
        <v>672</v>
      </c>
      <c r="Y2676" s="3" t="s">
        <v>12094</v>
      </c>
      <c r="Z2676" s="3" t="s">
        <v>52</v>
      </c>
      <c r="AA2676" s="3"/>
      <c r="AB2676" s="3"/>
      <c r="AC2676" s="3" t="str">
        <f>HYPERLINK("https://knigipp.ru/api/getInfo/image/b3259a54-3772-11ee-a240-00155d82e902")</f>
        <v>https://knigipp.ru/api/getInfo/image/b3259a54-3772-11ee-a240-00155d82e902</v>
      </c>
      <c r="AD2676" s="32">
        <v>10</v>
      </c>
      <c r="AE2676" s="3" t="s">
        <v>54</v>
      </c>
      <c r="AF2676" s="3" t="s">
        <v>209</v>
      </c>
      <c r="AG2676" s="3"/>
      <c r="AH2676" s="3" t="s">
        <v>56</v>
      </c>
      <c r="AI2676" s="3"/>
      <c r="AJ2676" s="3" t="s">
        <v>11885</v>
      </c>
      <c r="AK2676" s="3" t="str">
        <f>HYPERLINK("https://knigipp.ru/api/getInfo/item/b3259a54-3772-11ee-a240-00155d82e902")</f>
        <v>https://knigipp.ru/api/getInfo/item/b3259a54-3772-11ee-a240-00155d82e902</v>
      </c>
      <c r="AL2676" s="3" t="s">
        <v>564</v>
      </c>
    </row>
    <row r="2677" spans="1:38" ht="21" customHeight="1" outlineLevel="4" x14ac:dyDescent="0.2">
      <c r="A2677" s="39">
        <v>2086</v>
      </c>
      <c r="B2677" s="3" t="s">
        <v>12095</v>
      </c>
      <c r="C2677" s="49" t="s">
        <v>12096</v>
      </c>
      <c r="D2677" s="49"/>
      <c r="E2677" s="49"/>
      <c r="F2677" s="49"/>
      <c r="G2677" s="4" t="s">
        <v>12097</v>
      </c>
      <c r="H2677" s="8"/>
      <c r="I2677" s="9"/>
      <c r="J2677" s="10"/>
      <c r="K2677" s="11">
        <v>48</v>
      </c>
      <c r="L2677" s="10"/>
      <c r="M2677" s="10" t="s">
        <v>47</v>
      </c>
      <c r="N2677" s="10"/>
      <c r="O2677" s="2">
        <v>8</v>
      </c>
      <c r="P2677" s="17">
        <f>107*(1-S3/100)</f>
        <v>107</v>
      </c>
      <c r="Q2677" s="18"/>
      <c r="R2677" s="10">
        <f t="shared" si="120"/>
        <v>0</v>
      </c>
      <c r="S2677" s="19">
        <f>0.058*Q2677</f>
        <v>0</v>
      </c>
      <c r="T2677" s="20">
        <f>0.00011*Q2677</f>
        <v>0</v>
      </c>
      <c r="U2677" s="21"/>
      <c r="V2677" s="22" t="s">
        <v>12098</v>
      </c>
      <c r="W2677" s="22" t="s">
        <v>49</v>
      </c>
      <c r="X2677" s="3" t="s">
        <v>12031</v>
      </c>
      <c r="Y2677" s="3"/>
      <c r="Z2677" s="3" t="s">
        <v>52</v>
      </c>
      <c r="AA2677" s="3"/>
      <c r="AB2677" s="3"/>
      <c r="AC2677" s="3" t="str">
        <f>HYPERLINK("https://knigipp.ru/api/getInfo/image/e983a92d-cc58-11f0-a28a-00155d82e908")</f>
        <v>https://knigipp.ru/api/getInfo/image/e983a92d-cc58-11f0-a28a-00155d82e908</v>
      </c>
      <c r="AD2677" s="32">
        <v>10</v>
      </c>
      <c r="AE2677" s="3" t="s">
        <v>54</v>
      </c>
      <c r="AF2677" s="3" t="s">
        <v>209</v>
      </c>
      <c r="AG2677" s="3"/>
      <c r="AH2677" s="3" t="s">
        <v>56</v>
      </c>
      <c r="AI2677" s="3"/>
      <c r="AJ2677" s="3"/>
      <c r="AK2677" s="3" t="str">
        <f>HYPERLINK("https://knigipp.ru/api/getInfo/item/e983a92d-cc58-11f0-a28a-00155d82e908")</f>
        <v>https://knigipp.ru/api/getInfo/item/e983a92d-cc58-11f0-a28a-00155d82e908</v>
      </c>
      <c r="AL2677" s="3" t="s">
        <v>564</v>
      </c>
    </row>
    <row r="2678" spans="1:38" ht="21" customHeight="1" outlineLevel="4" x14ac:dyDescent="0.2">
      <c r="A2678" s="39">
        <v>2087</v>
      </c>
      <c r="B2678" s="3" t="s">
        <v>12099</v>
      </c>
      <c r="C2678" s="49" t="s">
        <v>12100</v>
      </c>
      <c r="D2678" s="49"/>
      <c r="E2678" s="49"/>
      <c r="F2678" s="49"/>
      <c r="G2678" s="4" t="s">
        <v>12101</v>
      </c>
      <c r="H2678" s="8"/>
      <c r="I2678" s="9" t="s">
        <v>12078</v>
      </c>
      <c r="J2678" s="10"/>
      <c r="K2678" s="11">
        <v>48</v>
      </c>
      <c r="L2678" s="10"/>
      <c r="M2678" s="10" t="s">
        <v>47</v>
      </c>
      <c r="N2678" s="10"/>
      <c r="O2678" s="2">
        <v>8</v>
      </c>
      <c r="P2678" s="17">
        <f>107*(1-S3/100)</f>
        <v>107</v>
      </c>
      <c r="Q2678" s="18"/>
      <c r="R2678" s="10">
        <f t="shared" si="120"/>
        <v>0</v>
      </c>
      <c r="S2678" s="19">
        <f>0.054*Q2678</f>
        <v>0</v>
      </c>
      <c r="T2678" s="20">
        <f>0.00011*Q2678</f>
        <v>0</v>
      </c>
      <c r="U2678" s="21"/>
      <c r="V2678" s="22" t="s">
        <v>12102</v>
      </c>
      <c r="W2678" s="22" t="s">
        <v>49</v>
      </c>
      <c r="X2678" s="3" t="s">
        <v>12031</v>
      </c>
      <c r="Y2678" s="3"/>
      <c r="Z2678" s="3" t="s">
        <v>52</v>
      </c>
      <c r="AA2678" s="3" t="s">
        <v>11940</v>
      </c>
      <c r="AB2678" s="3"/>
      <c r="AC2678" s="3" t="str">
        <f>HYPERLINK("https://knigipp.ru/api/getInfo/image/83cca62a-c686-11e1-81d3-5ef3fc502493")</f>
        <v>https://knigipp.ru/api/getInfo/image/83cca62a-c686-11e1-81d3-5ef3fc502493</v>
      </c>
      <c r="AD2678" s="32">
        <v>10</v>
      </c>
      <c r="AE2678" s="3"/>
      <c r="AF2678" s="3" t="s">
        <v>209</v>
      </c>
      <c r="AG2678" s="3"/>
      <c r="AH2678" s="3" t="s">
        <v>56</v>
      </c>
      <c r="AI2678" s="3"/>
      <c r="AJ2678" s="3" t="s">
        <v>11885</v>
      </c>
      <c r="AK2678" s="3" t="str">
        <f>HYPERLINK("https://knigipp.ru/api/getInfo/item/83cca62a-c686-11e1-81d3-5ef3fc502493")</f>
        <v>https://knigipp.ru/api/getInfo/item/83cca62a-c686-11e1-81d3-5ef3fc502493</v>
      </c>
      <c r="AL2678" s="3" t="s">
        <v>564</v>
      </c>
    </row>
    <row r="2679" spans="1:38" ht="21" customHeight="1" outlineLevel="4" x14ac:dyDescent="0.2">
      <c r="A2679" s="39">
        <v>2088</v>
      </c>
      <c r="B2679" s="3" t="s">
        <v>12103</v>
      </c>
      <c r="C2679" s="49" t="s">
        <v>12104</v>
      </c>
      <c r="D2679" s="49"/>
      <c r="E2679" s="49"/>
      <c r="F2679" s="49"/>
      <c r="G2679" s="4" t="s">
        <v>12105</v>
      </c>
      <c r="H2679" s="8"/>
      <c r="I2679" s="9" t="s">
        <v>12078</v>
      </c>
      <c r="J2679" s="10"/>
      <c r="K2679" s="11">
        <v>48</v>
      </c>
      <c r="L2679" s="10"/>
      <c r="M2679" s="10" t="s">
        <v>47</v>
      </c>
      <c r="N2679" s="10"/>
      <c r="O2679" s="2">
        <v>8</v>
      </c>
      <c r="P2679" s="17">
        <f>107*(1-S3/100)</f>
        <v>107</v>
      </c>
      <c r="Q2679" s="18"/>
      <c r="R2679" s="10">
        <f t="shared" si="120"/>
        <v>0</v>
      </c>
      <c r="S2679" s="19">
        <f>0.039*Q2679</f>
        <v>0</v>
      </c>
      <c r="T2679" s="20">
        <f>0.00019*Q2679</f>
        <v>0</v>
      </c>
      <c r="U2679" s="21"/>
      <c r="V2679" s="22" t="s">
        <v>12106</v>
      </c>
      <c r="W2679" s="22" t="s">
        <v>49</v>
      </c>
      <c r="X2679" s="3"/>
      <c r="Y2679" s="3"/>
      <c r="Z2679" s="3" t="s">
        <v>52</v>
      </c>
      <c r="AA2679" s="3" t="s">
        <v>11940</v>
      </c>
      <c r="AB2679" s="3"/>
      <c r="AC2679" s="3" t="str">
        <f>HYPERLINK("https://knigipp.ru/api/getInfo/image/83cca62d-c686-11e1-81d3-5ef3fc502493")</f>
        <v>https://knigipp.ru/api/getInfo/image/83cca62d-c686-11e1-81d3-5ef3fc502493</v>
      </c>
      <c r="AD2679" s="32">
        <v>10</v>
      </c>
      <c r="AE2679" s="3"/>
      <c r="AF2679" s="3" t="s">
        <v>209</v>
      </c>
      <c r="AG2679" s="3"/>
      <c r="AH2679" s="3" t="s">
        <v>56</v>
      </c>
      <c r="AI2679" s="3"/>
      <c r="AJ2679" s="3" t="s">
        <v>11885</v>
      </c>
      <c r="AK2679" s="3" t="str">
        <f>HYPERLINK("https://knigipp.ru/api/getInfo/item/83cca62d-c686-11e1-81d3-5ef3fc502493")</f>
        <v>https://knigipp.ru/api/getInfo/item/83cca62d-c686-11e1-81d3-5ef3fc502493</v>
      </c>
      <c r="AL2679" s="3" t="s">
        <v>564</v>
      </c>
    </row>
    <row r="2680" spans="1:38" ht="21" customHeight="1" outlineLevel="4" x14ac:dyDescent="0.2">
      <c r="A2680" s="39">
        <v>2089</v>
      </c>
      <c r="B2680" s="3" t="s">
        <v>12107</v>
      </c>
      <c r="C2680" s="49" t="s">
        <v>12108</v>
      </c>
      <c r="D2680" s="49"/>
      <c r="E2680" s="49"/>
      <c r="F2680" s="49"/>
      <c r="G2680" s="4" t="s">
        <v>12109</v>
      </c>
      <c r="H2680" s="8"/>
      <c r="I2680" s="9" t="s">
        <v>12078</v>
      </c>
      <c r="J2680" s="10"/>
      <c r="K2680" s="11">
        <v>48</v>
      </c>
      <c r="L2680" s="10"/>
      <c r="M2680" s="10" t="s">
        <v>47</v>
      </c>
      <c r="N2680" s="10"/>
      <c r="O2680" s="2">
        <v>8</v>
      </c>
      <c r="P2680" s="17">
        <f>107*(1-S3/100)</f>
        <v>107</v>
      </c>
      <c r="Q2680" s="18"/>
      <c r="R2680" s="10">
        <f t="shared" si="120"/>
        <v>0</v>
      </c>
      <c r="S2680" s="19">
        <f>0.048*Q2680</f>
        <v>0</v>
      </c>
      <c r="T2680" s="20">
        <f>0.00017*Q2680</f>
        <v>0</v>
      </c>
      <c r="U2680" s="21"/>
      <c r="V2680" s="22" t="s">
        <v>12110</v>
      </c>
      <c r="W2680" s="22" t="s">
        <v>49</v>
      </c>
      <c r="X2680" s="3" t="s">
        <v>12031</v>
      </c>
      <c r="Y2680" s="3"/>
      <c r="Z2680" s="3" t="s">
        <v>52</v>
      </c>
      <c r="AA2680" s="3" t="s">
        <v>11940</v>
      </c>
      <c r="AB2680" s="3"/>
      <c r="AC2680" s="3" t="str">
        <f>HYPERLINK("https://knigipp.ru/api/getInfo/image/83cca630-c686-11e1-81d3-5ef3fc502493")</f>
        <v>https://knigipp.ru/api/getInfo/image/83cca630-c686-11e1-81d3-5ef3fc502493</v>
      </c>
      <c r="AD2680" s="32">
        <v>10</v>
      </c>
      <c r="AE2680" s="3"/>
      <c r="AF2680" s="3" t="s">
        <v>209</v>
      </c>
      <c r="AG2680" s="3"/>
      <c r="AH2680" s="3" t="s">
        <v>56</v>
      </c>
      <c r="AI2680" s="3"/>
      <c r="AJ2680" s="3" t="s">
        <v>11885</v>
      </c>
      <c r="AK2680" s="3" t="str">
        <f>HYPERLINK("https://knigipp.ru/api/getInfo/item/83cca630-c686-11e1-81d3-5ef3fc502493")</f>
        <v>https://knigipp.ru/api/getInfo/item/83cca630-c686-11e1-81d3-5ef3fc502493</v>
      </c>
      <c r="AL2680" s="3" t="s">
        <v>564</v>
      </c>
    </row>
    <row r="2681" spans="1:38" ht="21" customHeight="1" outlineLevel="4" x14ac:dyDescent="0.2">
      <c r="A2681" s="39">
        <v>2090</v>
      </c>
      <c r="B2681" s="3" t="s">
        <v>12111</v>
      </c>
      <c r="C2681" s="49" t="s">
        <v>12112</v>
      </c>
      <c r="D2681" s="49"/>
      <c r="E2681" s="49"/>
      <c r="F2681" s="49"/>
      <c r="G2681" s="4" t="s">
        <v>12113</v>
      </c>
      <c r="H2681" s="8"/>
      <c r="I2681" s="9" t="s">
        <v>11963</v>
      </c>
      <c r="J2681" s="10"/>
      <c r="K2681" s="11">
        <v>48</v>
      </c>
      <c r="L2681" s="10"/>
      <c r="M2681" s="10" t="s">
        <v>47</v>
      </c>
      <c r="N2681" s="10"/>
      <c r="O2681" s="2">
        <v>8</v>
      </c>
      <c r="P2681" s="17">
        <f>107*(1-S3/100)</f>
        <v>107</v>
      </c>
      <c r="Q2681" s="18"/>
      <c r="R2681" s="10">
        <f t="shared" si="120"/>
        <v>0</v>
      </c>
      <c r="S2681" s="19">
        <f>0.056*Q2681</f>
        <v>0</v>
      </c>
      <c r="T2681" s="20">
        <f>0.00011*Q2681</f>
        <v>0</v>
      </c>
      <c r="U2681" s="21"/>
      <c r="V2681" s="22" t="s">
        <v>12114</v>
      </c>
      <c r="W2681" s="22" t="s">
        <v>49</v>
      </c>
      <c r="X2681" s="3"/>
      <c r="Y2681" s="3" t="s">
        <v>12115</v>
      </c>
      <c r="Z2681" s="3" t="s">
        <v>52</v>
      </c>
      <c r="AA2681" s="3"/>
      <c r="AB2681" s="3"/>
      <c r="AC2681" s="3" t="str">
        <f>HYPERLINK("https://knigipp.ru/api/getInfo/image/1b18d84d-25bc-11f0-a279-00155d82e908")</f>
        <v>https://knigipp.ru/api/getInfo/image/1b18d84d-25bc-11f0-a279-00155d82e908</v>
      </c>
      <c r="AD2681" s="32">
        <v>10</v>
      </c>
      <c r="AE2681" s="3"/>
      <c r="AF2681" s="3" t="s">
        <v>209</v>
      </c>
      <c r="AG2681" s="3"/>
      <c r="AH2681" s="3" t="s">
        <v>56</v>
      </c>
      <c r="AI2681" s="3"/>
      <c r="AJ2681" s="3" t="s">
        <v>11885</v>
      </c>
      <c r="AK2681" s="3" t="str">
        <f>HYPERLINK("https://knigipp.ru/api/getInfo/item/1b18d84d-25bc-11f0-a279-00155d82e908")</f>
        <v>https://knigipp.ru/api/getInfo/item/1b18d84d-25bc-11f0-a279-00155d82e908</v>
      </c>
      <c r="AL2681" s="3" t="s">
        <v>564</v>
      </c>
    </row>
    <row r="2682" spans="1:38" ht="21" customHeight="1" outlineLevel="4" x14ac:dyDescent="0.2">
      <c r="A2682" s="39">
        <v>2091</v>
      </c>
      <c r="B2682" s="3" t="s">
        <v>12116</v>
      </c>
      <c r="C2682" s="49" t="s">
        <v>12117</v>
      </c>
      <c r="D2682" s="49"/>
      <c r="E2682" s="49"/>
      <c r="F2682" s="49"/>
      <c r="G2682" s="4" t="s">
        <v>12118</v>
      </c>
      <c r="H2682" s="8"/>
      <c r="I2682" s="9" t="s">
        <v>12078</v>
      </c>
      <c r="J2682" s="10"/>
      <c r="K2682" s="11">
        <v>48</v>
      </c>
      <c r="L2682" s="10"/>
      <c r="M2682" s="10" t="s">
        <v>47</v>
      </c>
      <c r="N2682" s="10"/>
      <c r="O2682" s="2">
        <v>8</v>
      </c>
      <c r="P2682" s="17">
        <f>107*(1-S3/100)</f>
        <v>107</v>
      </c>
      <c r="Q2682" s="18"/>
      <c r="R2682" s="10">
        <f t="shared" si="120"/>
        <v>0</v>
      </c>
      <c r="S2682" s="28">
        <f>0.07*Q2682</f>
        <v>0</v>
      </c>
      <c r="T2682" s="20">
        <f>0.00011*Q2682</f>
        <v>0</v>
      </c>
      <c r="U2682" s="21"/>
      <c r="V2682" s="22" t="s">
        <v>12119</v>
      </c>
      <c r="W2682" s="22" t="s">
        <v>49</v>
      </c>
      <c r="X2682" s="3"/>
      <c r="Y2682" s="3"/>
      <c r="Z2682" s="3" t="s">
        <v>52</v>
      </c>
      <c r="AA2682" s="3" t="s">
        <v>10252</v>
      </c>
      <c r="AB2682" s="3"/>
      <c r="AC2682" s="3" t="str">
        <f>HYPERLINK("https://knigipp.ru/api/getInfo/image/83cca632-c686-11e1-81d3-5ef3fc502493")</f>
        <v>https://knigipp.ru/api/getInfo/image/83cca632-c686-11e1-81d3-5ef3fc502493</v>
      </c>
      <c r="AD2682" s="32">
        <v>10</v>
      </c>
      <c r="AE2682" s="3"/>
      <c r="AF2682" s="3" t="s">
        <v>209</v>
      </c>
      <c r="AG2682" s="3"/>
      <c r="AH2682" s="3" t="s">
        <v>56</v>
      </c>
      <c r="AI2682" s="3"/>
      <c r="AJ2682" s="3" t="s">
        <v>11885</v>
      </c>
      <c r="AK2682" s="3" t="str">
        <f>HYPERLINK("https://knigipp.ru/api/getInfo/item/83cca632-c686-11e1-81d3-5ef3fc502493")</f>
        <v>https://knigipp.ru/api/getInfo/item/83cca632-c686-11e1-81d3-5ef3fc502493</v>
      </c>
      <c r="AL2682" s="3" t="s">
        <v>564</v>
      </c>
    </row>
    <row r="2683" spans="1:38" ht="21" customHeight="1" outlineLevel="4" x14ac:dyDescent="0.2">
      <c r="A2683" s="39">
        <v>2092</v>
      </c>
      <c r="B2683" s="3" t="s">
        <v>12120</v>
      </c>
      <c r="C2683" s="49" t="s">
        <v>12121</v>
      </c>
      <c r="D2683" s="49"/>
      <c r="E2683" s="49"/>
      <c r="F2683" s="49"/>
      <c r="G2683" s="4" t="s">
        <v>12122</v>
      </c>
      <c r="H2683" s="8"/>
      <c r="I2683" s="9" t="s">
        <v>12078</v>
      </c>
      <c r="J2683" s="10"/>
      <c r="K2683" s="11">
        <v>48</v>
      </c>
      <c r="L2683" s="10"/>
      <c r="M2683" s="10" t="s">
        <v>47</v>
      </c>
      <c r="N2683" s="10"/>
      <c r="O2683" s="2">
        <v>8</v>
      </c>
      <c r="P2683" s="17">
        <f>107*(1-S3/100)</f>
        <v>107</v>
      </c>
      <c r="Q2683" s="18"/>
      <c r="R2683" s="10">
        <f t="shared" si="120"/>
        <v>0</v>
      </c>
      <c r="S2683" s="19">
        <f>0.061*Q2683</f>
        <v>0</v>
      </c>
      <c r="T2683" s="20">
        <f>0.00009*Q2683</f>
        <v>0</v>
      </c>
      <c r="U2683" s="21"/>
      <c r="V2683" s="22" t="s">
        <v>12123</v>
      </c>
      <c r="W2683" s="22" t="s">
        <v>49</v>
      </c>
      <c r="X2683" s="3"/>
      <c r="Y2683" s="3"/>
      <c r="Z2683" s="3" t="s">
        <v>52</v>
      </c>
      <c r="AA2683" s="3"/>
      <c r="AB2683" s="3"/>
      <c r="AC2683" s="3" t="str">
        <f>HYPERLINK("https://knigipp.ru/api/getInfo/image/d42ac045-3771-11ee-a240-00155d82e902")</f>
        <v>https://knigipp.ru/api/getInfo/image/d42ac045-3771-11ee-a240-00155d82e902</v>
      </c>
      <c r="AD2683" s="32">
        <v>10</v>
      </c>
      <c r="AE2683" s="3" t="s">
        <v>54</v>
      </c>
      <c r="AF2683" s="3" t="s">
        <v>209</v>
      </c>
      <c r="AG2683" s="3"/>
      <c r="AH2683" s="3" t="s">
        <v>56</v>
      </c>
      <c r="AI2683" s="3"/>
      <c r="AJ2683" s="3" t="s">
        <v>11885</v>
      </c>
      <c r="AK2683" s="3" t="str">
        <f>HYPERLINK("https://knigipp.ru/api/getInfo/item/d42ac045-3771-11ee-a240-00155d82e902")</f>
        <v>https://knigipp.ru/api/getInfo/item/d42ac045-3771-11ee-a240-00155d82e902</v>
      </c>
      <c r="AL2683" s="3" t="s">
        <v>564</v>
      </c>
    </row>
    <row r="2684" spans="1:38" ht="21" customHeight="1" outlineLevel="4" x14ac:dyDescent="0.2">
      <c r="A2684" s="39">
        <v>2093</v>
      </c>
      <c r="B2684" s="3" t="s">
        <v>12124</v>
      </c>
      <c r="C2684" s="49" t="s">
        <v>12125</v>
      </c>
      <c r="D2684" s="49"/>
      <c r="E2684" s="49"/>
      <c r="F2684" s="49"/>
      <c r="G2684" s="4" t="s">
        <v>12126</v>
      </c>
      <c r="H2684" s="8"/>
      <c r="I2684" s="9" t="s">
        <v>12078</v>
      </c>
      <c r="J2684" s="10"/>
      <c r="K2684" s="11">
        <v>48</v>
      </c>
      <c r="L2684" s="10"/>
      <c r="M2684" s="10" t="s">
        <v>47</v>
      </c>
      <c r="N2684" s="10"/>
      <c r="O2684" s="2">
        <v>8</v>
      </c>
      <c r="P2684" s="17">
        <f>107*(1-S3/100)</f>
        <v>107</v>
      </c>
      <c r="Q2684" s="18"/>
      <c r="R2684" s="10">
        <f t="shared" si="120"/>
        <v>0</v>
      </c>
      <c r="S2684" s="19">
        <f>0.057*Q2684</f>
        <v>0</v>
      </c>
      <c r="T2684" s="20">
        <f>0.00007*Q2684</f>
        <v>0</v>
      </c>
      <c r="U2684" s="21"/>
      <c r="V2684" s="22" t="s">
        <v>12127</v>
      </c>
      <c r="W2684" s="22" t="s">
        <v>49</v>
      </c>
      <c r="X2684" s="3" t="s">
        <v>319</v>
      </c>
      <c r="Y2684" s="3" t="s">
        <v>12128</v>
      </c>
      <c r="Z2684" s="3" t="s">
        <v>52</v>
      </c>
      <c r="AA2684" s="3"/>
      <c r="AB2684" s="3"/>
      <c r="AC2684" s="3" t="str">
        <f>HYPERLINK("https://knigipp.ru/api/getInfo/image/745b5025-3772-11ee-a240-00155d82e902")</f>
        <v>https://knigipp.ru/api/getInfo/image/745b5025-3772-11ee-a240-00155d82e902</v>
      </c>
      <c r="AD2684" s="32">
        <v>10</v>
      </c>
      <c r="AE2684" s="3" t="s">
        <v>54</v>
      </c>
      <c r="AF2684" s="3" t="s">
        <v>209</v>
      </c>
      <c r="AG2684" s="3"/>
      <c r="AH2684" s="3" t="s">
        <v>56</v>
      </c>
      <c r="AI2684" s="3"/>
      <c r="AJ2684" s="3" t="s">
        <v>11885</v>
      </c>
      <c r="AK2684" s="3" t="str">
        <f>HYPERLINK("https://knigipp.ru/api/getInfo/item/745b5025-3772-11ee-a240-00155d82e902")</f>
        <v>https://knigipp.ru/api/getInfo/item/745b5025-3772-11ee-a240-00155d82e902</v>
      </c>
      <c r="AL2684" s="3" t="s">
        <v>564</v>
      </c>
    </row>
    <row r="2685" spans="1:38" ht="21" customHeight="1" outlineLevel="4" x14ac:dyDescent="0.2">
      <c r="A2685" s="39">
        <v>2094</v>
      </c>
      <c r="B2685" s="3" t="s">
        <v>12129</v>
      </c>
      <c r="C2685" s="49" t="s">
        <v>12130</v>
      </c>
      <c r="D2685" s="49"/>
      <c r="E2685" s="49"/>
      <c r="F2685" s="49"/>
      <c r="G2685" s="4" t="s">
        <v>12131</v>
      </c>
      <c r="H2685" s="8"/>
      <c r="I2685" s="9" t="s">
        <v>11963</v>
      </c>
      <c r="J2685" s="10"/>
      <c r="K2685" s="11">
        <v>48</v>
      </c>
      <c r="L2685" s="10"/>
      <c r="M2685" s="10" t="s">
        <v>47</v>
      </c>
      <c r="N2685" s="10"/>
      <c r="O2685" s="2">
        <v>8</v>
      </c>
      <c r="P2685" s="17">
        <f>107*(1-S3/100)</f>
        <v>107</v>
      </c>
      <c r="Q2685" s="18"/>
      <c r="R2685" s="10">
        <f t="shared" si="120"/>
        <v>0</v>
      </c>
      <c r="S2685" s="19">
        <f>0.057*Q2685</f>
        <v>0</v>
      </c>
      <c r="T2685" s="20">
        <f>0.00006*Q2685</f>
        <v>0</v>
      </c>
      <c r="U2685" s="21"/>
      <c r="V2685" s="22" t="s">
        <v>12132</v>
      </c>
      <c r="W2685" s="22" t="s">
        <v>49</v>
      </c>
      <c r="X2685" s="3"/>
      <c r="Y2685" s="3" t="s">
        <v>12133</v>
      </c>
      <c r="Z2685" s="3" t="s">
        <v>52</v>
      </c>
      <c r="AA2685" s="3"/>
      <c r="AB2685" s="3"/>
      <c r="AC2685" s="3" t="str">
        <f>HYPERLINK("https://knigipp.ru/api/getInfo/image/4c9ca092-0e38-11f0-a279-00155d82e908")</f>
        <v>https://knigipp.ru/api/getInfo/image/4c9ca092-0e38-11f0-a279-00155d82e908</v>
      </c>
      <c r="AD2685" s="32">
        <v>10</v>
      </c>
      <c r="AE2685" s="3" t="s">
        <v>54</v>
      </c>
      <c r="AF2685" s="3" t="s">
        <v>209</v>
      </c>
      <c r="AG2685" s="3"/>
      <c r="AH2685" s="3" t="s">
        <v>56</v>
      </c>
      <c r="AI2685" s="3"/>
      <c r="AJ2685" s="3" t="s">
        <v>11885</v>
      </c>
      <c r="AK2685" s="3" t="str">
        <f>HYPERLINK("https://knigipp.ru/api/getInfo/item/4c9ca092-0e38-11f0-a279-00155d82e908")</f>
        <v>https://knigipp.ru/api/getInfo/item/4c9ca092-0e38-11f0-a279-00155d82e908</v>
      </c>
      <c r="AL2685" s="3" t="s">
        <v>564</v>
      </c>
    </row>
    <row r="2686" spans="1:38" ht="21" customHeight="1" outlineLevel="4" x14ac:dyDescent="0.2">
      <c r="A2686" s="39">
        <v>2095</v>
      </c>
      <c r="B2686" s="3" t="s">
        <v>12134</v>
      </c>
      <c r="C2686" s="49" t="s">
        <v>12135</v>
      </c>
      <c r="D2686" s="49"/>
      <c r="E2686" s="49"/>
      <c r="F2686" s="49"/>
      <c r="G2686" s="4" t="s">
        <v>12136</v>
      </c>
      <c r="H2686" s="8"/>
      <c r="I2686" s="9" t="s">
        <v>12137</v>
      </c>
      <c r="J2686" s="10"/>
      <c r="K2686" s="11">
        <v>48</v>
      </c>
      <c r="L2686" s="10"/>
      <c r="M2686" s="10" t="s">
        <v>47</v>
      </c>
      <c r="N2686" s="10"/>
      <c r="O2686" s="2">
        <v>8</v>
      </c>
      <c r="P2686" s="17">
        <f>107*(1-S3/100)</f>
        <v>107</v>
      </c>
      <c r="Q2686" s="18"/>
      <c r="R2686" s="10">
        <f t="shared" si="120"/>
        <v>0</v>
      </c>
      <c r="S2686" s="28">
        <f>0.07*Q2686</f>
        <v>0</v>
      </c>
      <c r="T2686" s="20">
        <f>0.00011*Q2686</f>
        <v>0</v>
      </c>
      <c r="U2686" s="21"/>
      <c r="V2686" s="22" t="s">
        <v>12138</v>
      </c>
      <c r="W2686" s="22" t="s">
        <v>49</v>
      </c>
      <c r="X2686" s="3" t="s">
        <v>281</v>
      </c>
      <c r="Y2686" s="3"/>
      <c r="Z2686" s="3" t="s">
        <v>52</v>
      </c>
      <c r="AA2686" s="3"/>
      <c r="AB2686" s="3"/>
      <c r="AC2686" s="3" t="str">
        <f>HYPERLINK("https://knigipp.ru/api/getInfo/image/26921f5a-20d6-11ea-a237-ac1f6b442184")</f>
        <v>https://knigipp.ru/api/getInfo/image/26921f5a-20d6-11ea-a237-ac1f6b442184</v>
      </c>
      <c r="AD2686" s="32">
        <v>10</v>
      </c>
      <c r="AE2686" s="3"/>
      <c r="AF2686" s="3" t="s">
        <v>209</v>
      </c>
      <c r="AG2686" s="3"/>
      <c r="AH2686" s="3" t="s">
        <v>56</v>
      </c>
      <c r="AI2686" s="3"/>
      <c r="AJ2686" s="3"/>
      <c r="AK2686" s="3" t="str">
        <f>HYPERLINK("https://knigipp.ru/api/getInfo/item/26921f5a-20d6-11ea-a237-ac1f6b442184")</f>
        <v>https://knigipp.ru/api/getInfo/item/26921f5a-20d6-11ea-a237-ac1f6b442184</v>
      </c>
      <c r="AL2686" s="3" t="s">
        <v>564</v>
      </c>
    </row>
    <row r="2687" spans="1:38" ht="21" customHeight="1" outlineLevel="4" x14ac:dyDescent="0.2">
      <c r="A2687" s="39">
        <v>2096</v>
      </c>
      <c r="B2687" s="3" t="s">
        <v>12139</v>
      </c>
      <c r="C2687" s="49" t="s">
        <v>12140</v>
      </c>
      <c r="D2687" s="49"/>
      <c r="E2687" s="49"/>
      <c r="F2687" s="49"/>
      <c r="G2687" s="4" t="s">
        <v>12141</v>
      </c>
      <c r="H2687" s="8"/>
      <c r="I2687" s="9" t="s">
        <v>12078</v>
      </c>
      <c r="J2687" s="10"/>
      <c r="K2687" s="11">
        <v>48</v>
      </c>
      <c r="L2687" s="10"/>
      <c r="M2687" s="10" t="s">
        <v>78</v>
      </c>
      <c r="N2687" s="10"/>
      <c r="O2687" s="2">
        <v>8</v>
      </c>
      <c r="P2687" s="17">
        <f>107*(1-S3/100)</f>
        <v>107</v>
      </c>
      <c r="Q2687" s="18"/>
      <c r="R2687" s="10">
        <f t="shared" si="120"/>
        <v>0</v>
      </c>
      <c r="S2687" s="19">
        <f>0.054*Q2687</f>
        <v>0</v>
      </c>
      <c r="T2687" s="20">
        <f>0.00013*Q2687</f>
        <v>0</v>
      </c>
      <c r="U2687" s="21"/>
      <c r="V2687" s="22" t="s">
        <v>12142</v>
      </c>
      <c r="W2687" s="22" t="s">
        <v>49</v>
      </c>
      <c r="X2687" s="3"/>
      <c r="Y2687" s="3"/>
      <c r="Z2687" s="3" t="s">
        <v>52</v>
      </c>
      <c r="AA2687" s="3" t="s">
        <v>11940</v>
      </c>
      <c r="AB2687" s="3"/>
      <c r="AC2687" s="3" t="str">
        <f>HYPERLINK("https://knigipp.ru/api/getInfo/image/83cca63f-c686-11e1-81d3-5ef3fc502493")</f>
        <v>https://knigipp.ru/api/getInfo/image/83cca63f-c686-11e1-81d3-5ef3fc502493</v>
      </c>
      <c r="AD2687" s="32">
        <v>10</v>
      </c>
      <c r="AE2687" s="3"/>
      <c r="AF2687" s="3" t="s">
        <v>209</v>
      </c>
      <c r="AG2687" s="3"/>
      <c r="AH2687" s="3" t="s">
        <v>56</v>
      </c>
      <c r="AI2687" s="3"/>
      <c r="AJ2687" s="3" t="s">
        <v>11885</v>
      </c>
      <c r="AK2687" s="3" t="str">
        <f>HYPERLINK("https://knigipp.ru/api/getInfo/item/83cca63f-c686-11e1-81d3-5ef3fc502493")</f>
        <v>https://knigipp.ru/api/getInfo/item/83cca63f-c686-11e1-81d3-5ef3fc502493</v>
      </c>
      <c r="AL2687" s="3" t="s">
        <v>564</v>
      </c>
    </row>
    <row r="2688" spans="1:38" ht="21" customHeight="1" outlineLevel="4" x14ac:dyDescent="0.2">
      <c r="A2688" s="39">
        <v>2097</v>
      </c>
      <c r="B2688" s="3" t="s">
        <v>12143</v>
      </c>
      <c r="C2688" s="49" t="s">
        <v>12144</v>
      </c>
      <c r="D2688" s="49"/>
      <c r="E2688" s="49"/>
      <c r="F2688" s="49"/>
      <c r="G2688" s="4" t="s">
        <v>12145</v>
      </c>
      <c r="H2688" s="8"/>
      <c r="I2688" s="9" t="s">
        <v>11963</v>
      </c>
      <c r="J2688" s="10"/>
      <c r="K2688" s="11">
        <v>48</v>
      </c>
      <c r="L2688" s="10"/>
      <c r="M2688" s="10" t="s">
        <v>47</v>
      </c>
      <c r="N2688" s="10"/>
      <c r="O2688" s="2">
        <v>8</v>
      </c>
      <c r="P2688" s="17">
        <f>107*(1-S3/100)</f>
        <v>107</v>
      </c>
      <c r="Q2688" s="18"/>
      <c r="R2688" s="10">
        <f t="shared" si="120"/>
        <v>0</v>
      </c>
      <c r="S2688" s="19">
        <f>0.105*Q2688</f>
        <v>0</v>
      </c>
      <c r="T2688" s="20">
        <f>0.00015*Q2688</f>
        <v>0</v>
      </c>
      <c r="U2688" s="21"/>
      <c r="V2688" s="22" t="s">
        <v>12146</v>
      </c>
      <c r="W2688" s="22" t="s">
        <v>49</v>
      </c>
      <c r="X2688" s="3"/>
      <c r="Y2688" s="3" t="s">
        <v>12147</v>
      </c>
      <c r="Z2688" s="3" t="s">
        <v>52</v>
      </c>
      <c r="AA2688" s="3"/>
      <c r="AB2688" s="3"/>
      <c r="AC2688" s="3" t="str">
        <f>HYPERLINK("https://knigipp.ru/api/getInfo/image/af468269-0e38-11f0-a279-00155d82e908")</f>
        <v>https://knigipp.ru/api/getInfo/image/af468269-0e38-11f0-a279-00155d82e908</v>
      </c>
      <c r="AD2688" s="32">
        <v>10</v>
      </c>
      <c r="AE2688" s="3" t="s">
        <v>54</v>
      </c>
      <c r="AF2688" s="3" t="s">
        <v>209</v>
      </c>
      <c r="AG2688" s="3"/>
      <c r="AH2688" s="3" t="s">
        <v>56</v>
      </c>
      <c r="AI2688" s="3"/>
      <c r="AJ2688" s="3" t="s">
        <v>11885</v>
      </c>
      <c r="AK2688" s="3" t="str">
        <f>HYPERLINK("https://knigipp.ru/api/getInfo/item/af468269-0e38-11f0-a279-00155d82e908")</f>
        <v>https://knigipp.ru/api/getInfo/item/af468269-0e38-11f0-a279-00155d82e908</v>
      </c>
      <c r="AL2688" s="3" t="s">
        <v>564</v>
      </c>
    </row>
    <row r="2689" spans="1:38" ht="21" customHeight="1" outlineLevel="4" x14ac:dyDescent="0.2">
      <c r="A2689" s="39">
        <v>2098</v>
      </c>
      <c r="B2689" s="3" t="s">
        <v>12148</v>
      </c>
      <c r="C2689" s="49" t="s">
        <v>12149</v>
      </c>
      <c r="D2689" s="49"/>
      <c r="E2689" s="49"/>
      <c r="F2689" s="49"/>
      <c r="G2689" s="4" t="s">
        <v>12150</v>
      </c>
      <c r="H2689" s="8"/>
      <c r="I2689" s="9" t="s">
        <v>12078</v>
      </c>
      <c r="J2689" s="10"/>
      <c r="K2689" s="11">
        <v>48</v>
      </c>
      <c r="L2689" s="10"/>
      <c r="M2689" s="10" t="s">
        <v>47</v>
      </c>
      <c r="N2689" s="10"/>
      <c r="O2689" s="2">
        <v>8</v>
      </c>
      <c r="P2689" s="17">
        <f>107*(1-S3/100)</f>
        <v>107</v>
      </c>
      <c r="Q2689" s="18"/>
      <c r="R2689" s="10">
        <f t="shared" si="120"/>
        <v>0</v>
      </c>
      <c r="S2689" s="19">
        <f>0.057*Q2689</f>
        <v>0</v>
      </c>
      <c r="T2689" s="20">
        <f>0.00017*Q2689</f>
        <v>0</v>
      </c>
      <c r="U2689" s="21"/>
      <c r="V2689" s="22" t="s">
        <v>12151</v>
      </c>
      <c r="W2689" s="22" t="s">
        <v>49</v>
      </c>
      <c r="X2689" s="3" t="s">
        <v>11990</v>
      </c>
      <c r="Y2689" s="3"/>
      <c r="Z2689" s="3" t="s">
        <v>52</v>
      </c>
      <c r="AA2689" s="3" t="s">
        <v>10252</v>
      </c>
      <c r="AB2689" s="3"/>
      <c r="AC2689" s="3" t="str">
        <f>HYPERLINK("https://knigipp.ru/api/getInfo/image/83cca64a-c686-11e1-81d3-5ef3fc502493")</f>
        <v>https://knigipp.ru/api/getInfo/image/83cca64a-c686-11e1-81d3-5ef3fc502493</v>
      </c>
      <c r="AD2689" s="32">
        <v>10</v>
      </c>
      <c r="AE2689" s="3"/>
      <c r="AF2689" s="3" t="s">
        <v>209</v>
      </c>
      <c r="AG2689" s="3"/>
      <c r="AH2689" s="3" t="s">
        <v>56</v>
      </c>
      <c r="AI2689" s="3"/>
      <c r="AJ2689" s="3" t="s">
        <v>11885</v>
      </c>
      <c r="AK2689" s="3" t="str">
        <f>HYPERLINK("https://knigipp.ru/api/getInfo/item/83cca64a-c686-11e1-81d3-5ef3fc502493")</f>
        <v>https://knigipp.ru/api/getInfo/item/83cca64a-c686-11e1-81d3-5ef3fc502493</v>
      </c>
      <c r="AL2689" s="3" t="s">
        <v>564</v>
      </c>
    </row>
    <row r="2690" spans="1:38" ht="21" customHeight="1" outlineLevel="4" x14ac:dyDescent="0.2">
      <c r="A2690" s="39">
        <v>2099</v>
      </c>
      <c r="B2690" s="3" t="s">
        <v>12152</v>
      </c>
      <c r="C2690" s="49" t="s">
        <v>12153</v>
      </c>
      <c r="D2690" s="49"/>
      <c r="E2690" s="49"/>
      <c r="F2690" s="49"/>
      <c r="G2690" s="4" t="s">
        <v>12154</v>
      </c>
      <c r="H2690" s="8"/>
      <c r="I2690" s="9" t="s">
        <v>11963</v>
      </c>
      <c r="J2690" s="10"/>
      <c r="K2690" s="11">
        <v>48</v>
      </c>
      <c r="L2690" s="10"/>
      <c r="M2690" s="10" t="s">
        <v>47</v>
      </c>
      <c r="N2690" s="10"/>
      <c r="O2690" s="2">
        <v>8</v>
      </c>
      <c r="P2690" s="17">
        <f>107*(1-S3/100)</f>
        <v>107</v>
      </c>
      <c r="Q2690" s="18"/>
      <c r="R2690" s="10">
        <f t="shared" si="120"/>
        <v>0</v>
      </c>
      <c r="S2690" s="19">
        <f>0.058*Q2690</f>
        <v>0</v>
      </c>
      <c r="T2690" s="20">
        <f>0.00022*Q2690</f>
        <v>0</v>
      </c>
      <c r="U2690" s="21"/>
      <c r="V2690" s="22" t="s">
        <v>12155</v>
      </c>
      <c r="W2690" s="22" t="s">
        <v>49</v>
      </c>
      <c r="X2690" s="3" t="s">
        <v>672</v>
      </c>
      <c r="Y2690" s="3" t="s">
        <v>12156</v>
      </c>
      <c r="Z2690" s="3" t="s">
        <v>52</v>
      </c>
      <c r="AA2690" s="3"/>
      <c r="AB2690" s="3"/>
      <c r="AC2690" s="3" t="str">
        <f>HYPERLINK("https://knigipp.ru/api/getInfo/image/969b2a97-84c8-11f0-a284-00155d82e908")</f>
        <v>https://knigipp.ru/api/getInfo/image/969b2a97-84c8-11f0-a284-00155d82e908</v>
      </c>
      <c r="AD2690" s="32">
        <v>10</v>
      </c>
      <c r="AE2690" s="3"/>
      <c r="AF2690" s="3" t="s">
        <v>209</v>
      </c>
      <c r="AG2690" s="3"/>
      <c r="AH2690" s="3" t="s">
        <v>56</v>
      </c>
      <c r="AI2690" s="3"/>
      <c r="AJ2690" s="3" t="s">
        <v>11885</v>
      </c>
      <c r="AK2690" s="3" t="str">
        <f>HYPERLINK("https://knigipp.ru/api/getInfo/item/969b2a97-84c8-11f0-a284-00155d82e908")</f>
        <v>https://knigipp.ru/api/getInfo/item/969b2a97-84c8-11f0-a284-00155d82e908</v>
      </c>
      <c r="AL2690" s="3" t="s">
        <v>564</v>
      </c>
    </row>
    <row r="2691" spans="1:38" ht="21" customHeight="1" outlineLevel="4" x14ac:dyDescent="0.2">
      <c r="A2691" s="39">
        <v>2100</v>
      </c>
      <c r="B2691" s="3" t="s">
        <v>12157</v>
      </c>
      <c r="C2691" s="49" t="s">
        <v>12158</v>
      </c>
      <c r="D2691" s="49"/>
      <c r="E2691" s="49"/>
      <c r="F2691" s="49"/>
      <c r="G2691" s="4" t="s">
        <v>12159</v>
      </c>
      <c r="H2691" s="8"/>
      <c r="I2691" s="9" t="s">
        <v>12078</v>
      </c>
      <c r="J2691" s="10"/>
      <c r="K2691" s="11">
        <v>48</v>
      </c>
      <c r="L2691" s="10"/>
      <c r="M2691" s="10" t="s">
        <v>47</v>
      </c>
      <c r="N2691" s="10"/>
      <c r="O2691" s="2">
        <v>8</v>
      </c>
      <c r="P2691" s="17">
        <f>107*(1-S3/100)</f>
        <v>107</v>
      </c>
      <c r="Q2691" s="18"/>
      <c r="R2691" s="10">
        <f t="shared" si="120"/>
        <v>0</v>
      </c>
      <c r="S2691" s="19">
        <f>0.054*Q2691</f>
        <v>0</v>
      </c>
      <c r="T2691" s="20">
        <f>0.00011*Q2691</f>
        <v>0</v>
      </c>
      <c r="U2691" s="21"/>
      <c r="V2691" s="22" t="s">
        <v>12160</v>
      </c>
      <c r="W2691" s="22" t="s">
        <v>49</v>
      </c>
      <c r="X2691" s="3" t="s">
        <v>12031</v>
      </c>
      <c r="Y2691" s="3"/>
      <c r="Z2691" s="3" t="s">
        <v>52</v>
      </c>
      <c r="AA2691" s="3" t="s">
        <v>10252</v>
      </c>
      <c r="AB2691" s="3"/>
      <c r="AC2691" s="3" t="str">
        <f>HYPERLINK("https://knigipp.ru/api/getInfo/image/83cca64e-c686-11e1-81d3-5ef3fc502493")</f>
        <v>https://knigipp.ru/api/getInfo/image/83cca64e-c686-11e1-81d3-5ef3fc502493</v>
      </c>
      <c r="AD2691" s="32">
        <v>10</v>
      </c>
      <c r="AE2691" s="3"/>
      <c r="AF2691" s="3" t="s">
        <v>209</v>
      </c>
      <c r="AG2691" s="3"/>
      <c r="AH2691" s="3" t="s">
        <v>56</v>
      </c>
      <c r="AI2691" s="3"/>
      <c r="AJ2691" s="3" t="s">
        <v>11885</v>
      </c>
      <c r="AK2691" s="3" t="str">
        <f>HYPERLINK("https://knigipp.ru/api/getInfo/item/83cca64e-c686-11e1-81d3-5ef3fc502493")</f>
        <v>https://knigipp.ru/api/getInfo/item/83cca64e-c686-11e1-81d3-5ef3fc502493</v>
      </c>
      <c r="AL2691" s="3" t="s">
        <v>564</v>
      </c>
    </row>
    <row r="2692" spans="1:38" ht="21" customHeight="1" outlineLevel="4" x14ac:dyDescent="0.2">
      <c r="A2692" s="39">
        <v>2101</v>
      </c>
      <c r="B2692" s="3" t="s">
        <v>12161</v>
      </c>
      <c r="C2692" s="49" t="s">
        <v>12162</v>
      </c>
      <c r="D2692" s="49"/>
      <c r="E2692" s="49"/>
      <c r="F2692" s="49"/>
      <c r="G2692" s="4" t="s">
        <v>12163</v>
      </c>
      <c r="H2692" s="8"/>
      <c r="I2692" s="9" t="s">
        <v>11963</v>
      </c>
      <c r="J2692" s="10"/>
      <c r="K2692" s="11">
        <v>48</v>
      </c>
      <c r="L2692" s="10"/>
      <c r="M2692" s="10" t="s">
        <v>47</v>
      </c>
      <c r="N2692" s="10"/>
      <c r="O2692" s="2">
        <v>8</v>
      </c>
      <c r="P2692" s="17">
        <f>107*(1-S3/100)</f>
        <v>107</v>
      </c>
      <c r="Q2692" s="18"/>
      <c r="R2692" s="10">
        <f t="shared" si="120"/>
        <v>0</v>
      </c>
      <c r="S2692" s="19">
        <f>0.059*Q2692</f>
        <v>0</v>
      </c>
      <c r="T2692" s="20">
        <f>0.00011*Q2692</f>
        <v>0</v>
      </c>
      <c r="U2692" s="21"/>
      <c r="V2692" s="22" t="s">
        <v>12164</v>
      </c>
      <c r="W2692" s="22" t="s">
        <v>49</v>
      </c>
      <c r="X2692" s="3"/>
      <c r="Y2692" s="3" t="s">
        <v>12165</v>
      </c>
      <c r="Z2692" s="3" t="s">
        <v>52</v>
      </c>
      <c r="AA2692" s="3"/>
      <c r="AB2692" s="3"/>
      <c r="AC2692" s="3" t="str">
        <f>HYPERLINK("https://knigipp.ru/api/getInfo/image/d8341857-25bb-11f0-a279-00155d82e908")</f>
        <v>https://knigipp.ru/api/getInfo/image/d8341857-25bb-11f0-a279-00155d82e908</v>
      </c>
      <c r="AD2692" s="32">
        <v>10</v>
      </c>
      <c r="AE2692" s="3" t="s">
        <v>54</v>
      </c>
      <c r="AF2692" s="3" t="s">
        <v>209</v>
      </c>
      <c r="AG2692" s="3"/>
      <c r="AH2692" s="3" t="s">
        <v>56</v>
      </c>
      <c r="AI2692" s="3"/>
      <c r="AJ2692" s="3" t="s">
        <v>11885</v>
      </c>
      <c r="AK2692" s="3" t="str">
        <f>HYPERLINK("https://knigipp.ru/api/getInfo/item/d8341857-25bb-11f0-a279-00155d82e908")</f>
        <v>https://knigipp.ru/api/getInfo/item/d8341857-25bb-11f0-a279-00155d82e908</v>
      </c>
      <c r="AL2692" s="3" t="s">
        <v>564</v>
      </c>
    </row>
    <row r="2693" spans="1:38" ht="21" customHeight="1" outlineLevel="4" x14ac:dyDescent="0.2">
      <c r="A2693" s="39">
        <v>2102</v>
      </c>
      <c r="B2693" s="3" t="s">
        <v>12166</v>
      </c>
      <c r="C2693" s="49" t="s">
        <v>12167</v>
      </c>
      <c r="D2693" s="49"/>
      <c r="E2693" s="49"/>
      <c r="F2693" s="49"/>
      <c r="G2693" s="4" t="s">
        <v>12168</v>
      </c>
      <c r="H2693" s="8"/>
      <c r="I2693" s="9" t="s">
        <v>12078</v>
      </c>
      <c r="J2693" s="10"/>
      <c r="K2693" s="11">
        <v>48</v>
      </c>
      <c r="L2693" s="10"/>
      <c r="M2693" s="10" t="s">
        <v>47</v>
      </c>
      <c r="N2693" s="10"/>
      <c r="O2693" s="2">
        <v>8</v>
      </c>
      <c r="P2693" s="17">
        <f>107*(1-S3/100)</f>
        <v>107</v>
      </c>
      <c r="Q2693" s="18"/>
      <c r="R2693" s="10">
        <f t="shared" si="120"/>
        <v>0</v>
      </c>
      <c r="S2693" s="28">
        <f>0.07*Q2693</f>
        <v>0</v>
      </c>
      <c r="T2693" s="20">
        <f>0.00011*Q2693</f>
        <v>0</v>
      </c>
      <c r="U2693" s="21"/>
      <c r="V2693" s="22" t="s">
        <v>12169</v>
      </c>
      <c r="W2693" s="22" t="s">
        <v>49</v>
      </c>
      <c r="X2693" s="3"/>
      <c r="Y2693" s="3"/>
      <c r="Z2693" s="3" t="s">
        <v>52</v>
      </c>
      <c r="AA2693" s="3" t="s">
        <v>10029</v>
      </c>
      <c r="AB2693" s="3"/>
      <c r="AC2693" s="3" t="str">
        <f>HYPERLINK("https://knigipp.ru/api/getInfo/image/83cca651-c686-11e1-81d3-5ef3fc502493")</f>
        <v>https://knigipp.ru/api/getInfo/image/83cca651-c686-11e1-81d3-5ef3fc502493</v>
      </c>
      <c r="AD2693" s="32">
        <v>10</v>
      </c>
      <c r="AE2693" s="3"/>
      <c r="AF2693" s="3" t="s">
        <v>209</v>
      </c>
      <c r="AG2693" s="3"/>
      <c r="AH2693" s="3" t="s">
        <v>56</v>
      </c>
      <c r="AI2693" s="3"/>
      <c r="AJ2693" s="3" t="s">
        <v>11885</v>
      </c>
      <c r="AK2693" s="3" t="str">
        <f>HYPERLINK("https://knigipp.ru/api/getInfo/item/83cca651-c686-11e1-81d3-5ef3fc502493")</f>
        <v>https://knigipp.ru/api/getInfo/item/83cca651-c686-11e1-81d3-5ef3fc502493</v>
      </c>
      <c r="AL2693" s="3" t="s">
        <v>564</v>
      </c>
    </row>
    <row r="2694" spans="1:38" ht="21" customHeight="1" outlineLevel="4" x14ac:dyDescent="0.2">
      <c r="A2694" s="39">
        <v>2103</v>
      </c>
      <c r="B2694" s="3" t="s">
        <v>12170</v>
      </c>
      <c r="C2694" s="49" t="s">
        <v>12171</v>
      </c>
      <c r="D2694" s="49"/>
      <c r="E2694" s="49"/>
      <c r="F2694" s="49"/>
      <c r="G2694" s="4" t="s">
        <v>12172</v>
      </c>
      <c r="H2694" s="8"/>
      <c r="I2694" s="9" t="s">
        <v>12078</v>
      </c>
      <c r="J2694" s="10"/>
      <c r="K2694" s="11">
        <v>48</v>
      </c>
      <c r="L2694" s="10"/>
      <c r="M2694" s="10" t="s">
        <v>47</v>
      </c>
      <c r="N2694" s="10"/>
      <c r="O2694" s="2">
        <v>8</v>
      </c>
      <c r="P2694" s="17">
        <f>107*(1-S3/100)</f>
        <v>107</v>
      </c>
      <c r="Q2694" s="18"/>
      <c r="R2694" s="10">
        <f t="shared" si="120"/>
        <v>0</v>
      </c>
      <c r="S2694" s="19">
        <f>0.055*Q2694</f>
        <v>0</v>
      </c>
      <c r="T2694" s="20">
        <f>0.00009*Q2694</f>
        <v>0</v>
      </c>
      <c r="U2694" s="21"/>
      <c r="V2694" s="22" t="s">
        <v>12173</v>
      </c>
      <c r="W2694" s="22" t="s">
        <v>49</v>
      </c>
      <c r="X2694" s="3"/>
      <c r="Y2694" s="3"/>
      <c r="Z2694" s="3" t="s">
        <v>52</v>
      </c>
      <c r="AA2694" s="3" t="s">
        <v>11940</v>
      </c>
      <c r="AB2694" s="3"/>
      <c r="AC2694" s="3" t="str">
        <f>HYPERLINK("https://knigipp.ru/api/getInfo/image/83cca653-c686-11e1-81d3-5ef3fc502493")</f>
        <v>https://knigipp.ru/api/getInfo/image/83cca653-c686-11e1-81d3-5ef3fc502493</v>
      </c>
      <c r="AD2694" s="32">
        <v>10</v>
      </c>
      <c r="AE2694" s="3"/>
      <c r="AF2694" s="3" t="s">
        <v>209</v>
      </c>
      <c r="AG2694" s="3"/>
      <c r="AH2694" s="3" t="s">
        <v>56</v>
      </c>
      <c r="AI2694" s="3"/>
      <c r="AJ2694" s="3" t="s">
        <v>11885</v>
      </c>
      <c r="AK2694" s="3" t="str">
        <f>HYPERLINK("https://knigipp.ru/api/getInfo/item/83cca653-c686-11e1-81d3-5ef3fc502493")</f>
        <v>https://knigipp.ru/api/getInfo/item/83cca653-c686-11e1-81d3-5ef3fc502493</v>
      </c>
      <c r="AL2694" s="3" t="s">
        <v>564</v>
      </c>
    </row>
    <row r="2695" spans="1:38" ht="21" customHeight="1" outlineLevel="4" x14ac:dyDescent="0.2">
      <c r="A2695" s="39">
        <v>2104</v>
      </c>
      <c r="B2695" s="3" t="s">
        <v>12174</v>
      </c>
      <c r="C2695" s="49" t="s">
        <v>12175</v>
      </c>
      <c r="D2695" s="49"/>
      <c r="E2695" s="49"/>
      <c r="F2695" s="49"/>
      <c r="G2695" s="4" t="s">
        <v>12176</v>
      </c>
      <c r="H2695" s="8"/>
      <c r="I2695" s="9" t="s">
        <v>12078</v>
      </c>
      <c r="J2695" s="10"/>
      <c r="K2695" s="11">
        <v>48</v>
      </c>
      <c r="L2695" s="10"/>
      <c r="M2695" s="10" t="s">
        <v>47</v>
      </c>
      <c r="N2695" s="10"/>
      <c r="O2695" s="2">
        <v>8</v>
      </c>
      <c r="P2695" s="17">
        <f>107*(1-S3/100)</f>
        <v>107</v>
      </c>
      <c r="Q2695" s="18"/>
      <c r="R2695" s="10">
        <f t="shared" si="120"/>
        <v>0</v>
      </c>
      <c r="S2695" s="19">
        <f>0.059*Q2695</f>
        <v>0</v>
      </c>
      <c r="T2695" s="20">
        <f>0.00009*Q2695</f>
        <v>0</v>
      </c>
      <c r="U2695" s="21"/>
      <c r="V2695" s="22" t="s">
        <v>12177</v>
      </c>
      <c r="W2695" s="22" t="s">
        <v>49</v>
      </c>
      <c r="X2695" s="3"/>
      <c r="Y2695" s="3"/>
      <c r="Z2695" s="3" t="s">
        <v>52</v>
      </c>
      <c r="AA2695" s="3"/>
      <c r="AB2695" s="3"/>
      <c r="AC2695" s="3" t="str">
        <f>HYPERLINK("https://knigipp.ru/api/getInfo/image/0f39449f-3772-11ee-a240-00155d82e902")</f>
        <v>https://knigipp.ru/api/getInfo/image/0f39449f-3772-11ee-a240-00155d82e902</v>
      </c>
      <c r="AD2695" s="32">
        <v>10</v>
      </c>
      <c r="AE2695" s="3" t="s">
        <v>54</v>
      </c>
      <c r="AF2695" s="3" t="s">
        <v>209</v>
      </c>
      <c r="AG2695" s="3"/>
      <c r="AH2695" s="3" t="s">
        <v>56</v>
      </c>
      <c r="AI2695" s="3"/>
      <c r="AJ2695" s="3" t="s">
        <v>11885</v>
      </c>
      <c r="AK2695" s="3" t="str">
        <f>HYPERLINK("https://knigipp.ru/api/getInfo/item/0f39449f-3772-11ee-a240-00155d82e902")</f>
        <v>https://knigipp.ru/api/getInfo/item/0f39449f-3772-11ee-a240-00155d82e902</v>
      </c>
      <c r="AL2695" s="3" t="s">
        <v>564</v>
      </c>
    </row>
    <row r="2696" spans="1:38" ht="21" customHeight="1" outlineLevel="4" x14ac:dyDescent="0.2">
      <c r="A2696" s="39">
        <v>2105</v>
      </c>
      <c r="B2696" s="3" t="s">
        <v>12178</v>
      </c>
      <c r="C2696" s="49" t="s">
        <v>12179</v>
      </c>
      <c r="D2696" s="49"/>
      <c r="E2696" s="49"/>
      <c r="F2696" s="49"/>
      <c r="G2696" s="4" t="s">
        <v>12180</v>
      </c>
      <c r="H2696" s="8"/>
      <c r="I2696" s="9" t="s">
        <v>12181</v>
      </c>
      <c r="J2696" s="10"/>
      <c r="K2696" s="11">
        <v>48</v>
      </c>
      <c r="L2696" s="10"/>
      <c r="M2696" s="10" t="s">
        <v>47</v>
      </c>
      <c r="N2696" s="10"/>
      <c r="O2696" s="2">
        <v>8</v>
      </c>
      <c r="P2696" s="17">
        <f>107*(1-S3/100)</f>
        <v>107</v>
      </c>
      <c r="Q2696" s="18"/>
      <c r="R2696" s="10">
        <f t="shared" si="120"/>
        <v>0</v>
      </c>
      <c r="S2696" s="19">
        <f>0.056*Q2696</f>
        <v>0</v>
      </c>
      <c r="T2696" s="20">
        <f>0.00012*Q2696</f>
        <v>0</v>
      </c>
      <c r="U2696" s="21"/>
      <c r="V2696" s="22" t="s">
        <v>12182</v>
      </c>
      <c r="W2696" s="22" t="s">
        <v>49</v>
      </c>
      <c r="X2696" s="3"/>
      <c r="Y2696" s="3"/>
      <c r="Z2696" s="3" t="s">
        <v>52</v>
      </c>
      <c r="AA2696" s="3"/>
      <c r="AB2696" s="3"/>
      <c r="AC2696" s="3" t="str">
        <f>HYPERLINK("https://knigipp.ru/api/getInfo/image/f22d64fb-e555-11f0-a28c-00155d82e908")</f>
        <v>https://knigipp.ru/api/getInfo/image/f22d64fb-e555-11f0-a28c-00155d82e908</v>
      </c>
      <c r="AD2696" s="32">
        <v>10</v>
      </c>
      <c r="AE2696" s="3" t="s">
        <v>54</v>
      </c>
      <c r="AF2696" s="3" t="s">
        <v>209</v>
      </c>
      <c r="AG2696" s="3"/>
      <c r="AH2696" s="3" t="s">
        <v>56</v>
      </c>
      <c r="AI2696" s="3"/>
      <c r="AJ2696" s="3" t="s">
        <v>11885</v>
      </c>
      <c r="AK2696" s="3" t="str">
        <f>HYPERLINK("https://knigipp.ru/api/getInfo/item/f22d64fb-e555-11f0-a28c-00155d82e908")</f>
        <v>https://knigipp.ru/api/getInfo/item/f22d64fb-e555-11f0-a28c-00155d82e908</v>
      </c>
      <c r="AL2696" s="3" t="s">
        <v>564</v>
      </c>
    </row>
    <row r="2697" spans="1:38" ht="21" customHeight="1" outlineLevel="4" x14ac:dyDescent="0.2">
      <c r="A2697" s="39">
        <v>2106</v>
      </c>
      <c r="B2697" s="3" t="s">
        <v>12183</v>
      </c>
      <c r="C2697" s="49" t="s">
        <v>12184</v>
      </c>
      <c r="D2697" s="49"/>
      <c r="E2697" s="49"/>
      <c r="F2697" s="49"/>
      <c r="G2697" s="4" t="s">
        <v>12185</v>
      </c>
      <c r="H2697" s="8"/>
      <c r="I2697" s="9" t="s">
        <v>12078</v>
      </c>
      <c r="J2697" s="10"/>
      <c r="K2697" s="11">
        <v>48</v>
      </c>
      <c r="L2697" s="10"/>
      <c r="M2697" s="10" t="s">
        <v>47</v>
      </c>
      <c r="N2697" s="10"/>
      <c r="O2697" s="2">
        <v>8</v>
      </c>
      <c r="P2697" s="17">
        <f>107*(1-S3/100)</f>
        <v>107</v>
      </c>
      <c r="Q2697" s="18"/>
      <c r="R2697" s="10">
        <f t="shared" si="120"/>
        <v>0</v>
      </c>
      <c r="S2697" s="19">
        <f>0.055*Q2697</f>
        <v>0</v>
      </c>
      <c r="T2697" s="20">
        <f>0.00019*Q2697</f>
        <v>0</v>
      </c>
      <c r="U2697" s="21"/>
      <c r="V2697" s="22" t="s">
        <v>12186</v>
      </c>
      <c r="W2697" s="22" t="s">
        <v>49</v>
      </c>
      <c r="X2697" s="3" t="s">
        <v>11959</v>
      </c>
      <c r="Y2697" s="3"/>
      <c r="Z2697" s="3" t="s">
        <v>52</v>
      </c>
      <c r="AA2697" s="3" t="s">
        <v>11010</v>
      </c>
      <c r="AB2697" s="3"/>
      <c r="AC2697" s="3" t="str">
        <f>HYPERLINK("https://knigipp.ru/api/getInfo/image/83cca65d-c686-11e1-81d3-5ef3fc502493")</f>
        <v>https://knigipp.ru/api/getInfo/image/83cca65d-c686-11e1-81d3-5ef3fc502493</v>
      </c>
      <c r="AD2697" s="32">
        <v>10</v>
      </c>
      <c r="AE2697" s="3"/>
      <c r="AF2697" s="3" t="s">
        <v>209</v>
      </c>
      <c r="AG2697" s="3"/>
      <c r="AH2697" s="3" t="s">
        <v>56</v>
      </c>
      <c r="AI2697" s="3"/>
      <c r="AJ2697" s="3" t="s">
        <v>11885</v>
      </c>
      <c r="AK2697" s="3" t="str">
        <f>HYPERLINK("https://knigipp.ru/api/getInfo/item/83cca65d-c686-11e1-81d3-5ef3fc502493")</f>
        <v>https://knigipp.ru/api/getInfo/item/83cca65d-c686-11e1-81d3-5ef3fc502493</v>
      </c>
      <c r="AL2697" s="3" t="s">
        <v>564</v>
      </c>
    </row>
    <row r="2698" spans="1:38" ht="21" customHeight="1" outlineLevel="4" x14ac:dyDescent="0.2">
      <c r="A2698" s="39">
        <v>2107</v>
      </c>
      <c r="B2698" s="3" t="s">
        <v>12187</v>
      </c>
      <c r="C2698" s="49" t="s">
        <v>12188</v>
      </c>
      <c r="D2698" s="49"/>
      <c r="E2698" s="49"/>
      <c r="F2698" s="49"/>
      <c r="G2698" s="4" t="s">
        <v>12189</v>
      </c>
      <c r="H2698" s="8"/>
      <c r="I2698" s="9" t="s">
        <v>12078</v>
      </c>
      <c r="J2698" s="10"/>
      <c r="K2698" s="11">
        <v>48</v>
      </c>
      <c r="L2698" s="10"/>
      <c r="M2698" s="10" t="s">
        <v>47</v>
      </c>
      <c r="N2698" s="10"/>
      <c r="O2698" s="2">
        <v>8</v>
      </c>
      <c r="P2698" s="17">
        <f>107*(1-S3/100)</f>
        <v>107</v>
      </c>
      <c r="Q2698" s="18"/>
      <c r="R2698" s="10">
        <f t="shared" si="120"/>
        <v>0</v>
      </c>
      <c r="S2698" s="19">
        <f>0.061*Q2698</f>
        <v>0</v>
      </c>
      <c r="T2698" s="20">
        <f>0.00012*Q2698</f>
        <v>0</v>
      </c>
      <c r="U2698" s="21"/>
      <c r="V2698" s="22" t="s">
        <v>12190</v>
      </c>
      <c r="W2698" s="22" t="s">
        <v>49</v>
      </c>
      <c r="X2698" s="3"/>
      <c r="Y2698" s="3"/>
      <c r="Z2698" s="3" t="s">
        <v>52</v>
      </c>
      <c r="AA2698" s="3" t="s">
        <v>10252</v>
      </c>
      <c r="AB2698" s="3"/>
      <c r="AC2698" s="3" t="str">
        <f>HYPERLINK("https://knigipp.ru/api/getInfo/image/83cca662-c686-11e1-81d3-5ef3fc502493")</f>
        <v>https://knigipp.ru/api/getInfo/image/83cca662-c686-11e1-81d3-5ef3fc502493</v>
      </c>
      <c r="AD2698" s="32">
        <v>10</v>
      </c>
      <c r="AE2698" s="3"/>
      <c r="AF2698" s="3" t="s">
        <v>209</v>
      </c>
      <c r="AG2698" s="3"/>
      <c r="AH2698" s="3" t="s">
        <v>56</v>
      </c>
      <c r="AI2698" s="3"/>
      <c r="AJ2698" s="3" t="s">
        <v>11885</v>
      </c>
      <c r="AK2698" s="3" t="str">
        <f>HYPERLINK("https://knigipp.ru/api/getInfo/item/83cca662-c686-11e1-81d3-5ef3fc502493")</f>
        <v>https://knigipp.ru/api/getInfo/item/83cca662-c686-11e1-81d3-5ef3fc502493</v>
      </c>
      <c r="AL2698" s="3" t="s">
        <v>564</v>
      </c>
    </row>
    <row r="2699" spans="1:38" ht="21" customHeight="1" outlineLevel="4" x14ac:dyDescent="0.2">
      <c r="A2699" s="39">
        <v>2108</v>
      </c>
      <c r="B2699" s="3" t="s">
        <v>12191</v>
      </c>
      <c r="C2699" s="49" t="s">
        <v>12192</v>
      </c>
      <c r="D2699" s="49"/>
      <c r="E2699" s="49"/>
      <c r="F2699" s="49"/>
      <c r="G2699" s="4" t="s">
        <v>12193</v>
      </c>
      <c r="H2699" s="8"/>
      <c r="I2699" s="9" t="s">
        <v>12078</v>
      </c>
      <c r="J2699" s="10"/>
      <c r="K2699" s="11">
        <v>48</v>
      </c>
      <c r="L2699" s="10"/>
      <c r="M2699" s="10" t="s">
        <v>47</v>
      </c>
      <c r="N2699" s="10"/>
      <c r="O2699" s="2">
        <v>8</v>
      </c>
      <c r="P2699" s="17">
        <f>107*(1-S3/100)</f>
        <v>107</v>
      </c>
      <c r="Q2699" s="18"/>
      <c r="R2699" s="10">
        <f t="shared" si="120"/>
        <v>0</v>
      </c>
      <c r="S2699" s="19">
        <f>0.148*Q2699</f>
        <v>0</v>
      </c>
      <c r="T2699" s="20">
        <f>0.00098*Q2699</f>
        <v>0</v>
      </c>
      <c r="U2699" s="21"/>
      <c r="V2699" s="22" t="s">
        <v>12194</v>
      </c>
      <c r="W2699" s="22" t="s">
        <v>49</v>
      </c>
      <c r="X2699" s="3" t="s">
        <v>12195</v>
      </c>
      <c r="Y2699" s="3"/>
      <c r="Z2699" s="3" t="s">
        <v>52</v>
      </c>
      <c r="AA2699" s="3"/>
      <c r="AB2699" s="3"/>
      <c r="AC2699" s="3" t="str">
        <f>HYPERLINK("https://knigipp.ru/api/getInfo/image/3764550a-3772-11ee-a240-00155d82e902")</f>
        <v>https://knigipp.ru/api/getInfo/image/3764550a-3772-11ee-a240-00155d82e902</v>
      </c>
      <c r="AD2699" s="32">
        <v>10</v>
      </c>
      <c r="AE2699" s="3" t="s">
        <v>54</v>
      </c>
      <c r="AF2699" s="3" t="s">
        <v>209</v>
      </c>
      <c r="AG2699" s="3"/>
      <c r="AH2699" s="3" t="s">
        <v>56</v>
      </c>
      <c r="AI2699" s="3"/>
      <c r="AJ2699" s="3" t="s">
        <v>11885</v>
      </c>
      <c r="AK2699" s="3" t="str">
        <f>HYPERLINK("https://knigipp.ru/api/getInfo/item/3764550a-3772-11ee-a240-00155d82e902")</f>
        <v>https://knigipp.ru/api/getInfo/item/3764550a-3772-11ee-a240-00155d82e902</v>
      </c>
      <c r="AL2699" s="3" t="s">
        <v>564</v>
      </c>
    </row>
    <row r="2700" spans="1:38" ht="21" customHeight="1" outlineLevel="4" x14ac:dyDescent="0.2">
      <c r="A2700" s="39">
        <v>2109</v>
      </c>
      <c r="B2700" s="3" t="s">
        <v>12196</v>
      </c>
      <c r="C2700" s="49" t="s">
        <v>12197</v>
      </c>
      <c r="D2700" s="49"/>
      <c r="E2700" s="49"/>
      <c r="F2700" s="49"/>
      <c r="G2700" s="4" t="s">
        <v>12198</v>
      </c>
      <c r="H2700" s="8"/>
      <c r="I2700" s="9" t="s">
        <v>11963</v>
      </c>
      <c r="J2700" s="10"/>
      <c r="K2700" s="11">
        <v>48</v>
      </c>
      <c r="L2700" s="10"/>
      <c r="M2700" s="10" t="s">
        <v>47</v>
      </c>
      <c r="N2700" s="10"/>
      <c r="O2700" s="2">
        <v>8</v>
      </c>
      <c r="P2700" s="17">
        <f>107*(1-S3/100)</f>
        <v>107</v>
      </c>
      <c r="Q2700" s="18"/>
      <c r="R2700" s="10">
        <f t="shared" si="120"/>
        <v>0</v>
      </c>
      <c r="S2700" s="19">
        <f>0.058*Q2700</f>
        <v>0</v>
      </c>
      <c r="T2700" s="20">
        <f>0.00017*Q2700</f>
        <v>0</v>
      </c>
      <c r="U2700" s="21"/>
      <c r="V2700" s="22" t="s">
        <v>12199</v>
      </c>
      <c r="W2700" s="22" t="s">
        <v>49</v>
      </c>
      <c r="X2700" s="3" t="s">
        <v>12200</v>
      </c>
      <c r="Y2700" s="3" t="s">
        <v>12201</v>
      </c>
      <c r="Z2700" s="3" t="s">
        <v>52</v>
      </c>
      <c r="AA2700" s="3"/>
      <c r="AB2700" s="3"/>
      <c r="AC2700" s="3" t="str">
        <f>HYPERLINK("https://knigipp.ru/api/getInfo/image/71f22d2a-0e38-11f0-a279-00155d82e908")</f>
        <v>https://knigipp.ru/api/getInfo/image/71f22d2a-0e38-11f0-a279-00155d82e908</v>
      </c>
      <c r="AD2700" s="32">
        <v>10</v>
      </c>
      <c r="AE2700" s="3" t="s">
        <v>54</v>
      </c>
      <c r="AF2700" s="3" t="s">
        <v>209</v>
      </c>
      <c r="AG2700" s="3"/>
      <c r="AH2700" s="3" t="s">
        <v>56</v>
      </c>
      <c r="AI2700" s="3"/>
      <c r="AJ2700" s="3" t="s">
        <v>11885</v>
      </c>
      <c r="AK2700" s="3" t="str">
        <f>HYPERLINK("https://knigipp.ru/api/getInfo/item/71f22d2a-0e38-11f0-a279-00155d82e908")</f>
        <v>https://knigipp.ru/api/getInfo/item/71f22d2a-0e38-11f0-a279-00155d82e908</v>
      </c>
      <c r="AL2700" s="3" t="s">
        <v>564</v>
      </c>
    </row>
    <row r="2701" spans="1:38" ht="21" customHeight="1" outlineLevel="4" x14ac:dyDescent="0.2">
      <c r="A2701" s="39">
        <v>2110</v>
      </c>
      <c r="B2701" s="3" t="s">
        <v>12202</v>
      </c>
      <c r="C2701" s="49" t="s">
        <v>12203</v>
      </c>
      <c r="D2701" s="49"/>
      <c r="E2701" s="49"/>
      <c r="F2701" s="49"/>
      <c r="G2701" s="4" t="s">
        <v>12204</v>
      </c>
      <c r="H2701" s="8"/>
      <c r="I2701" s="9" t="s">
        <v>12078</v>
      </c>
      <c r="J2701" s="10"/>
      <c r="K2701" s="11">
        <v>48</v>
      </c>
      <c r="L2701" s="10"/>
      <c r="M2701" s="10" t="s">
        <v>47</v>
      </c>
      <c r="N2701" s="10"/>
      <c r="O2701" s="2">
        <v>8</v>
      </c>
      <c r="P2701" s="17">
        <f>107*(1-S3/100)</f>
        <v>107</v>
      </c>
      <c r="Q2701" s="18"/>
      <c r="R2701" s="10">
        <f t="shared" si="120"/>
        <v>0</v>
      </c>
      <c r="S2701" s="19">
        <f>0.054*Q2701</f>
        <v>0</v>
      </c>
      <c r="T2701" s="20">
        <f>0.00005*Q2701</f>
        <v>0</v>
      </c>
      <c r="U2701" s="21"/>
      <c r="V2701" s="22" t="s">
        <v>12205</v>
      </c>
      <c r="W2701" s="22" t="s">
        <v>49</v>
      </c>
      <c r="X2701" s="3"/>
      <c r="Y2701" s="3" t="s">
        <v>12206</v>
      </c>
      <c r="Z2701" s="3" t="s">
        <v>52</v>
      </c>
      <c r="AA2701" s="3"/>
      <c r="AB2701" s="3"/>
      <c r="AC2701" s="3" t="str">
        <f>HYPERLINK("https://knigipp.ru/api/getInfo/image/0344dfa5-3773-11ee-a240-00155d82e902")</f>
        <v>https://knigipp.ru/api/getInfo/image/0344dfa5-3773-11ee-a240-00155d82e902</v>
      </c>
      <c r="AD2701" s="32">
        <v>10</v>
      </c>
      <c r="AE2701" s="3"/>
      <c r="AF2701" s="3" t="s">
        <v>209</v>
      </c>
      <c r="AG2701" s="3"/>
      <c r="AH2701" s="3" t="s">
        <v>56</v>
      </c>
      <c r="AI2701" s="3"/>
      <c r="AJ2701" s="3" t="s">
        <v>11885</v>
      </c>
      <c r="AK2701" s="3" t="str">
        <f>HYPERLINK("https://knigipp.ru/api/getInfo/item/0344dfa5-3773-11ee-a240-00155d82e902")</f>
        <v>https://knigipp.ru/api/getInfo/item/0344dfa5-3773-11ee-a240-00155d82e902</v>
      </c>
      <c r="AL2701" s="3" t="s">
        <v>564</v>
      </c>
    </row>
    <row r="2702" spans="1:38" ht="21" customHeight="1" outlineLevel="4" x14ac:dyDescent="0.2">
      <c r="A2702" s="39">
        <v>2111</v>
      </c>
      <c r="B2702" s="3" t="s">
        <v>12207</v>
      </c>
      <c r="C2702" s="49" t="s">
        <v>12208</v>
      </c>
      <c r="D2702" s="49"/>
      <c r="E2702" s="49"/>
      <c r="F2702" s="49"/>
      <c r="G2702" s="4" t="s">
        <v>12209</v>
      </c>
      <c r="H2702" s="8"/>
      <c r="I2702" s="9" t="s">
        <v>12137</v>
      </c>
      <c r="J2702" s="10"/>
      <c r="K2702" s="11">
        <v>48</v>
      </c>
      <c r="L2702" s="10"/>
      <c r="M2702" s="10" t="s">
        <v>47</v>
      </c>
      <c r="N2702" s="10"/>
      <c r="O2702" s="2">
        <v>8</v>
      </c>
      <c r="P2702" s="17">
        <f>107*(1-S3/100)</f>
        <v>107</v>
      </c>
      <c r="Q2702" s="18"/>
      <c r="R2702" s="10">
        <f t="shared" si="120"/>
        <v>0</v>
      </c>
      <c r="S2702" s="19">
        <f>0.056*Q2702</f>
        <v>0</v>
      </c>
      <c r="T2702" s="30">
        <f>0.0002*Q2702</f>
        <v>0</v>
      </c>
      <c r="U2702" s="21"/>
      <c r="V2702" s="22" t="s">
        <v>12210</v>
      </c>
      <c r="W2702" s="22" t="s">
        <v>49</v>
      </c>
      <c r="X2702" s="3" t="s">
        <v>319</v>
      </c>
      <c r="Y2702" s="3"/>
      <c r="Z2702" s="3" t="s">
        <v>52</v>
      </c>
      <c r="AA2702" s="3"/>
      <c r="AB2702" s="3"/>
      <c r="AC2702" s="3" t="str">
        <f>HYPERLINK("https://knigipp.ru/api/getInfo/image/761bf41e-077e-11e9-a218-ac1f6b442184")</f>
        <v>https://knigipp.ru/api/getInfo/image/761bf41e-077e-11e9-a218-ac1f6b442184</v>
      </c>
      <c r="AD2702" s="32">
        <v>10</v>
      </c>
      <c r="AE2702" s="3"/>
      <c r="AF2702" s="3" t="s">
        <v>209</v>
      </c>
      <c r="AG2702" s="3"/>
      <c r="AH2702" s="3" t="s">
        <v>56</v>
      </c>
      <c r="AI2702" s="3"/>
      <c r="AJ2702" s="3"/>
      <c r="AK2702" s="3" t="str">
        <f>HYPERLINK("https://knigipp.ru/api/getInfo/item/761bf41e-077e-11e9-a218-ac1f6b442184")</f>
        <v>https://knigipp.ru/api/getInfo/item/761bf41e-077e-11e9-a218-ac1f6b442184</v>
      </c>
      <c r="AL2702" s="3" t="s">
        <v>564</v>
      </c>
    </row>
    <row r="2703" spans="1:38" ht="21" customHeight="1" outlineLevel="4" x14ac:dyDescent="0.2">
      <c r="A2703" s="39">
        <v>2112</v>
      </c>
      <c r="B2703" s="3" t="s">
        <v>12211</v>
      </c>
      <c r="C2703" s="49" t="s">
        <v>12212</v>
      </c>
      <c r="D2703" s="49"/>
      <c r="E2703" s="49"/>
      <c r="F2703" s="49"/>
      <c r="G2703" s="4" t="s">
        <v>12213</v>
      </c>
      <c r="H2703" s="8"/>
      <c r="I2703" s="9"/>
      <c r="J2703" s="10"/>
      <c r="K2703" s="11">
        <v>48</v>
      </c>
      <c r="L2703" s="10"/>
      <c r="M2703" s="10" t="s">
        <v>47</v>
      </c>
      <c r="N2703" s="10"/>
      <c r="O2703" s="2">
        <v>8</v>
      </c>
      <c r="P2703" s="17">
        <f>107*(1-S3/100)</f>
        <v>107</v>
      </c>
      <c r="Q2703" s="18"/>
      <c r="R2703" s="10">
        <f t="shared" si="120"/>
        <v>0</v>
      </c>
      <c r="S2703" s="19">
        <f>0.058*Q2703</f>
        <v>0</v>
      </c>
      <c r="T2703" s="20">
        <f>0.00011*Q2703</f>
        <v>0</v>
      </c>
      <c r="U2703" s="21"/>
      <c r="V2703" s="22" t="s">
        <v>12214</v>
      </c>
      <c r="W2703" s="22" t="s">
        <v>49</v>
      </c>
      <c r="X2703" s="3" t="s">
        <v>12026</v>
      </c>
      <c r="Y2703" s="3" t="s">
        <v>12215</v>
      </c>
      <c r="Z2703" s="3" t="s">
        <v>52</v>
      </c>
      <c r="AA2703" s="3"/>
      <c r="AB2703" s="3"/>
      <c r="AC2703" s="3" t="str">
        <f>HYPERLINK("https://knigipp.ru/api/getInfo/image/00c3923d-b65e-11f0-a286-00155d82e908")</f>
        <v>https://knigipp.ru/api/getInfo/image/00c3923d-b65e-11f0-a286-00155d82e908</v>
      </c>
      <c r="AD2703" s="32">
        <v>10</v>
      </c>
      <c r="AE2703" s="3" t="s">
        <v>54</v>
      </c>
      <c r="AF2703" s="3" t="s">
        <v>209</v>
      </c>
      <c r="AG2703" s="3"/>
      <c r="AH2703" s="3" t="s">
        <v>56</v>
      </c>
      <c r="AI2703" s="3"/>
      <c r="AJ2703" s="3"/>
      <c r="AK2703" s="3" t="str">
        <f>HYPERLINK("https://knigipp.ru/api/getInfo/item/00c3923d-b65e-11f0-a286-00155d82e908")</f>
        <v>https://knigipp.ru/api/getInfo/item/00c3923d-b65e-11f0-a286-00155d82e908</v>
      </c>
      <c r="AL2703" s="3" t="s">
        <v>564</v>
      </c>
    </row>
    <row r="2704" spans="1:38" ht="21" customHeight="1" outlineLevel="4" x14ac:dyDescent="0.2">
      <c r="A2704" s="39">
        <v>2113</v>
      </c>
      <c r="B2704" s="3" t="s">
        <v>12216</v>
      </c>
      <c r="C2704" s="49" t="s">
        <v>12217</v>
      </c>
      <c r="D2704" s="49"/>
      <c r="E2704" s="49"/>
      <c r="F2704" s="49"/>
      <c r="G2704" s="4" t="s">
        <v>12218</v>
      </c>
      <c r="H2704" s="8"/>
      <c r="I2704" s="9" t="s">
        <v>11963</v>
      </c>
      <c r="J2704" s="10"/>
      <c r="K2704" s="11">
        <v>48</v>
      </c>
      <c r="L2704" s="10"/>
      <c r="M2704" s="10" t="s">
        <v>47</v>
      </c>
      <c r="N2704" s="10"/>
      <c r="O2704" s="2">
        <v>8</v>
      </c>
      <c r="P2704" s="17">
        <f>107*(1-S3/100)</f>
        <v>107</v>
      </c>
      <c r="Q2704" s="18"/>
      <c r="R2704" s="10">
        <f t="shared" si="120"/>
        <v>0</v>
      </c>
      <c r="S2704" s="19">
        <f>0.055*Q2704</f>
        <v>0</v>
      </c>
      <c r="T2704" s="20">
        <f>0.00009*Q2704</f>
        <v>0</v>
      </c>
      <c r="U2704" s="21"/>
      <c r="V2704" s="22" t="s">
        <v>12219</v>
      </c>
      <c r="W2704" s="22" t="s">
        <v>49</v>
      </c>
      <c r="X2704" s="3" t="s">
        <v>11790</v>
      </c>
      <c r="Y2704" s="3" t="s">
        <v>12220</v>
      </c>
      <c r="Z2704" s="3" t="s">
        <v>52</v>
      </c>
      <c r="AA2704" s="3"/>
      <c r="AB2704" s="3"/>
      <c r="AC2704" s="3" t="str">
        <f>HYPERLINK("https://knigipp.ru/api/getInfo/image/b4ad3233-25bb-11f0-a279-00155d82e908")</f>
        <v>https://knigipp.ru/api/getInfo/image/b4ad3233-25bb-11f0-a279-00155d82e908</v>
      </c>
      <c r="AD2704" s="32">
        <v>10</v>
      </c>
      <c r="AE2704" s="3"/>
      <c r="AF2704" s="3" t="s">
        <v>209</v>
      </c>
      <c r="AG2704" s="3"/>
      <c r="AH2704" s="3" t="s">
        <v>56</v>
      </c>
      <c r="AI2704" s="3"/>
      <c r="AJ2704" s="3" t="s">
        <v>11885</v>
      </c>
      <c r="AK2704" s="3" t="str">
        <f>HYPERLINK("https://knigipp.ru/api/getInfo/item/b4ad3233-25bb-11f0-a279-00155d82e908")</f>
        <v>https://knigipp.ru/api/getInfo/item/b4ad3233-25bb-11f0-a279-00155d82e908</v>
      </c>
      <c r="AL2704" s="3" t="s">
        <v>564</v>
      </c>
    </row>
    <row r="2705" spans="1:38" ht="21" customHeight="1" outlineLevel="4" x14ac:dyDescent="0.2">
      <c r="A2705" s="39">
        <v>2114</v>
      </c>
      <c r="B2705" s="3" t="s">
        <v>12221</v>
      </c>
      <c r="C2705" s="49" t="s">
        <v>12222</v>
      </c>
      <c r="D2705" s="49"/>
      <c r="E2705" s="49"/>
      <c r="F2705" s="49"/>
      <c r="G2705" s="4" t="s">
        <v>12223</v>
      </c>
      <c r="H2705" s="8"/>
      <c r="I2705" s="9" t="s">
        <v>12078</v>
      </c>
      <c r="J2705" s="10"/>
      <c r="K2705" s="11">
        <v>48</v>
      </c>
      <c r="L2705" s="10"/>
      <c r="M2705" s="10" t="s">
        <v>78</v>
      </c>
      <c r="N2705" s="10"/>
      <c r="O2705" s="2">
        <v>8</v>
      </c>
      <c r="P2705" s="17">
        <f>107*(1-S3/100)</f>
        <v>107</v>
      </c>
      <c r="Q2705" s="18"/>
      <c r="R2705" s="10">
        <f t="shared" si="120"/>
        <v>0</v>
      </c>
      <c r="S2705" s="28">
        <f>0.07*Q2705</f>
        <v>0</v>
      </c>
      <c r="T2705" s="20">
        <f>0.00011*Q2705</f>
        <v>0</v>
      </c>
      <c r="U2705" s="21"/>
      <c r="V2705" s="22" t="s">
        <v>12224</v>
      </c>
      <c r="W2705" s="22" t="s">
        <v>49</v>
      </c>
      <c r="X2705" s="3"/>
      <c r="Y2705" s="3"/>
      <c r="Z2705" s="3" t="s">
        <v>52</v>
      </c>
      <c r="AA2705" s="3" t="s">
        <v>11940</v>
      </c>
      <c r="AB2705" s="3"/>
      <c r="AC2705" s="3" t="str">
        <f>HYPERLINK("https://knigipp.ru/api/getInfo/image/83cca67e-c686-11e1-81d3-5ef3fc502493")</f>
        <v>https://knigipp.ru/api/getInfo/image/83cca67e-c686-11e1-81d3-5ef3fc502493</v>
      </c>
      <c r="AD2705" s="32">
        <v>10</v>
      </c>
      <c r="AE2705" s="3"/>
      <c r="AF2705" s="3" t="s">
        <v>209</v>
      </c>
      <c r="AG2705" s="3"/>
      <c r="AH2705" s="3" t="s">
        <v>56</v>
      </c>
      <c r="AI2705" s="3"/>
      <c r="AJ2705" s="3" t="s">
        <v>11885</v>
      </c>
      <c r="AK2705" s="3" t="str">
        <f>HYPERLINK("https://knigipp.ru/api/getInfo/item/83cca67e-c686-11e1-81d3-5ef3fc502493")</f>
        <v>https://knigipp.ru/api/getInfo/item/83cca67e-c686-11e1-81d3-5ef3fc502493</v>
      </c>
      <c r="AL2705" s="3" t="s">
        <v>564</v>
      </c>
    </row>
    <row r="2706" spans="1:38" ht="21" customHeight="1" outlineLevel="4" x14ac:dyDescent="0.2">
      <c r="A2706" s="39">
        <v>2115</v>
      </c>
      <c r="B2706" s="3" t="s">
        <v>12225</v>
      </c>
      <c r="C2706" s="49" t="s">
        <v>12226</v>
      </c>
      <c r="D2706" s="49"/>
      <c r="E2706" s="49"/>
      <c r="F2706" s="49"/>
      <c r="G2706" s="4" t="s">
        <v>12227</v>
      </c>
      <c r="H2706" s="8"/>
      <c r="I2706" s="9"/>
      <c r="J2706" s="10"/>
      <c r="K2706" s="11">
        <v>48</v>
      </c>
      <c r="L2706" s="10"/>
      <c r="M2706" s="10" t="s">
        <v>47</v>
      </c>
      <c r="N2706" s="10"/>
      <c r="O2706" s="2">
        <v>8</v>
      </c>
      <c r="P2706" s="17">
        <f>107*(1-S3/100)</f>
        <v>107</v>
      </c>
      <c r="Q2706" s="18"/>
      <c r="R2706" s="10">
        <f t="shared" si="120"/>
        <v>0</v>
      </c>
      <c r="S2706" s="19">
        <f>0.055*Q2706</f>
        <v>0</v>
      </c>
      <c r="T2706" s="20">
        <f>0.00009*Q2706</f>
        <v>0</v>
      </c>
      <c r="U2706" s="21"/>
      <c r="V2706" s="22" t="s">
        <v>12228</v>
      </c>
      <c r="W2706" s="22" t="s">
        <v>49</v>
      </c>
      <c r="X2706" s="3" t="s">
        <v>12229</v>
      </c>
      <c r="Y2706" s="3" t="s">
        <v>12230</v>
      </c>
      <c r="Z2706" s="3" t="s">
        <v>52</v>
      </c>
      <c r="AA2706" s="3"/>
      <c r="AB2706" s="3"/>
      <c r="AC2706" s="3" t="str">
        <f>HYPERLINK("https://knigipp.ru/api/getInfo/image/3ba4e8cf-b65e-11f0-a286-00155d82e908")</f>
        <v>https://knigipp.ru/api/getInfo/image/3ba4e8cf-b65e-11f0-a286-00155d82e908</v>
      </c>
      <c r="AD2706" s="32">
        <v>10</v>
      </c>
      <c r="AE2706" s="3" t="s">
        <v>54</v>
      </c>
      <c r="AF2706" s="3" t="s">
        <v>209</v>
      </c>
      <c r="AG2706" s="3"/>
      <c r="AH2706" s="3" t="s">
        <v>56</v>
      </c>
      <c r="AI2706" s="3"/>
      <c r="AJ2706" s="3"/>
      <c r="AK2706" s="3" t="str">
        <f>HYPERLINK("https://knigipp.ru/api/getInfo/item/3ba4e8cf-b65e-11f0-a286-00155d82e908")</f>
        <v>https://knigipp.ru/api/getInfo/item/3ba4e8cf-b65e-11f0-a286-00155d82e908</v>
      </c>
      <c r="AL2706" s="3" t="s">
        <v>564</v>
      </c>
    </row>
    <row r="2707" spans="1:38" ht="21" customHeight="1" outlineLevel="4" x14ac:dyDescent="0.2">
      <c r="A2707" s="39">
        <v>2116</v>
      </c>
      <c r="B2707" s="3" t="s">
        <v>12231</v>
      </c>
      <c r="C2707" s="49" t="s">
        <v>12232</v>
      </c>
      <c r="D2707" s="49"/>
      <c r="E2707" s="49"/>
      <c r="F2707" s="49"/>
      <c r="G2707" s="4" t="s">
        <v>12233</v>
      </c>
      <c r="H2707" s="8"/>
      <c r="I2707" s="9" t="s">
        <v>12078</v>
      </c>
      <c r="J2707" s="10"/>
      <c r="K2707" s="11">
        <v>48</v>
      </c>
      <c r="L2707" s="10"/>
      <c r="M2707" s="10" t="s">
        <v>304</v>
      </c>
      <c r="N2707" s="10"/>
      <c r="O2707" s="2">
        <v>8</v>
      </c>
      <c r="P2707" s="17">
        <f>107*(1-S3/100)</f>
        <v>107</v>
      </c>
      <c r="Q2707" s="18"/>
      <c r="R2707" s="10">
        <f t="shared" si="120"/>
        <v>0</v>
      </c>
      <c r="S2707" s="28">
        <f>0.07*Q2707</f>
        <v>0</v>
      </c>
      <c r="T2707" s="20">
        <f>0.00011*Q2707</f>
        <v>0</v>
      </c>
      <c r="U2707" s="21"/>
      <c r="V2707" s="22" t="s">
        <v>12234</v>
      </c>
      <c r="W2707" s="22" t="s">
        <v>49</v>
      </c>
      <c r="X2707" s="3"/>
      <c r="Y2707" s="3" t="s">
        <v>12235</v>
      </c>
      <c r="Z2707" s="3" t="s">
        <v>52</v>
      </c>
      <c r="AA2707" s="3" t="s">
        <v>10252</v>
      </c>
      <c r="AB2707" s="3"/>
      <c r="AC2707" s="3" t="str">
        <f>HYPERLINK("https://knigipp.ru/api/getInfo/image/83cca686-c686-11e1-81d3-5ef3fc502493")</f>
        <v>https://knigipp.ru/api/getInfo/image/83cca686-c686-11e1-81d3-5ef3fc502493</v>
      </c>
      <c r="AD2707" s="32">
        <v>10</v>
      </c>
      <c r="AE2707" s="3"/>
      <c r="AF2707" s="3" t="s">
        <v>209</v>
      </c>
      <c r="AG2707" s="3"/>
      <c r="AH2707" s="3" t="s">
        <v>56</v>
      </c>
      <c r="AI2707" s="3"/>
      <c r="AJ2707" s="3" t="s">
        <v>11885</v>
      </c>
      <c r="AK2707" s="3" t="str">
        <f>HYPERLINK("https://knigipp.ru/api/getInfo/item/83cca686-c686-11e1-81d3-5ef3fc502493")</f>
        <v>https://knigipp.ru/api/getInfo/item/83cca686-c686-11e1-81d3-5ef3fc502493</v>
      </c>
      <c r="AL2707" s="3" t="s">
        <v>564</v>
      </c>
    </row>
    <row r="2708" spans="1:38" ht="21" customHeight="1" outlineLevel="4" x14ac:dyDescent="0.2">
      <c r="A2708" s="39">
        <v>2117</v>
      </c>
      <c r="B2708" s="3" t="s">
        <v>12236</v>
      </c>
      <c r="C2708" s="49" t="s">
        <v>12237</v>
      </c>
      <c r="D2708" s="49"/>
      <c r="E2708" s="49"/>
      <c r="F2708" s="49"/>
      <c r="G2708" s="4" t="s">
        <v>12238</v>
      </c>
      <c r="H2708" s="8"/>
      <c r="I2708" s="9"/>
      <c r="J2708" s="10"/>
      <c r="K2708" s="11">
        <v>48</v>
      </c>
      <c r="L2708" s="10"/>
      <c r="M2708" s="10" t="s">
        <v>47</v>
      </c>
      <c r="N2708" s="10"/>
      <c r="O2708" s="2">
        <v>8</v>
      </c>
      <c r="P2708" s="17">
        <f>107*(1-S3/100)</f>
        <v>107</v>
      </c>
      <c r="Q2708" s="18"/>
      <c r="R2708" s="10">
        <f t="shared" si="120"/>
        <v>0</v>
      </c>
      <c r="S2708" s="19">
        <f>0.052*Q2708</f>
        <v>0</v>
      </c>
      <c r="T2708" s="20">
        <f>0.00015*Q2708</f>
        <v>0</v>
      </c>
      <c r="U2708" s="21"/>
      <c r="V2708" s="22" t="s">
        <v>12239</v>
      </c>
      <c r="W2708" s="22" t="s">
        <v>49</v>
      </c>
      <c r="X2708" s="3"/>
      <c r="Y2708" s="3"/>
      <c r="Z2708" s="3" t="s">
        <v>52</v>
      </c>
      <c r="AA2708" s="3"/>
      <c r="AB2708" s="3"/>
      <c r="AC2708" s="3" t="str">
        <f>HYPERLINK("https://knigipp.ru/api/getInfo/image/1ca4bb9b-cc59-11f0-a28a-00155d82e908")</f>
        <v>https://knigipp.ru/api/getInfo/image/1ca4bb9b-cc59-11f0-a28a-00155d82e908</v>
      </c>
      <c r="AD2708" s="32">
        <v>10</v>
      </c>
      <c r="AE2708" s="3" t="s">
        <v>54</v>
      </c>
      <c r="AF2708" s="3" t="s">
        <v>209</v>
      </c>
      <c r="AG2708" s="3"/>
      <c r="AH2708" s="3" t="s">
        <v>56</v>
      </c>
      <c r="AI2708" s="3"/>
      <c r="AJ2708" s="3"/>
      <c r="AK2708" s="3" t="str">
        <f>HYPERLINK("https://knigipp.ru/api/getInfo/item/1ca4bb9b-cc59-11f0-a28a-00155d82e908")</f>
        <v>https://knigipp.ru/api/getInfo/item/1ca4bb9b-cc59-11f0-a28a-00155d82e908</v>
      </c>
      <c r="AL2708" s="3" t="s">
        <v>564</v>
      </c>
    </row>
    <row r="2709" spans="1:38" ht="21" customHeight="1" outlineLevel="4" x14ac:dyDescent="0.2">
      <c r="A2709" s="39">
        <v>2118</v>
      </c>
      <c r="B2709" s="3" t="s">
        <v>12240</v>
      </c>
      <c r="C2709" s="49" t="s">
        <v>12241</v>
      </c>
      <c r="D2709" s="49"/>
      <c r="E2709" s="49"/>
      <c r="F2709" s="49"/>
      <c r="G2709" s="4" t="s">
        <v>12242</v>
      </c>
      <c r="H2709" s="8"/>
      <c r="I2709" s="9" t="s">
        <v>12078</v>
      </c>
      <c r="J2709" s="10"/>
      <c r="K2709" s="11">
        <v>48</v>
      </c>
      <c r="L2709" s="10"/>
      <c r="M2709" s="10" t="s">
        <v>47</v>
      </c>
      <c r="N2709" s="10"/>
      <c r="O2709" s="2">
        <v>8</v>
      </c>
      <c r="P2709" s="17">
        <f>107*(1-S3/100)</f>
        <v>107</v>
      </c>
      <c r="Q2709" s="18"/>
      <c r="R2709" s="10">
        <f t="shared" si="120"/>
        <v>0</v>
      </c>
      <c r="S2709" s="19">
        <f>0.055*Q2709</f>
        <v>0</v>
      </c>
      <c r="T2709" s="20">
        <f>0.00015*Q2709</f>
        <v>0</v>
      </c>
      <c r="U2709" s="21"/>
      <c r="V2709" s="22" t="s">
        <v>12243</v>
      </c>
      <c r="W2709" s="22" t="s">
        <v>49</v>
      </c>
      <c r="X2709" s="3"/>
      <c r="Y2709" s="3"/>
      <c r="Z2709" s="3" t="s">
        <v>52</v>
      </c>
      <c r="AA2709" s="3" t="s">
        <v>11940</v>
      </c>
      <c r="AB2709" s="3"/>
      <c r="AC2709" s="3" t="str">
        <f>HYPERLINK("https://knigipp.ru/api/getInfo/image/83cca68a-c686-11e1-81d3-5ef3fc502493")</f>
        <v>https://knigipp.ru/api/getInfo/image/83cca68a-c686-11e1-81d3-5ef3fc502493</v>
      </c>
      <c r="AD2709" s="32">
        <v>10</v>
      </c>
      <c r="AE2709" s="3"/>
      <c r="AF2709" s="3" t="s">
        <v>209</v>
      </c>
      <c r="AG2709" s="3"/>
      <c r="AH2709" s="3" t="s">
        <v>56</v>
      </c>
      <c r="AI2709" s="3"/>
      <c r="AJ2709" s="3" t="s">
        <v>11885</v>
      </c>
      <c r="AK2709" s="3" t="str">
        <f>HYPERLINK("https://knigipp.ru/api/getInfo/item/83cca68a-c686-11e1-81d3-5ef3fc502493")</f>
        <v>https://knigipp.ru/api/getInfo/item/83cca68a-c686-11e1-81d3-5ef3fc502493</v>
      </c>
      <c r="AL2709" s="3" t="s">
        <v>564</v>
      </c>
    </row>
    <row r="2710" spans="1:38" ht="21" customHeight="1" outlineLevel="4" x14ac:dyDescent="0.2">
      <c r="A2710" s="39">
        <v>2119</v>
      </c>
      <c r="B2710" s="3" t="s">
        <v>12244</v>
      </c>
      <c r="C2710" s="49" t="s">
        <v>12245</v>
      </c>
      <c r="D2710" s="49"/>
      <c r="E2710" s="49"/>
      <c r="F2710" s="49"/>
      <c r="G2710" s="4" t="s">
        <v>12246</v>
      </c>
      <c r="H2710" s="8"/>
      <c r="I2710" s="9" t="s">
        <v>12078</v>
      </c>
      <c r="J2710" s="10"/>
      <c r="K2710" s="11">
        <v>48</v>
      </c>
      <c r="L2710" s="10"/>
      <c r="M2710" s="10" t="s">
        <v>47</v>
      </c>
      <c r="N2710" s="10"/>
      <c r="O2710" s="2">
        <v>8</v>
      </c>
      <c r="P2710" s="17">
        <f>107*(1-S3/100)</f>
        <v>107</v>
      </c>
      <c r="Q2710" s="18"/>
      <c r="R2710" s="10">
        <f t="shared" si="120"/>
        <v>0</v>
      </c>
      <c r="S2710" s="28">
        <f>0.07*Q2710</f>
        <v>0</v>
      </c>
      <c r="T2710" s="20">
        <f>0.00011*Q2710</f>
        <v>0</v>
      </c>
      <c r="U2710" s="21"/>
      <c r="V2710" s="22" t="s">
        <v>12247</v>
      </c>
      <c r="W2710" s="22" t="s">
        <v>49</v>
      </c>
      <c r="X2710" s="3"/>
      <c r="Y2710" s="3"/>
      <c r="Z2710" s="3" t="s">
        <v>52</v>
      </c>
      <c r="AA2710" s="3" t="s">
        <v>10252</v>
      </c>
      <c r="AB2710" s="3"/>
      <c r="AC2710" s="3" t="str">
        <f>HYPERLINK("https://knigipp.ru/api/getInfo/image/83cca68f-c686-11e1-81d3-5ef3fc502493")</f>
        <v>https://knigipp.ru/api/getInfo/image/83cca68f-c686-11e1-81d3-5ef3fc502493</v>
      </c>
      <c r="AD2710" s="32">
        <v>10</v>
      </c>
      <c r="AE2710" s="3"/>
      <c r="AF2710" s="3" t="s">
        <v>209</v>
      </c>
      <c r="AG2710" s="3"/>
      <c r="AH2710" s="3" t="s">
        <v>56</v>
      </c>
      <c r="AI2710" s="3"/>
      <c r="AJ2710" s="3" t="s">
        <v>11885</v>
      </c>
      <c r="AK2710" s="3" t="str">
        <f>HYPERLINK("https://knigipp.ru/api/getInfo/item/83cca68f-c686-11e1-81d3-5ef3fc502493")</f>
        <v>https://knigipp.ru/api/getInfo/item/83cca68f-c686-11e1-81d3-5ef3fc502493</v>
      </c>
      <c r="AL2710" s="3" t="s">
        <v>564</v>
      </c>
    </row>
    <row r="2711" spans="1:38" ht="21" customHeight="1" outlineLevel="4" x14ac:dyDescent="0.2">
      <c r="A2711" s="40">
        <v>2120</v>
      </c>
      <c r="B2711" s="6" t="s">
        <v>12248</v>
      </c>
      <c r="C2711" s="54" t="s">
        <v>12249</v>
      </c>
      <c r="D2711" s="54"/>
      <c r="E2711" s="54"/>
      <c r="F2711" s="54"/>
      <c r="G2711" s="7" t="s">
        <v>12250</v>
      </c>
      <c r="H2711" s="12"/>
      <c r="I2711" s="13"/>
      <c r="J2711" s="14"/>
      <c r="K2711" s="15">
        <v>48</v>
      </c>
      <c r="L2711" s="14"/>
      <c r="M2711" s="14" t="s">
        <v>47</v>
      </c>
      <c r="N2711" s="14"/>
      <c r="O2711" s="5">
        <v>8</v>
      </c>
      <c r="P2711" s="23">
        <f>107*(1-S3/100)</f>
        <v>107</v>
      </c>
      <c r="Q2711" s="18"/>
      <c r="R2711" s="14">
        <f t="shared" si="120"/>
        <v>0</v>
      </c>
      <c r="S2711" s="24">
        <f>0.053*Q2711</f>
        <v>0</v>
      </c>
      <c r="T2711" s="25">
        <f>0.00009*Q2711</f>
        <v>0</v>
      </c>
      <c r="U2711" s="26" t="s">
        <v>62</v>
      </c>
      <c r="V2711" s="27" t="s">
        <v>12251</v>
      </c>
      <c r="W2711" s="27" t="s">
        <v>49</v>
      </c>
      <c r="X2711" s="6" t="s">
        <v>12026</v>
      </c>
      <c r="Y2711" s="6"/>
      <c r="Z2711" s="6" t="s">
        <v>52</v>
      </c>
      <c r="AA2711" s="6"/>
      <c r="AB2711" s="6"/>
      <c r="AC2711" s="6" t="str">
        <f>HYPERLINK("https://knigipp.ru/api/getInfo/image/7fc91816-5b62-11f1-a295-00155d82e908")</f>
        <v>https://knigipp.ru/api/getInfo/image/7fc91816-5b62-11f1-a295-00155d82e908</v>
      </c>
      <c r="AD2711" s="33">
        <v>10</v>
      </c>
      <c r="AE2711" s="6" t="s">
        <v>54</v>
      </c>
      <c r="AF2711" s="6" t="s">
        <v>209</v>
      </c>
      <c r="AG2711" s="6"/>
      <c r="AH2711" s="6" t="s">
        <v>56</v>
      </c>
      <c r="AI2711" s="6"/>
      <c r="AJ2711" s="6"/>
      <c r="AK2711" s="6" t="str">
        <f>HYPERLINK("https://knigipp.ru/api/getInfo/item/7fc91816-5b62-11f1-a295-00155d82e908")</f>
        <v>https://knigipp.ru/api/getInfo/item/7fc91816-5b62-11f1-a295-00155d82e908</v>
      </c>
      <c r="AL2711" s="6" t="s">
        <v>564</v>
      </c>
    </row>
    <row r="2712" spans="1:38" ht="21" customHeight="1" outlineLevel="4" x14ac:dyDescent="0.2">
      <c r="A2712" s="40">
        <v>2121</v>
      </c>
      <c r="B2712" s="6" t="s">
        <v>12252</v>
      </c>
      <c r="C2712" s="54" t="s">
        <v>12253</v>
      </c>
      <c r="D2712" s="54"/>
      <c r="E2712" s="54"/>
      <c r="F2712" s="54"/>
      <c r="G2712" s="7" t="s">
        <v>12254</v>
      </c>
      <c r="H2712" s="12"/>
      <c r="I2712" s="13"/>
      <c r="J2712" s="14"/>
      <c r="K2712" s="15">
        <v>48</v>
      </c>
      <c r="L2712" s="14"/>
      <c r="M2712" s="14" t="s">
        <v>47</v>
      </c>
      <c r="N2712" s="14"/>
      <c r="O2712" s="5">
        <v>8</v>
      </c>
      <c r="P2712" s="23">
        <f>107*(1-S3/100)</f>
        <v>107</v>
      </c>
      <c r="Q2712" s="18"/>
      <c r="R2712" s="14">
        <f t="shared" si="120"/>
        <v>0</v>
      </c>
      <c r="S2712" s="24">
        <f>0.057*Q2712</f>
        <v>0</v>
      </c>
      <c r="T2712" s="25">
        <f>0.00007*Q2712</f>
        <v>0</v>
      </c>
      <c r="U2712" s="26" t="s">
        <v>62</v>
      </c>
      <c r="V2712" s="27" t="s">
        <v>12255</v>
      </c>
      <c r="W2712" s="27" t="s">
        <v>49</v>
      </c>
      <c r="X2712" s="6" t="s">
        <v>12031</v>
      </c>
      <c r="Y2712" s="6"/>
      <c r="Z2712" s="6" t="s">
        <v>52</v>
      </c>
      <c r="AA2712" s="6"/>
      <c r="AB2712" s="6"/>
      <c r="AC2712" s="6" t="str">
        <f>HYPERLINK("https://knigipp.ru/api/getInfo/image/554f0fd0-5b62-11f1-a295-00155d82e908")</f>
        <v>https://knigipp.ru/api/getInfo/image/554f0fd0-5b62-11f1-a295-00155d82e908</v>
      </c>
      <c r="AD2712" s="33">
        <v>10</v>
      </c>
      <c r="AE2712" s="6" t="s">
        <v>54</v>
      </c>
      <c r="AF2712" s="6" t="s">
        <v>209</v>
      </c>
      <c r="AG2712" s="6"/>
      <c r="AH2712" s="6" t="s">
        <v>56</v>
      </c>
      <c r="AI2712" s="6"/>
      <c r="AJ2712" s="6"/>
      <c r="AK2712" s="6" t="str">
        <f>HYPERLINK("https://knigipp.ru/api/getInfo/item/554f0fd0-5b62-11f1-a295-00155d82e908")</f>
        <v>https://knigipp.ru/api/getInfo/item/554f0fd0-5b62-11f1-a295-00155d82e908</v>
      </c>
      <c r="AL2712" s="6" t="s">
        <v>564</v>
      </c>
    </row>
    <row r="2713" spans="1:38" ht="21" customHeight="1" outlineLevel="4" x14ac:dyDescent="0.2">
      <c r="A2713" s="40">
        <v>2122</v>
      </c>
      <c r="B2713" s="6" t="s">
        <v>12256</v>
      </c>
      <c r="C2713" s="54" t="s">
        <v>12257</v>
      </c>
      <c r="D2713" s="54"/>
      <c r="E2713" s="54"/>
      <c r="F2713" s="54"/>
      <c r="G2713" s="7" t="s">
        <v>12258</v>
      </c>
      <c r="H2713" s="12"/>
      <c r="I2713" s="13"/>
      <c r="J2713" s="14"/>
      <c r="K2713" s="15">
        <v>48</v>
      </c>
      <c r="L2713" s="14"/>
      <c r="M2713" s="14" t="s">
        <v>47</v>
      </c>
      <c r="N2713" s="14"/>
      <c r="O2713" s="5">
        <v>8</v>
      </c>
      <c r="P2713" s="23">
        <f>107*(1-S3/100)</f>
        <v>107</v>
      </c>
      <c r="Q2713" s="18"/>
      <c r="R2713" s="14">
        <f t="shared" si="120"/>
        <v>0</v>
      </c>
      <c r="S2713" s="24">
        <f>0.058*Q2713</f>
        <v>0</v>
      </c>
      <c r="T2713" s="25">
        <f>0.00013*Q2713</f>
        <v>0</v>
      </c>
      <c r="U2713" s="26" t="s">
        <v>62</v>
      </c>
      <c r="V2713" s="27" t="s">
        <v>12259</v>
      </c>
      <c r="W2713" s="27" t="s">
        <v>49</v>
      </c>
      <c r="X2713" s="6"/>
      <c r="Y2713" s="6"/>
      <c r="Z2713" s="6" t="s">
        <v>52</v>
      </c>
      <c r="AA2713" s="6"/>
      <c r="AB2713" s="6"/>
      <c r="AC2713" s="6" t="str">
        <f>HYPERLINK("https://knigipp.ru/api/getInfo/image/0c243be0-6e32-11f1-a29a-00155d82e908")</f>
        <v>https://knigipp.ru/api/getInfo/image/0c243be0-6e32-11f1-a29a-00155d82e908</v>
      </c>
      <c r="AD2713" s="33">
        <v>10</v>
      </c>
      <c r="AE2713" s="6" t="s">
        <v>54</v>
      </c>
      <c r="AF2713" s="6" t="s">
        <v>209</v>
      </c>
      <c r="AG2713" s="6"/>
      <c r="AH2713" s="6" t="s">
        <v>56</v>
      </c>
      <c r="AI2713" s="6"/>
      <c r="AJ2713" s="6"/>
      <c r="AK2713" s="6" t="str">
        <f>HYPERLINK("https://knigipp.ru/api/getInfo/item/0c243be0-6e32-11f1-a29a-00155d82e908")</f>
        <v>https://knigipp.ru/api/getInfo/item/0c243be0-6e32-11f1-a29a-00155d82e908</v>
      </c>
      <c r="AL2713" s="6" t="s">
        <v>12260</v>
      </c>
    </row>
    <row r="2714" spans="1:38" ht="21" customHeight="1" outlineLevel="4" x14ac:dyDescent="0.2">
      <c r="A2714" s="40">
        <v>2123</v>
      </c>
      <c r="B2714" s="6" t="s">
        <v>12261</v>
      </c>
      <c r="C2714" s="54" t="s">
        <v>12262</v>
      </c>
      <c r="D2714" s="54"/>
      <c r="E2714" s="54"/>
      <c r="F2714" s="54"/>
      <c r="G2714" s="7" t="s">
        <v>12263</v>
      </c>
      <c r="H2714" s="12"/>
      <c r="I2714" s="13" t="s">
        <v>12264</v>
      </c>
      <c r="J2714" s="14"/>
      <c r="K2714" s="15">
        <v>48</v>
      </c>
      <c r="L2714" s="14"/>
      <c r="M2714" s="14" t="s">
        <v>47</v>
      </c>
      <c r="N2714" s="14"/>
      <c r="O2714" s="5">
        <v>8</v>
      </c>
      <c r="P2714" s="23">
        <f>107*(1-S3/100)</f>
        <v>107</v>
      </c>
      <c r="Q2714" s="18"/>
      <c r="R2714" s="14">
        <f t="shared" si="120"/>
        <v>0</v>
      </c>
      <c r="S2714" s="24">
        <f>0.059*Q2714</f>
        <v>0</v>
      </c>
      <c r="T2714" s="25">
        <f>0.00011*Q2714</f>
        <v>0</v>
      </c>
      <c r="U2714" s="26" t="s">
        <v>62</v>
      </c>
      <c r="V2714" s="27" t="s">
        <v>12265</v>
      </c>
      <c r="W2714" s="27" t="s">
        <v>49</v>
      </c>
      <c r="X2714" s="6"/>
      <c r="Y2714" s="6"/>
      <c r="Z2714" s="6" t="s">
        <v>52</v>
      </c>
      <c r="AA2714" s="6"/>
      <c r="AB2714" s="6"/>
      <c r="AC2714" s="6" t="str">
        <f>HYPERLINK("https://knigipp.ru/api/getInfo/image/c5748662-6e32-11f1-a29a-00155d82e908")</f>
        <v>https://knigipp.ru/api/getInfo/image/c5748662-6e32-11f1-a29a-00155d82e908</v>
      </c>
      <c r="AD2714" s="33">
        <v>10</v>
      </c>
      <c r="AE2714" s="6" t="s">
        <v>54</v>
      </c>
      <c r="AF2714" s="6" t="s">
        <v>209</v>
      </c>
      <c r="AG2714" s="6"/>
      <c r="AH2714" s="6" t="s">
        <v>56</v>
      </c>
      <c r="AI2714" s="6"/>
      <c r="AJ2714" s="6"/>
      <c r="AK2714" s="6" t="str">
        <f>HYPERLINK("https://knigipp.ru/api/getInfo/item/c5748662-6e32-11f1-a29a-00155d82e908")</f>
        <v>https://knigipp.ru/api/getInfo/item/c5748662-6e32-11f1-a29a-00155d82e908</v>
      </c>
      <c r="AL2714" s="6" t="s">
        <v>12260</v>
      </c>
    </row>
    <row r="2715" spans="1:38" ht="21" customHeight="1" outlineLevel="4" x14ac:dyDescent="0.2">
      <c r="A2715" s="40">
        <v>2124</v>
      </c>
      <c r="B2715" s="6" t="s">
        <v>12266</v>
      </c>
      <c r="C2715" s="54" t="s">
        <v>12267</v>
      </c>
      <c r="D2715" s="54"/>
      <c r="E2715" s="54"/>
      <c r="F2715" s="54"/>
      <c r="G2715" s="7" t="s">
        <v>12268</v>
      </c>
      <c r="H2715" s="12"/>
      <c r="I2715" s="13" t="s">
        <v>12264</v>
      </c>
      <c r="J2715" s="14"/>
      <c r="K2715" s="15">
        <v>48</v>
      </c>
      <c r="L2715" s="14"/>
      <c r="M2715" s="14" t="s">
        <v>47</v>
      </c>
      <c r="N2715" s="14"/>
      <c r="O2715" s="5">
        <v>8</v>
      </c>
      <c r="P2715" s="23">
        <f>107*(1-S3/100)</f>
        <v>107</v>
      </c>
      <c r="Q2715" s="18"/>
      <c r="R2715" s="14">
        <f t="shared" si="120"/>
        <v>0</v>
      </c>
      <c r="S2715" s="24">
        <f>0.055*Q2715</f>
        <v>0</v>
      </c>
      <c r="T2715" s="31">
        <f>0.0002*Q2715</f>
        <v>0</v>
      </c>
      <c r="U2715" s="26" t="s">
        <v>62</v>
      </c>
      <c r="V2715" s="27" t="s">
        <v>12269</v>
      </c>
      <c r="W2715" s="27" t="s">
        <v>49</v>
      </c>
      <c r="X2715" s="6"/>
      <c r="Y2715" s="6"/>
      <c r="Z2715" s="6" t="s">
        <v>52</v>
      </c>
      <c r="AA2715" s="6"/>
      <c r="AB2715" s="6"/>
      <c r="AC2715" s="6" t="str">
        <f>HYPERLINK("https://knigipp.ru/api/getInfo/image/eedb947f-6e32-11f1-a29a-00155d82e908")</f>
        <v>https://knigipp.ru/api/getInfo/image/eedb947f-6e32-11f1-a29a-00155d82e908</v>
      </c>
      <c r="AD2715" s="33">
        <v>10</v>
      </c>
      <c r="AE2715" s="6" t="s">
        <v>54</v>
      </c>
      <c r="AF2715" s="6" t="s">
        <v>209</v>
      </c>
      <c r="AG2715" s="6"/>
      <c r="AH2715" s="6" t="s">
        <v>56</v>
      </c>
      <c r="AI2715" s="6"/>
      <c r="AJ2715" s="6"/>
      <c r="AK2715" s="6" t="str">
        <f>HYPERLINK("https://knigipp.ru/api/getInfo/item/eedb947f-6e32-11f1-a29a-00155d82e908")</f>
        <v>https://knigipp.ru/api/getInfo/item/eedb947f-6e32-11f1-a29a-00155d82e908</v>
      </c>
      <c r="AL2715" s="6" t="s">
        <v>12260</v>
      </c>
    </row>
    <row r="2716" spans="1:38" ht="21" customHeight="1" outlineLevel="4" x14ac:dyDescent="0.2">
      <c r="A2716" s="40">
        <v>2125</v>
      </c>
      <c r="B2716" s="6" t="s">
        <v>12270</v>
      </c>
      <c r="C2716" s="54" t="s">
        <v>12271</v>
      </c>
      <c r="D2716" s="54"/>
      <c r="E2716" s="54"/>
      <c r="F2716" s="54"/>
      <c r="G2716" s="7" t="s">
        <v>12272</v>
      </c>
      <c r="H2716" s="12"/>
      <c r="I2716" s="13" t="s">
        <v>12264</v>
      </c>
      <c r="J2716" s="14"/>
      <c r="K2716" s="15">
        <v>48</v>
      </c>
      <c r="L2716" s="14"/>
      <c r="M2716" s="14" t="s">
        <v>47</v>
      </c>
      <c r="N2716" s="14"/>
      <c r="O2716" s="5">
        <v>8</v>
      </c>
      <c r="P2716" s="23">
        <f>107*(1-S3/100)</f>
        <v>107</v>
      </c>
      <c r="Q2716" s="18"/>
      <c r="R2716" s="14">
        <f t="shared" si="120"/>
        <v>0</v>
      </c>
      <c r="S2716" s="24">
        <f>0.056*Q2716</f>
        <v>0</v>
      </c>
      <c r="T2716" s="25">
        <f>0.00011*Q2716</f>
        <v>0</v>
      </c>
      <c r="U2716" s="26" t="s">
        <v>62</v>
      </c>
      <c r="V2716" s="27" t="s">
        <v>12273</v>
      </c>
      <c r="W2716" s="27" t="s">
        <v>49</v>
      </c>
      <c r="X2716" s="6" t="s">
        <v>837</v>
      </c>
      <c r="Y2716" s="6"/>
      <c r="Z2716" s="6" t="s">
        <v>52</v>
      </c>
      <c r="AA2716" s="6"/>
      <c r="AB2716" s="6"/>
      <c r="AC2716" s="6" t="str">
        <f>HYPERLINK("https://knigipp.ru/api/getInfo/image/4b9abd14-6e32-11f1-a29a-00155d82e908")</f>
        <v>https://knigipp.ru/api/getInfo/image/4b9abd14-6e32-11f1-a29a-00155d82e908</v>
      </c>
      <c r="AD2716" s="33">
        <v>10</v>
      </c>
      <c r="AE2716" s="6" t="s">
        <v>54</v>
      </c>
      <c r="AF2716" s="6" t="s">
        <v>209</v>
      </c>
      <c r="AG2716" s="6"/>
      <c r="AH2716" s="6" t="s">
        <v>56</v>
      </c>
      <c r="AI2716" s="6"/>
      <c r="AJ2716" s="6"/>
      <c r="AK2716" s="6" t="str">
        <f>HYPERLINK("https://knigipp.ru/api/getInfo/item/4b9abd14-6e32-11f1-a29a-00155d82e908")</f>
        <v>https://knigipp.ru/api/getInfo/item/4b9abd14-6e32-11f1-a29a-00155d82e908</v>
      </c>
      <c r="AL2716" s="6" t="s">
        <v>12260</v>
      </c>
    </row>
    <row r="2717" spans="1:38" ht="21" customHeight="1" outlineLevel="4" x14ac:dyDescent="0.2">
      <c r="A2717" s="40">
        <v>2126</v>
      </c>
      <c r="B2717" s="6" t="s">
        <v>12274</v>
      </c>
      <c r="C2717" s="54" t="s">
        <v>12275</v>
      </c>
      <c r="D2717" s="54"/>
      <c r="E2717" s="54"/>
      <c r="F2717" s="54"/>
      <c r="G2717" s="7" t="s">
        <v>12276</v>
      </c>
      <c r="H2717" s="12"/>
      <c r="I2717" s="13" t="s">
        <v>12264</v>
      </c>
      <c r="J2717" s="14"/>
      <c r="K2717" s="15">
        <v>48</v>
      </c>
      <c r="L2717" s="14"/>
      <c r="M2717" s="14" t="s">
        <v>47</v>
      </c>
      <c r="N2717" s="14"/>
      <c r="O2717" s="5">
        <v>8</v>
      </c>
      <c r="P2717" s="23">
        <f>107*(1-S3/100)</f>
        <v>107</v>
      </c>
      <c r="Q2717" s="18"/>
      <c r="R2717" s="14">
        <f t="shared" si="120"/>
        <v>0</v>
      </c>
      <c r="S2717" s="24">
        <f>0.058*Q2717</f>
        <v>0</v>
      </c>
      <c r="T2717" s="25">
        <f>0.00011*Q2717</f>
        <v>0</v>
      </c>
      <c r="U2717" s="26" t="s">
        <v>62</v>
      </c>
      <c r="V2717" s="27" t="s">
        <v>12277</v>
      </c>
      <c r="W2717" s="27" t="s">
        <v>49</v>
      </c>
      <c r="X2717" s="6"/>
      <c r="Y2717" s="6"/>
      <c r="Z2717" s="6" t="s">
        <v>52</v>
      </c>
      <c r="AA2717" s="6"/>
      <c r="AB2717" s="6"/>
      <c r="AC2717" s="6" t="str">
        <f>HYPERLINK("https://knigipp.ru/api/getInfo/image/1d1c17b0-6e33-11f1-a29a-00155d82e908")</f>
        <v>https://knigipp.ru/api/getInfo/image/1d1c17b0-6e33-11f1-a29a-00155d82e908</v>
      </c>
      <c r="AD2717" s="33">
        <v>10</v>
      </c>
      <c r="AE2717" s="6" t="s">
        <v>54</v>
      </c>
      <c r="AF2717" s="6" t="s">
        <v>209</v>
      </c>
      <c r="AG2717" s="6"/>
      <c r="AH2717" s="6" t="s">
        <v>56</v>
      </c>
      <c r="AI2717" s="6"/>
      <c r="AJ2717" s="6"/>
      <c r="AK2717" s="6" t="str">
        <f>HYPERLINK("https://knigipp.ru/api/getInfo/item/1d1c17b0-6e33-11f1-a29a-00155d82e908")</f>
        <v>https://knigipp.ru/api/getInfo/item/1d1c17b0-6e33-11f1-a29a-00155d82e908</v>
      </c>
      <c r="AL2717" s="6" t="s">
        <v>12260</v>
      </c>
    </row>
    <row r="2718" spans="1:38" ht="23.1" customHeight="1" outlineLevel="3" x14ac:dyDescent="0.2">
      <c r="A2718" s="48" t="s">
        <v>12278</v>
      </c>
      <c r="B2718" s="48"/>
      <c r="C2718" s="48"/>
      <c r="D2718" s="48"/>
      <c r="E2718" s="48"/>
      <c r="F2718" s="48"/>
    </row>
    <row r="2719" spans="1:38" ht="21" customHeight="1" outlineLevel="4" x14ac:dyDescent="0.2">
      <c r="A2719" s="39">
        <v>2127</v>
      </c>
      <c r="B2719" s="3" t="s">
        <v>12279</v>
      </c>
      <c r="C2719" s="49" t="s">
        <v>12280</v>
      </c>
      <c r="D2719" s="49"/>
      <c r="E2719" s="49"/>
      <c r="F2719" s="49"/>
      <c r="G2719" s="4" t="s">
        <v>12281</v>
      </c>
      <c r="H2719" s="8"/>
      <c r="I2719" s="9" t="s">
        <v>12282</v>
      </c>
      <c r="J2719" s="10"/>
      <c r="K2719" s="11">
        <v>40</v>
      </c>
      <c r="L2719" s="10"/>
      <c r="M2719" s="10" t="s">
        <v>47</v>
      </c>
      <c r="N2719" s="10"/>
      <c r="O2719" s="2">
        <v>5</v>
      </c>
      <c r="P2719" s="17">
        <f>147*(1-S3/100)</f>
        <v>147</v>
      </c>
      <c r="Q2719" s="18"/>
      <c r="R2719" s="10">
        <f>P2719*Q2719</f>
        <v>0</v>
      </c>
      <c r="S2719" s="19">
        <f>0.108*Q2719</f>
        <v>0</v>
      </c>
      <c r="T2719" s="20">
        <f>0.00018*Q2719</f>
        <v>0</v>
      </c>
      <c r="U2719" s="21"/>
      <c r="V2719" s="22" t="s">
        <v>12283</v>
      </c>
      <c r="W2719" s="22" t="s">
        <v>49</v>
      </c>
      <c r="X2719" s="3" t="s">
        <v>207</v>
      </c>
      <c r="Y2719" s="3" t="s">
        <v>12284</v>
      </c>
      <c r="Z2719" s="3" t="s">
        <v>52</v>
      </c>
      <c r="AA2719" s="3"/>
      <c r="AB2719" s="3"/>
      <c r="AC2719" s="3" t="str">
        <f>HYPERLINK("https://knigipp.ru/api/getInfo/image/33fb252d-edd8-11ee-a25b-00155d82e908")</f>
        <v>https://knigipp.ru/api/getInfo/image/33fb252d-edd8-11ee-a25b-00155d82e908</v>
      </c>
      <c r="AD2719" s="32">
        <v>10</v>
      </c>
      <c r="AE2719" s="3" t="s">
        <v>54</v>
      </c>
      <c r="AF2719" s="3" t="s">
        <v>209</v>
      </c>
      <c r="AG2719" s="3"/>
      <c r="AH2719" s="3" t="s">
        <v>56</v>
      </c>
      <c r="AI2719" s="3"/>
      <c r="AJ2719" s="3"/>
      <c r="AK2719" s="3" t="str">
        <f>HYPERLINK("https://knigipp.ru/api/getInfo/item/33fb252d-edd8-11ee-a25b-00155d82e908")</f>
        <v>https://knigipp.ru/api/getInfo/item/33fb252d-edd8-11ee-a25b-00155d82e908</v>
      </c>
      <c r="AL2719" s="3" t="s">
        <v>12285</v>
      </c>
    </row>
    <row r="2720" spans="1:38" ht="21" customHeight="1" outlineLevel="4" x14ac:dyDescent="0.2">
      <c r="A2720" s="39">
        <v>2128</v>
      </c>
      <c r="B2720" s="3" t="s">
        <v>12286</v>
      </c>
      <c r="C2720" s="49" t="s">
        <v>12287</v>
      </c>
      <c r="D2720" s="49"/>
      <c r="E2720" s="49"/>
      <c r="F2720" s="49"/>
      <c r="G2720" s="4" t="s">
        <v>12288</v>
      </c>
      <c r="H2720" s="8"/>
      <c r="I2720" s="9" t="s">
        <v>12282</v>
      </c>
      <c r="J2720" s="10"/>
      <c r="K2720" s="11">
        <v>40</v>
      </c>
      <c r="L2720" s="10"/>
      <c r="M2720" s="10" t="s">
        <v>47</v>
      </c>
      <c r="N2720" s="10"/>
      <c r="O2720" s="2">
        <v>5</v>
      </c>
      <c r="P2720" s="17">
        <f>147*(1-S3/100)</f>
        <v>147</v>
      </c>
      <c r="Q2720" s="18"/>
      <c r="R2720" s="10">
        <f>P2720*Q2720</f>
        <v>0</v>
      </c>
      <c r="S2720" s="19">
        <f>0.111*Q2720</f>
        <v>0</v>
      </c>
      <c r="T2720" s="20">
        <f>0.00015*Q2720</f>
        <v>0</v>
      </c>
      <c r="U2720" s="21"/>
      <c r="V2720" s="22" t="s">
        <v>12289</v>
      </c>
      <c r="W2720" s="22" t="s">
        <v>49</v>
      </c>
      <c r="X2720" s="3" t="s">
        <v>207</v>
      </c>
      <c r="Y2720" s="3" t="s">
        <v>12290</v>
      </c>
      <c r="Z2720" s="3" t="s">
        <v>52</v>
      </c>
      <c r="AA2720" s="3"/>
      <c r="AB2720" s="3"/>
      <c r="AC2720" s="3" t="str">
        <f>HYPERLINK("https://knigipp.ru/api/getInfo/image/7aaff6f9-edd8-11ee-a25b-00155d82e908")</f>
        <v>https://knigipp.ru/api/getInfo/image/7aaff6f9-edd8-11ee-a25b-00155d82e908</v>
      </c>
      <c r="AD2720" s="32">
        <v>10</v>
      </c>
      <c r="AE2720" s="3" t="s">
        <v>54</v>
      </c>
      <c r="AF2720" s="3" t="s">
        <v>209</v>
      </c>
      <c r="AG2720" s="3"/>
      <c r="AH2720" s="3" t="s">
        <v>56</v>
      </c>
      <c r="AI2720" s="3"/>
      <c r="AJ2720" s="3"/>
      <c r="AK2720" s="3" t="str">
        <f>HYPERLINK("https://knigipp.ru/api/getInfo/item/7aaff6f9-edd8-11ee-a25b-00155d82e908")</f>
        <v>https://knigipp.ru/api/getInfo/item/7aaff6f9-edd8-11ee-a25b-00155d82e908</v>
      </c>
      <c r="AL2720" s="3" t="s">
        <v>12285</v>
      </c>
    </row>
    <row r="2721" spans="1:38" ht="21" customHeight="1" outlineLevel="4" x14ac:dyDescent="0.2">
      <c r="A2721" s="39">
        <v>2129</v>
      </c>
      <c r="B2721" s="3" t="s">
        <v>12291</v>
      </c>
      <c r="C2721" s="49" t="s">
        <v>12292</v>
      </c>
      <c r="D2721" s="49"/>
      <c r="E2721" s="49"/>
      <c r="F2721" s="49"/>
      <c r="G2721" s="4" t="s">
        <v>12293</v>
      </c>
      <c r="H2721" s="8"/>
      <c r="I2721" s="9" t="s">
        <v>12282</v>
      </c>
      <c r="J2721" s="10"/>
      <c r="K2721" s="11">
        <v>40</v>
      </c>
      <c r="L2721" s="10"/>
      <c r="M2721" s="10" t="s">
        <v>47</v>
      </c>
      <c r="N2721" s="10"/>
      <c r="O2721" s="2">
        <v>5</v>
      </c>
      <c r="P2721" s="17">
        <f>147*(1-S3/100)</f>
        <v>147</v>
      </c>
      <c r="Q2721" s="18"/>
      <c r="R2721" s="10">
        <f>P2721*Q2721</f>
        <v>0</v>
      </c>
      <c r="S2721" s="19">
        <f>0.109*Q2721</f>
        <v>0</v>
      </c>
      <c r="T2721" s="20">
        <f>0.00018*Q2721</f>
        <v>0</v>
      </c>
      <c r="U2721" s="21"/>
      <c r="V2721" s="22" t="s">
        <v>12294</v>
      </c>
      <c r="W2721" s="22" t="s">
        <v>49</v>
      </c>
      <c r="X2721" s="3" t="s">
        <v>207</v>
      </c>
      <c r="Y2721" s="3" t="s">
        <v>12295</v>
      </c>
      <c r="Z2721" s="3" t="s">
        <v>52</v>
      </c>
      <c r="AA2721" s="3"/>
      <c r="AB2721" s="3"/>
      <c r="AC2721" s="3" t="str">
        <f>HYPERLINK("https://knigipp.ru/api/getInfo/image/9c704f1d-edd8-11ee-a25b-00155d82e908")</f>
        <v>https://knigipp.ru/api/getInfo/image/9c704f1d-edd8-11ee-a25b-00155d82e908</v>
      </c>
      <c r="AD2721" s="32">
        <v>10</v>
      </c>
      <c r="AE2721" s="3" t="s">
        <v>54</v>
      </c>
      <c r="AF2721" s="3" t="s">
        <v>209</v>
      </c>
      <c r="AG2721" s="3"/>
      <c r="AH2721" s="3" t="s">
        <v>56</v>
      </c>
      <c r="AI2721" s="3"/>
      <c r="AJ2721" s="3"/>
      <c r="AK2721" s="3" t="str">
        <f>HYPERLINK("https://knigipp.ru/api/getInfo/item/9c704f1d-edd8-11ee-a25b-00155d82e908")</f>
        <v>https://knigipp.ru/api/getInfo/item/9c704f1d-edd8-11ee-a25b-00155d82e908</v>
      </c>
      <c r="AL2721" s="3" t="s">
        <v>12285</v>
      </c>
    </row>
    <row r="2722" spans="1:38" ht="21" customHeight="1" outlineLevel="4" x14ac:dyDescent="0.2">
      <c r="A2722" s="39">
        <v>2130</v>
      </c>
      <c r="B2722" s="3" t="s">
        <v>12296</v>
      </c>
      <c r="C2722" s="49" t="s">
        <v>12297</v>
      </c>
      <c r="D2722" s="49"/>
      <c r="E2722" s="49"/>
      <c r="F2722" s="49"/>
      <c r="G2722" s="4" t="s">
        <v>12298</v>
      </c>
      <c r="H2722" s="8"/>
      <c r="I2722" s="9" t="s">
        <v>12282</v>
      </c>
      <c r="J2722" s="10"/>
      <c r="K2722" s="11">
        <v>40</v>
      </c>
      <c r="L2722" s="10"/>
      <c r="M2722" s="10" t="s">
        <v>47</v>
      </c>
      <c r="N2722" s="10"/>
      <c r="O2722" s="2">
        <v>5</v>
      </c>
      <c r="P2722" s="17">
        <f>147*(1-S3/100)</f>
        <v>147</v>
      </c>
      <c r="Q2722" s="18"/>
      <c r="R2722" s="10">
        <f>P2722*Q2722</f>
        <v>0</v>
      </c>
      <c r="S2722" s="19">
        <f>0.109*Q2722</f>
        <v>0</v>
      </c>
      <c r="T2722" s="20">
        <f>0.00022*Q2722</f>
        <v>0</v>
      </c>
      <c r="U2722" s="21"/>
      <c r="V2722" s="22" t="s">
        <v>12299</v>
      </c>
      <c r="W2722" s="22" t="s">
        <v>49</v>
      </c>
      <c r="X2722" s="3" t="s">
        <v>207</v>
      </c>
      <c r="Y2722" s="3" t="s">
        <v>12300</v>
      </c>
      <c r="Z2722" s="3" t="s">
        <v>52</v>
      </c>
      <c r="AA2722" s="3"/>
      <c r="AB2722" s="3"/>
      <c r="AC2722" s="3" t="str">
        <f>HYPERLINK("https://knigipp.ru/api/getInfo/image/bea7dd3c-edd8-11ee-a25b-00155d82e908")</f>
        <v>https://knigipp.ru/api/getInfo/image/bea7dd3c-edd8-11ee-a25b-00155d82e908</v>
      </c>
      <c r="AD2722" s="32">
        <v>10</v>
      </c>
      <c r="AE2722" s="3" t="s">
        <v>54</v>
      </c>
      <c r="AF2722" s="3" t="s">
        <v>209</v>
      </c>
      <c r="AG2722" s="3"/>
      <c r="AH2722" s="3" t="s">
        <v>56</v>
      </c>
      <c r="AI2722" s="3"/>
      <c r="AJ2722" s="3"/>
      <c r="AK2722" s="3" t="str">
        <f>HYPERLINK("https://knigipp.ru/api/getInfo/item/bea7dd3c-edd8-11ee-a25b-00155d82e908")</f>
        <v>https://knigipp.ru/api/getInfo/item/bea7dd3c-edd8-11ee-a25b-00155d82e908</v>
      </c>
      <c r="AL2722" s="3" t="s">
        <v>12285</v>
      </c>
    </row>
    <row r="2723" spans="1:38" ht="23.1" customHeight="1" outlineLevel="2" x14ac:dyDescent="0.2">
      <c r="A2723" s="47" t="s">
        <v>12301</v>
      </c>
      <c r="B2723" s="47"/>
      <c r="C2723" s="47"/>
      <c r="D2723" s="47"/>
      <c r="E2723" s="47"/>
      <c r="F2723" s="47"/>
    </row>
    <row r="2724" spans="1:38" ht="23.1" customHeight="1" outlineLevel="3" x14ac:dyDescent="0.2">
      <c r="A2724" s="48" t="s">
        <v>12302</v>
      </c>
      <c r="B2724" s="48"/>
      <c r="C2724" s="48"/>
      <c r="D2724" s="48"/>
      <c r="E2724" s="48"/>
      <c r="F2724" s="48"/>
    </row>
    <row r="2725" spans="1:38" ht="21" customHeight="1" outlineLevel="4" x14ac:dyDescent="0.2">
      <c r="A2725" s="39">
        <v>2131</v>
      </c>
      <c r="B2725" s="3" t="s">
        <v>12303</v>
      </c>
      <c r="C2725" s="49" t="s">
        <v>12304</v>
      </c>
      <c r="D2725" s="49"/>
      <c r="E2725" s="49"/>
      <c r="F2725" s="49"/>
      <c r="G2725" s="4" t="s">
        <v>12305</v>
      </c>
      <c r="H2725" s="8"/>
      <c r="I2725" s="9" t="s">
        <v>12306</v>
      </c>
      <c r="J2725" s="10"/>
      <c r="K2725" s="11">
        <v>20</v>
      </c>
      <c r="L2725" s="10"/>
      <c r="M2725" s="10" t="s">
        <v>47</v>
      </c>
      <c r="N2725" s="10"/>
      <c r="O2725" s="2">
        <v>3</v>
      </c>
      <c r="P2725" s="17">
        <f>277*(1-S3/100)</f>
        <v>277</v>
      </c>
      <c r="Q2725" s="18"/>
      <c r="R2725" s="10">
        <f>P2725*Q2725</f>
        <v>0</v>
      </c>
      <c r="S2725" s="19">
        <f>0.085*Q2725</f>
        <v>0</v>
      </c>
      <c r="T2725" s="30">
        <f>0.0002*Q2725</f>
        <v>0</v>
      </c>
      <c r="U2725" s="21"/>
      <c r="V2725" s="22" t="s">
        <v>12307</v>
      </c>
      <c r="W2725" s="22" t="s">
        <v>49</v>
      </c>
      <c r="X2725" s="3" t="s">
        <v>12308</v>
      </c>
      <c r="Y2725" s="3" t="s">
        <v>12309</v>
      </c>
      <c r="Z2725" s="3" t="s">
        <v>52</v>
      </c>
      <c r="AA2725" s="3"/>
      <c r="AB2725" s="3"/>
      <c r="AC2725" s="3" t="str">
        <f>HYPERLINK("https://knigipp.ru/api/getInfo/image/d0ac611b-9e08-11f0-a285-00155d82e908")</f>
        <v>https://knigipp.ru/api/getInfo/image/d0ac611b-9e08-11f0-a285-00155d82e908</v>
      </c>
      <c r="AD2725" s="32">
        <v>12</v>
      </c>
      <c r="AE2725" s="3" t="s">
        <v>54</v>
      </c>
      <c r="AF2725" s="3" t="s">
        <v>741</v>
      </c>
      <c r="AG2725" s="3"/>
      <c r="AH2725" s="3" t="s">
        <v>56</v>
      </c>
      <c r="AI2725" s="3"/>
      <c r="AJ2725" s="3"/>
      <c r="AK2725" s="3" t="str">
        <f>HYPERLINK("https://knigipp.ru/api/getInfo/item/d0ac611b-9e08-11f0-a285-00155d82e908")</f>
        <v>https://knigipp.ru/api/getInfo/item/d0ac611b-9e08-11f0-a285-00155d82e908</v>
      </c>
      <c r="AL2725" s="3" t="s">
        <v>12310</v>
      </c>
    </row>
    <row r="2726" spans="1:38" ht="21" customHeight="1" outlineLevel="4" x14ac:dyDescent="0.2">
      <c r="A2726" s="39">
        <v>2132</v>
      </c>
      <c r="B2726" s="3" t="s">
        <v>12311</v>
      </c>
      <c r="C2726" s="49" t="s">
        <v>12312</v>
      </c>
      <c r="D2726" s="49"/>
      <c r="E2726" s="49"/>
      <c r="F2726" s="49"/>
      <c r="G2726" s="4" t="s">
        <v>12313</v>
      </c>
      <c r="H2726" s="8"/>
      <c r="I2726" s="9" t="s">
        <v>12306</v>
      </c>
      <c r="J2726" s="10"/>
      <c r="K2726" s="11">
        <v>20</v>
      </c>
      <c r="L2726" s="10"/>
      <c r="M2726" s="10" t="s">
        <v>47</v>
      </c>
      <c r="N2726" s="10"/>
      <c r="O2726" s="2">
        <v>3</v>
      </c>
      <c r="P2726" s="17">
        <f>277*(1-S3/100)</f>
        <v>277</v>
      </c>
      <c r="Q2726" s="18"/>
      <c r="R2726" s="10">
        <f>P2726*Q2726</f>
        <v>0</v>
      </c>
      <c r="S2726" s="19">
        <f>0.089*Q2726</f>
        <v>0</v>
      </c>
      <c r="T2726" s="30">
        <f>0.0002*Q2726</f>
        <v>0</v>
      </c>
      <c r="U2726" s="21"/>
      <c r="V2726" s="22" t="s">
        <v>12314</v>
      </c>
      <c r="W2726" s="22" t="s">
        <v>49</v>
      </c>
      <c r="X2726" s="3" t="s">
        <v>12308</v>
      </c>
      <c r="Y2726" s="3" t="s">
        <v>12309</v>
      </c>
      <c r="Z2726" s="3" t="s">
        <v>52</v>
      </c>
      <c r="AA2726" s="3"/>
      <c r="AB2726" s="3"/>
      <c r="AC2726" s="3" t="str">
        <f>HYPERLINK("https://knigipp.ru/api/getInfo/image/d86e2a6f-9e0c-11f0-a285-00155d82e908")</f>
        <v>https://knigipp.ru/api/getInfo/image/d86e2a6f-9e0c-11f0-a285-00155d82e908</v>
      </c>
      <c r="AD2726" s="32">
        <v>12</v>
      </c>
      <c r="AE2726" s="3" t="s">
        <v>54</v>
      </c>
      <c r="AF2726" s="3" t="s">
        <v>741</v>
      </c>
      <c r="AG2726" s="3"/>
      <c r="AH2726" s="3" t="s">
        <v>56</v>
      </c>
      <c r="AI2726" s="3"/>
      <c r="AJ2726" s="3"/>
      <c r="AK2726" s="3" t="str">
        <f>HYPERLINK("https://knigipp.ru/api/getInfo/item/d86e2a6f-9e0c-11f0-a285-00155d82e908")</f>
        <v>https://knigipp.ru/api/getInfo/item/d86e2a6f-9e0c-11f0-a285-00155d82e908</v>
      </c>
      <c r="AL2726" s="3" t="s">
        <v>12310</v>
      </c>
    </row>
    <row r="2727" spans="1:38" ht="21" customHeight="1" outlineLevel="4" x14ac:dyDescent="0.2">
      <c r="A2727" s="39">
        <v>2133</v>
      </c>
      <c r="B2727" s="3" t="s">
        <v>12315</v>
      </c>
      <c r="C2727" s="49" t="s">
        <v>12316</v>
      </c>
      <c r="D2727" s="49"/>
      <c r="E2727" s="49"/>
      <c r="F2727" s="49"/>
      <c r="G2727" s="4" t="s">
        <v>12317</v>
      </c>
      <c r="H2727" s="8"/>
      <c r="I2727" s="9" t="s">
        <v>12306</v>
      </c>
      <c r="J2727" s="10"/>
      <c r="K2727" s="11">
        <v>20</v>
      </c>
      <c r="L2727" s="10"/>
      <c r="M2727" s="10" t="s">
        <v>47</v>
      </c>
      <c r="N2727" s="10"/>
      <c r="O2727" s="2">
        <v>3</v>
      </c>
      <c r="P2727" s="17">
        <f>277*(1-S3/100)</f>
        <v>277</v>
      </c>
      <c r="Q2727" s="18"/>
      <c r="R2727" s="10">
        <f>P2727*Q2727</f>
        <v>0</v>
      </c>
      <c r="S2727" s="19">
        <f>0.089*Q2727</f>
        <v>0</v>
      </c>
      <c r="T2727" s="30">
        <f>0.0002*Q2727</f>
        <v>0</v>
      </c>
      <c r="U2727" s="21"/>
      <c r="V2727" s="22" t="s">
        <v>12318</v>
      </c>
      <c r="W2727" s="22" t="s">
        <v>49</v>
      </c>
      <c r="X2727" s="3"/>
      <c r="Y2727" s="3" t="s">
        <v>12309</v>
      </c>
      <c r="Z2727" s="3" t="s">
        <v>52</v>
      </c>
      <c r="AA2727" s="3"/>
      <c r="AB2727" s="3"/>
      <c r="AC2727" s="3" t="str">
        <f>HYPERLINK("https://knigipp.ru/api/getInfo/image/35da427a-9e0d-11f0-a285-00155d82e908")</f>
        <v>https://knigipp.ru/api/getInfo/image/35da427a-9e0d-11f0-a285-00155d82e908</v>
      </c>
      <c r="AD2727" s="32">
        <v>12</v>
      </c>
      <c r="AE2727" s="3" t="s">
        <v>54</v>
      </c>
      <c r="AF2727" s="3" t="s">
        <v>741</v>
      </c>
      <c r="AG2727" s="3"/>
      <c r="AH2727" s="3" t="s">
        <v>56</v>
      </c>
      <c r="AI2727" s="3"/>
      <c r="AJ2727" s="3"/>
      <c r="AK2727" s="3" t="str">
        <f>HYPERLINK("https://knigipp.ru/api/getInfo/item/35da427a-9e0d-11f0-a285-00155d82e908")</f>
        <v>https://knigipp.ru/api/getInfo/item/35da427a-9e0d-11f0-a285-00155d82e908</v>
      </c>
      <c r="AL2727" s="3" t="s">
        <v>12310</v>
      </c>
    </row>
    <row r="2728" spans="1:38" ht="21" customHeight="1" outlineLevel="4" x14ac:dyDescent="0.2">
      <c r="A2728" s="39">
        <v>2134</v>
      </c>
      <c r="B2728" s="3" t="s">
        <v>12319</v>
      </c>
      <c r="C2728" s="49" t="s">
        <v>12320</v>
      </c>
      <c r="D2728" s="49"/>
      <c r="E2728" s="49"/>
      <c r="F2728" s="49"/>
      <c r="G2728" s="4" t="s">
        <v>12321</v>
      </c>
      <c r="H2728" s="8"/>
      <c r="I2728" s="9" t="s">
        <v>12306</v>
      </c>
      <c r="J2728" s="10"/>
      <c r="K2728" s="11">
        <v>20</v>
      </c>
      <c r="L2728" s="10"/>
      <c r="M2728" s="10" t="s">
        <v>47</v>
      </c>
      <c r="N2728" s="10"/>
      <c r="O2728" s="2">
        <v>3</v>
      </c>
      <c r="P2728" s="17">
        <f>277*(1-S3/100)</f>
        <v>277</v>
      </c>
      <c r="Q2728" s="18"/>
      <c r="R2728" s="10">
        <f>P2728*Q2728</f>
        <v>0</v>
      </c>
      <c r="S2728" s="19">
        <f>0.089*Q2728</f>
        <v>0</v>
      </c>
      <c r="T2728" s="30">
        <f>0.0002*Q2728</f>
        <v>0</v>
      </c>
      <c r="U2728" s="21"/>
      <c r="V2728" s="22" t="s">
        <v>12322</v>
      </c>
      <c r="W2728" s="22" t="s">
        <v>49</v>
      </c>
      <c r="X2728" s="3" t="s">
        <v>837</v>
      </c>
      <c r="Y2728" s="3" t="s">
        <v>12309</v>
      </c>
      <c r="Z2728" s="3" t="s">
        <v>52</v>
      </c>
      <c r="AA2728" s="3"/>
      <c r="AB2728" s="3"/>
      <c r="AC2728" s="3" t="str">
        <f>HYPERLINK("https://knigipp.ru/api/getInfo/image/fe60471f-9e0c-11f0-a285-00155d82e908")</f>
        <v>https://knigipp.ru/api/getInfo/image/fe60471f-9e0c-11f0-a285-00155d82e908</v>
      </c>
      <c r="AD2728" s="32">
        <v>12</v>
      </c>
      <c r="AE2728" s="3" t="s">
        <v>54</v>
      </c>
      <c r="AF2728" s="3" t="s">
        <v>741</v>
      </c>
      <c r="AG2728" s="3"/>
      <c r="AH2728" s="3" t="s">
        <v>56</v>
      </c>
      <c r="AI2728" s="3"/>
      <c r="AJ2728" s="3"/>
      <c r="AK2728" s="3" t="str">
        <f>HYPERLINK("https://knigipp.ru/api/getInfo/item/fe60471f-9e0c-11f0-a285-00155d82e908")</f>
        <v>https://knigipp.ru/api/getInfo/item/fe60471f-9e0c-11f0-a285-00155d82e908</v>
      </c>
      <c r="AL2728" s="3" t="s">
        <v>12310</v>
      </c>
    </row>
    <row r="2729" spans="1:38" ht="23.1" customHeight="1" outlineLevel="3" x14ac:dyDescent="0.2">
      <c r="A2729" s="48" t="s">
        <v>12323</v>
      </c>
      <c r="B2729" s="48"/>
      <c r="C2729" s="48"/>
      <c r="D2729" s="48"/>
      <c r="E2729" s="48"/>
      <c r="F2729" s="48"/>
    </row>
    <row r="2730" spans="1:38" ht="21" customHeight="1" outlineLevel="4" x14ac:dyDescent="0.2">
      <c r="A2730" s="39">
        <v>2135</v>
      </c>
      <c r="B2730" s="3" t="s">
        <v>12324</v>
      </c>
      <c r="C2730" s="49" t="s">
        <v>12325</v>
      </c>
      <c r="D2730" s="49"/>
      <c r="E2730" s="49"/>
      <c r="F2730" s="49"/>
      <c r="G2730" s="4" t="s">
        <v>12326</v>
      </c>
      <c r="H2730" s="8"/>
      <c r="I2730" s="9" t="s">
        <v>12327</v>
      </c>
      <c r="J2730" s="10"/>
      <c r="K2730" s="11">
        <v>40</v>
      </c>
      <c r="L2730" s="10"/>
      <c r="M2730" s="10" t="s">
        <v>47</v>
      </c>
      <c r="N2730" s="10"/>
      <c r="O2730" s="2">
        <v>5</v>
      </c>
      <c r="P2730" s="17">
        <f>137*(1-S3/100)</f>
        <v>137</v>
      </c>
      <c r="Q2730" s="18"/>
      <c r="R2730" s="10">
        <f t="shared" ref="R2730:R2761" si="121">P2730*Q2730</f>
        <v>0</v>
      </c>
      <c r="S2730" s="19">
        <f>0.144*Q2730</f>
        <v>0</v>
      </c>
      <c r="T2730" s="20">
        <f>0.00021*Q2730</f>
        <v>0</v>
      </c>
      <c r="U2730" s="21"/>
      <c r="V2730" s="22" t="s">
        <v>12328</v>
      </c>
      <c r="W2730" s="22" t="s">
        <v>49</v>
      </c>
      <c r="X2730" s="3"/>
      <c r="Y2730" s="3"/>
      <c r="Z2730" s="3" t="s">
        <v>52</v>
      </c>
      <c r="AA2730" s="3"/>
      <c r="AB2730" s="3"/>
      <c r="AC2730" s="3" t="str">
        <f>HYPERLINK("https://knigipp.ru/api/getInfo/image/a949f1d8-60ab-11eb-a26d-ac1f6b442184")</f>
        <v>https://knigipp.ru/api/getInfo/image/a949f1d8-60ab-11eb-a26d-ac1f6b442184</v>
      </c>
      <c r="AD2730" s="32">
        <v>10</v>
      </c>
      <c r="AE2730" s="3"/>
      <c r="AF2730" s="3" t="s">
        <v>209</v>
      </c>
      <c r="AG2730" s="3"/>
      <c r="AH2730" s="3" t="s">
        <v>56</v>
      </c>
      <c r="AI2730" s="3"/>
      <c r="AJ2730" s="3"/>
      <c r="AK2730" s="3" t="str">
        <f>HYPERLINK("https://knigipp.ru/api/getInfo/item/a949f1d8-60ab-11eb-a26d-ac1f6b442184")</f>
        <v>https://knigipp.ru/api/getInfo/item/a949f1d8-60ab-11eb-a26d-ac1f6b442184</v>
      </c>
      <c r="AL2730" s="3" t="s">
        <v>3341</v>
      </c>
    </row>
    <row r="2731" spans="1:38" ht="21" customHeight="1" outlineLevel="4" x14ac:dyDescent="0.2">
      <c r="A2731" s="39">
        <v>2136</v>
      </c>
      <c r="B2731" s="3" t="s">
        <v>12329</v>
      </c>
      <c r="C2731" s="49" t="s">
        <v>12330</v>
      </c>
      <c r="D2731" s="49"/>
      <c r="E2731" s="49"/>
      <c r="F2731" s="49"/>
      <c r="G2731" s="4" t="s">
        <v>12331</v>
      </c>
      <c r="H2731" s="8"/>
      <c r="I2731" s="9" t="s">
        <v>12332</v>
      </c>
      <c r="J2731" s="10"/>
      <c r="K2731" s="11">
        <v>40</v>
      </c>
      <c r="L2731" s="10"/>
      <c r="M2731" s="10" t="s">
        <v>47</v>
      </c>
      <c r="N2731" s="10"/>
      <c r="O2731" s="2">
        <v>5</v>
      </c>
      <c r="P2731" s="17">
        <f>137*(1-S3/100)</f>
        <v>137</v>
      </c>
      <c r="Q2731" s="18"/>
      <c r="R2731" s="10">
        <f t="shared" si="121"/>
        <v>0</v>
      </c>
      <c r="S2731" s="19">
        <f>0.111*Q2731</f>
        <v>0</v>
      </c>
      <c r="T2731" s="20">
        <f>0.00018*Q2731</f>
        <v>0</v>
      </c>
      <c r="U2731" s="21"/>
      <c r="V2731" s="22" t="s">
        <v>12333</v>
      </c>
      <c r="W2731" s="22" t="s">
        <v>49</v>
      </c>
      <c r="X2731" s="3" t="s">
        <v>117</v>
      </c>
      <c r="Y2731" s="3" t="s">
        <v>12334</v>
      </c>
      <c r="Z2731" s="3" t="s">
        <v>52</v>
      </c>
      <c r="AA2731" s="3"/>
      <c r="AB2731" s="3"/>
      <c r="AC2731" s="3" t="str">
        <f>HYPERLINK("https://knigipp.ru/api/getInfo/image/9659eedc-e573-11f0-a28c-00155d82e908")</f>
        <v>https://knigipp.ru/api/getInfo/image/9659eedc-e573-11f0-a28c-00155d82e908</v>
      </c>
      <c r="AD2731" s="32">
        <v>10</v>
      </c>
      <c r="AE2731" s="3" t="s">
        <v>54</v>
      </c>
      <c r="AF2731" s="3" t="s">
        <v>209</v>
      </c>
      <c r="AG2731" s="3"/>
      <c r="AH2731" s="3" t="s">
        <v>56</v>
      </c>
      <c r="AI2731" s="3"/>
      <c r="AJ2731" s="3" t="s">
        <v>12335</v>
      </c>
      <c r="AK2731" s="3" t="str">
        <f>HYPERLINK("https://knigipp.ru/api/getInfo/item/9659eedc-e573-11f0-a28c-00155d82e908")</f>
        <v>https://knigipp.ru/api/getInfo/item/9659eedc-e573-11f0-a28c-00155d82e908</v>
      </c>
      <c r="AL2731" s="3" t="s">
        <v>11480</v>
      </c>
    </row>
    <row r="2732" spans="1:38" ht="21" customHeight="1" outlineLevel="4" x14ac:dyDescent="0.2">
      <c r="A2732" s="39">
        <v>2137</v>
      </c>
      <c r="B2732" s="3" t="s">
        <v>12336</v>
      </c>
      <c r="C2732" s="49" t="s">
        <v>12337</v>
      </c>
      <c r="D2732" s="49"/>
      <c r="E2732" s="49"/>
      <c r="F2732" s="49"/>
      <c r="G2732" s="4" t="s">
        <v>12338</v>
      </c>
      <c r="H2732" s="8"/>
      <c r="I2732" s="9"/>
      <c r="J2732" s="10"/>
      <c r="K2732" s="11">
        <v>40</v>
      </c>
      <c r="L2732" s="10"/>
      <c r="M2732" s="10" t="s">
        <v>47</v>
      </c>
      <c r="N2732" s="10"/>
      <c r="O2732" s="2">
        <v>5</v>
      </c>
      <c r="P2732" s="17">
        <f>137*(1-S3/100)</f>
        <v>137</v>
      </c>
      <c r="Q2732" s="18"/>
      <c r="R2732" s="10">
        <f t="shared" si="121"/>
        <v>0</v>
      </c>
      <c r="S2732" s="19">
        <f>0.114*Q2732</f>
        <v>0</v>
      </c>
      <c r="T2732" s="20">
        <f>0.00007*Q2732</f>
        <v>0</v>
      </c>
      <c r="U2732" s="21"/>
      <c r="V2732" s="22" t="s">
        <v>12339</v>
      </c>
      <c r="W2732" s="22" t="s">
        <v>49</v>
      </c>
      <c r="X2732" s="3"/>
      <c r="Y2732" s="3" t="s">
        <v>12340</v>
      </c>
      <c r="Z2732" s="3" t="s">
        <v>52</v>
      </c>
      <c r="AA2732" s="3"/>
      <c r="AB2732" s="3"/>
      <c r="AC2732" s="3" t="str">
        <f>HYPERLINK("https://knigipp.ru/api/getInfo/image/3e4aa6bb-74f6-11ef-a265-00155d82e908")</f>
        <v>https://knigipp.ru/api/getInfo/image/3e4aa6bb-74f6-11ef-a265-00155d82e908</v>
      </c>
      <c r="AD2732" s="32">
        <v>10</v>
      </c>
      <c r="AE2732" s="3"/>
      <c r="AF2732" s="3" t="s">
        <v>209</v>
      </c>
      <c r="AG2732" s="3"/>
      <c r="AH2732" s="3" t="s">
        <v>56</v>
      </c>
      <c r="AI2732" s="3"/>
      <c r="AJ2732" s="3"/>
      <c r="AK2732" s="3" t="str">
        <f>HYPERLINK("https://knigipp.ru/api/getInfo/item/3e4aa6bb-74f6-11ef-a265-00155d82e908")</f>
        <v>https://knigipp.ru/api/getInfo/item/3e4aa6bb-74f6-11ef-a265-00155d82e908</v>
      </c>
      <c r="AL2732" s="3" t="s">
        <v>3341</v>
      </c>
    </row>
    <row r="2733" spans="1:38" ht="21" customHeight="1" outlineLevel="4" x14ac:dyDescent="0.2">
      <c r="A2733" s="39">
        <v>2138</v>
      </c>
      <c r="B2733" s="3" t="s">
        <v>12341</v>
      </c>
      <c r="C2733" s="49" t="s">
        <v>12342</v>
      </c>
      <c r="D2733" s="49"/>
      <c r="E2733" s="49"/>
      <c r="F2733" s="49"/>
      <c r="G2733" s="4" t="s">
        <v>12343</v>
      </c>
      <c r="H2733" s="8"/>
      <c r="I2733" s="9" t="s">
        <v>12344</v>
      </c>
      <c r="J2733" s="10"/>
      <c r="K2733" s="11">
        <v>40</v>
      </c>
      <c r="L2733" s="10"/>
      <c r="M2733" s="10" t="s">
        <v>78</v>
      </c>
      <c r="N2733" s="10"/>
      <c r="O2733" s="2">
        <v>5</v>
      </c>
      <c r="P2733" s="17">
        <f>137*(1-S3/100)</f>
        <v>137</v>
      </c>
      <c r="Q2733" s="18"/>
      <c r="R2733" s="10">
        <f t="shared" si="121"/>
        <v>0</v>
      </c>
      <c r="S2733" s="19">
        <f>0.113*Q2733</f>
        <v>0</v>
      </c>
      <c r="T2733" s="20">
        <f>0.00038*Q2733</f>
        <v>0</v>
      </c>
      <c r="U2733" s="21"/>
      <c r="V2733" s="22" t="s">
        <v>12345</v>
      </c>
      <c r="W2733" s="22" t="s">
        <v>49</v>
      </c>
      <c r="X2733" s="3" t="s">
        <v>12346</v>
      </c>
      <c r="Y2733" s="3" t="s">
        <v>12347</v>
      </c>
      <c r="Z2733" s="3" t="s">
        <v>52</v>
      </c>
      <c r="AA2733" s="3"/>
      <c r="AB2733" s="3"/>
      <c r="AC2733" s="3" t="str">
        <f>HYPERLINK("https://knigipp.ru/api/getInfo/image/9c92ac61-354f-11ef-a261-00155d82e908")</f>
        <v>https://knigipp.ru/api/getInfo/image/9c92ac61-354f-11ef-a261-00155d82e908</v>
      </c>
      <c r="AD2733" s="32">
        <v>10</v>
      </c>
      <c r="AE2733" s="3" t="s">
        <v>54</v>
      </c>
      <c r="AF2733" s="3" t="s">
        <v>209</v>
      </c>
      <c r="AG2733" s="3"/>
      <c r="AH2733" s="3" t="s">
        <v>56</v>
      </c>
      <c r="AI2733" s="3"/>
      <c r="AJ2733" s="3" t="s">
        <v>12335</v>
      </c>
      <c r="AK2733" s="3" t="str">
        <f>HYPERLINK("https://knigipp.ru/api/getInfo/item/9c92ac61-354f-11ef-a261-00155d82e908")</f>
        <v>https://knigipp.ru/api/getInfo/item/9c92ac61-354f-11ef-a261-00155d82e908</v>
      </c>
      <c r="AL2733" s="3" t="s">
        <v>11480</v>
      </c>
    </row>
    <row r="2734" spans="1:38" ht="21" customHeight="1" outlineLevel="4" x14ac:dyDescent="0.2">
      <c r="A2734" s="39">
        <v>2139</v>
      </c>
      <c r="B2734" s="3" t="s">
        <v>12348</v>
      </c>
      <c r="C2734" s="49" t="s">
        <v>12349</v>
      </c>
      <c r="D2734" s="49"/>
      <c r="E2734" s="49"/>
      <c r="F2734" s="49"/>
      <c r="G2734" s="4" t="s">
        <v>12350</v>
      </c>
      <c r="H2734" s="8"/>
      <c r="I2734" s="9" t="s">
        <v>12351</v>
      </c>
      <c r="J2734" s="10"/>
      <c r="K2734" s="11">
        <v>40</v>
      </c>
      <c r="L2734" s="10"/>
      <c r="M2734" s="10" t="s">
        <v>47</v>
      </c>
      <c r="N2734" s="10"/>
      <c r="O2734" s="2">
        <v>5</v>
      </c>
      <c r="P2734" s="17">
        <f>137*(1-S3/100)</f>
        <v>137</v>
      </c>
      <c r="Q2734" s="18"/>
      <c r="R2734" s="10">
        <f t="shared" si="121"/>
        <v>0</v>
      </c>
      <c r="S2734" s="19">
        <f>0.109*Q2734</f>
        <v>0</v>
      </c>
      <c r="T2734" s="30">
        <f>0.0003*Q2734</f>
        <v>0</v>
      </c>
      <c r="U2734" s="21"/>
      <c r="V2734" s="22" t="s">
        <v>12352</v>
      </c>
      <c r="W2734" s="22" t="s">
        <v>49</v>
      </c>
      <c r="X2734" s="3"/>
      <c r="Y2734" s="3" t="s">
        <v>12353</v>
      </c>
      <c r="Z2734" s="3" t="s">
        <v>52</v>
      </c>
      <c r="AA2734" s="3"/>
      <c r="AB2734" s="3"/>
      <c r="AC2734" s="3" t="str">
        <f>HYPERLINK("https://knigipp.ru/api/getInfo/image/b01f9d11-25c4-11f0-a279-00155d82e908")</f>
        <v>https://knigipp.ru/api/getInfo/image/b01f9d11-25c4-11f0-a279-00155d82e908</v>
      </c>
      <c r="AD2734" s="32">
        <v>10</v>
      </c>
      <c r="AE2734" s="3"/>
      <c r="AF2734" s="3" t="s">
        <v>209</v>
      </c>
      <c r="AG2734" s="3"/>
      <c r="AH2734" s="3" t="s">
        <v>56</v>
      </c>
      <c r="AI2734" s="3"/>
      <c r="AJ2734" s="3"/>
      <c r="AK2734" s="3" t="str">
        <f>HYPERLINK("https://knigipp.ru/api/getInfo/item/b01f9d11-25c4-11f0-a279-00155d82e908")</f>
        <v>https://knigipp.ru/api/getInfo/item/b01f9d11-25c4-11f0-a279-00155d82e908</v>
      </c>
      <c r="AL2734" s="3" t="s">
        <v>3341</v>
      </c>
    </row>
    <row r="2735" spans="1:38" ht="21" customHeight="1" outlineLevel="4" x14ac:dyDescent="0.2">
      <c r="A2735" s="40">
        <v>2140</v>
      </c>
      <c r="B2735" s="6" t="s">
        <v>12354</v>
      </c>
      <c r="C2735" s="54" t="s">
        <v>12355</v>
      </c>
      <c r="D2735" s="54"/>
      <c r="E2735" s="54"/>
      <c r="F2735" s="54"/>
      <c r="G2735" s="7" t="s">
        <v>12356</v>
      </c>
      <c r="H2735" s="12"/>
      <c r="I2735" s="13" t="s">
        <v>12357</v>
      </c>
      <c r="J2735" s="14"/>
      <c r="K2735" s="15">
        <v>40</v>
      </c>
      <c r="L2735" s="14"/>
      <c r="M2735" s="14" t="s">
        <v>47</v>
      </c>
      <c r="N2735" s="14"/>
      <c r="O2735" s="5">
        <v>5</v>
      </c>
      <c r="P2735" s="23">
        <f>137*(1-S3/100)</f>
        <v>137</v>
      </c>
      <c r="Q2735" s="18"/>
      <c r="R2735" s="14">
        <f t="shared" si="121"/>
        <v>0</v>
      </c>
      <c r="S2735" s="24">
        <f>0.112*Q2735</f>
        <v>0</v>
      </c>
      <c r="T2735" s="25">
        <f>0.00014*Q2735</f>
        <v>0</v>
      </c>
      <c r="U2735" s="26" t="s">
        <v>62</v>
      </c>
      <c r="V2735" s="27" t="s">
        <v>12358</v>
      </c>
      <c r="W2735" s="27" t="s">
        <v>49</v>
      </c>
      <c r="X2735" s="6" t="s">
        <v>207</v>
      </c>
      <c r="Y2735" s="6" t="s">
        <v>12359</v>
      </c>
      <c r="Z2735" s="6" t="s">
        <v>52</v>
      </c>
      <c r="AA2735" s="6"/>
      <c r="AB2735" s="6"/>
      <c r="AC2735" s="6" t="str">
        <f>HYPERLINK("https://knigipp.ru/api/getInfo/image/cccf5844-4791-11f1-a294-00155d82e908")</f>
        <v>https://knigipp.ru/api/getInfo/image/cccf5844-4791-11f1-a294-00155d82e908</v>
      </c>
      <c r="AD2735" s="33">
        <v>10</v>
      </c>
      <c r="AE2735" s="6" t="s">
        <v>54</v>
      </c>
      <c r="AF2735" s="6" t="s">
        <v>209</v>
      </c>
      <c r="AG2735" s="6"/>
      <c r="AH2735" s="6"/>
      <c r="AI2735" s="6"/>
      <c r="AJ2735" s="6"/>
      <c r="AK2735" s="6" t="str">
        <f>HYPERLINK("https://knigipp.ru/api/getInfo/item/cccf5844-4791-11f1-a294-00155d82e908")</f>
        <v>https://knigipp.ru/api/getInfo/item/cccf5844-4791-11f1-a294-00155d82e908</v>
      </c>
      <c r="AL2735" s="6" t="s">
        <v>12360</v>
      </c>
    </row>
    <row r="2736" spans="1:38" ht="21" customHeight="1" outlineLevel="4" x14ac:dyDescent="0.2">
      <c r="A2736" s="40">
        <v>2141</v>
      </c>
      <c r="B2736" s="6" t="s">
        <v>12361</v>
      </c>
      <c r="C2736" s="54" t="s">
        <v>12362</v>
      </c>
      <c r="D2736" s="54"/>
      <c r="E2736" s="54"/>
      <c r="F2736" s="54"/>
      <c r="G2736" s="7" t="s">
        <v>12363</v>
      </c>
      <c r="H2736" s="12"/>
      <c r="I2736" s="13" t="s">
        <v>12357</v>
      </c>
      <c r="J2736" s="14"/>
      <c r="K2736" s="15">
        <v>40</v>
      </c>
      <c r="L2736" s="14"/>
      <c r="M2736" s="14" t="s">
        <v>47</v>
      </c>
      <c r="N2736" s="14"/>
      <c r="O2736" s="5">
        <v>5</v>
      </c>
      <c r="P2736" s="23">
        <f>137*(1-S3/100)</f>
        <v>137</v>
      </c>
      <c r="Q2736" s="18"/>
      <c r="R2736" s="14">
        <f t="shared" si="121"/>
        <v>0</v>
      </c>
      <c r="S2736" s="24">
        <f>0.112*Q2736</f>
        <v>0</v>
      </c>
      <c r="T2736" s="25">
        <f>0.00014*Q2736</f>
        <v>0</v>
      </c>
      <c r="U2736" s="26" t="s">
        <v>62</v>
      </c>
      <c r="V2736" s="27" t="s">
        <v>12364</v>
      </c>
      <c r="W2736" s="27" t="s">
        <v>49</v>
      </c>
      <c r="X2736" s="6" t="s">
        <v>207</v>
      </c>
      <c r="Y2736" s="6" t="s">
        <v>12365</v>
      </c>
      <c r="Z2736" s="6" t="s">
        <v>52</v>
      </c>
      <c r="AA2736" s="6"/>
      <c r="AB2736" s="6"/>
      <c r="AC2736" s="6" t="str">
        <f>HYPERLINK("https://knigipp.ru/api/getInfo/image/fdb76874-4792-11f1-a294-00155d82e908")</f>
        <v>https://knigipp.ru/api/getInfo/image/fdb76874-4792-11f1-a294-00155d82e908</v>
      </c>
      <c r="AD2736" s="33">
        <v>10</v>
      </c>
      <c r="AE2736" s="6" t="s">
        <v>54</v>
      </c>
      <c r="AF2736" s="6" t="s">
        <v>209</v>
      </c>
      <c r="AG2736" s="6"/>
      <c r="AH2736" s="6"/>
      <c r="AI2736" s="6"/>
      <c r="AJ2736" s="6"/>
      <c r="AK2736" s="6" t="str">
        <f>HYPERLINK("https://knigipp.ru/api/getInfo/item/fdb76874-4792-11f1-a294-00155d82e908")</f>
        <v>https://knigipp.ru/api/getInfo/item/fdb76874-4792-11f1-a294-00155d82e908</v>
      </c>
      <c r="AL2736" s="6" t="s">
        <v>12360</v>
      </c>
    </row>
    <row r="2737" spans="1:38" ht="21" customHeight="1" outlineLevel="4" x14ac:dyDescent="0.2">
      <c r="A2737" s="40">
        <v>2142</v>
      </c>
      <c r="B2737" s="6" t="s">
        <v>12366</v>
      </c>
      <c r="C2737" s="54" t="s">
        <v>12367</v>
      </c>
      <c r="D2737" s="54"/>
      <c r="E2737" s="54"/>
      <c r="F2737" s="54"/>
      <c r="G2737" s="7" t="s">
        <v>12368</v>
      </c>
      <c r="H2737" s="12"/>
      <c r="I2737" s="13" t="s">
        <v>12357</v>
      </c>
      <c r="J2737" s="14"/>
      <c r="K2737" s="15">
        <v>40</v>
      </c>
      <c r="L2737" s="14"/>
      <c r="M2737" s="14" t="s">
        <v>47</v>
      </c>
      <c r="N2737" s="14"/>
      <c r="O2737" s="5">
        <v>5</v>
      </c>
      <c r="P2737" s="23">
        <f>137*(1-S3/100)</f>
        <v>137</v>
      </c>
      <c r="Q2737" s="18"/>
      <c r="R2737" s="14">
        <f t="shared" si="121"/>
        <v>0</v>
      </c>
      <c r="S2737" s="24">
        <f>0.112*Q2737</f>
        <v>0</v>
      </c>
      <c r="T2737" s="25">
        <f>0.00014*Q2737</f>
        <v>0</v>
      </c>
      <c r="U2737" s="26" t="s">
        <v>62</v>
      </c>
      <c r="V2737" s="27" t="s">
        <v>12369</v>
      </c>
      <c r="W2737" s="27" t="s">
        <v>49</v>
      </c>
      <c r="X2737" s="6" t="s">
        <v>207</v>
      </c>
      <c r="Y2737" s="6" t="s">
        <v>12370</v>
      </c>
      <c r="Z2737" s="6" t="s">
        <v>52</v>
      </c>
      <c r="AA2737" s="6"/>
      <c r="AB2737" s="6"/>
      <c r="AC2737" s="6" t="str">
        <f>HYPERLINK("https://knigipp.ru/api/getInfo/image/4efff22d-4793-11f1-a294-00155d82e908")</f>
        <v>https://knigipp.ru/api/getInfo/image/4efff22d-4793-11f1-a294-00155d82e908</v>
      </c>
      <c r="AD2737" s="33">
        <v>10</v>
      </c>
      <c r="AE2737" s="6" t="s">
        <v>54</v>
      </c>
      <c r="AF2737" s="6" t="s">
        <v>209</v>
      </c>
      <c r="AG2737" s="6"/>
      <c r="AH2737" s="6"/>
      <c r="AI2737" s="6"/>
      <c r="AJ2737" s="6"/>
      <c r="AK2737" s="6" t="str">
        <f>HYPERLINK("https://knigipp.ru/api/getInfo/item/4efff22d-4793-11f1-a294-00155d82e908")</f>
        <v>https://knigipp.ru/api/getInfo/item/4efff22d-4793-11f1-a294-00155d82e908</v>
      </c>
      <c r="AL2737" s="6" t="s">
        <v>12360</v>
      </c>
    </row>
    <row r="2738" spans="1:38" ht="21" customHeight="1" outlineLevel="4" x14ac:dyDescent="0.2">
      <c r="A2738" s="40">
        <v>2143</v>
      </c>
      <c r="B2738" s="6" t="s">
        <v>12371</v>
      </c>
      <c r="C2738" s="54" t="s">
        <v>12372</v>
      </c>
      <c r="D2738" s="54"/>
      <c r="E2738" s="54"/>
      <c r="F2738" s="54"/>
      <c r="G2738" s="7" t="s">
        <v>12373</v>
      </c>
      <c r="H2738" s="12"/>
      <c r="I2738" s="13" t="s">
        <v>12357</v>
      </c>
      <c r="J2738" s="14"/>
      <c r="K2738" s="15">
        <v>40</v>
      </c>
      <c r="L2738" s="14"/>
      <c r="M2738" s="14" t="s">
        <v>47</v>
      </c>
      <c r="N2738" s="14"/>
      <c r="O2738" s="5">
        <v>5</v>
      </c>
      <c r="P2738" s="23">
        <f>137*(1-S3/100)</f>
        <v>137</v>
      </c>
      <c r="Q2738" s="18"/>
      <c r="R2738" s="14">
        <f t="shared" si="121"/>
        <v>0</v>
      </c>
      <c r="S2738" s="24">
        <f>0.112*Q2738</f>
        <v>0</v>
      </c>
      <c r="T2738" s="25">
        <f>0.00014*Q2738</f>
        <v>0</v>
      </c>
      <c r="U2738" s="26" t="s">
        <v>62</v>
      </c>
      <c r="V2738" s="27" t="s">
        <v>12374</v>
      </c>
      <c r="W2738" s="27" t="s">
        <v>49</v>
      </c>
      <c r="X2738" s="6" t="s">
        <v>207</v>
      </c>
      <c r="Y2738" s="6" t="s">
        <v>12375</v>
      </c>
      <c r="Z2738" s="6" t="s">
        <v>52</v>
      </c>
      <c r="AA2738" s="6"/>
      <c r="AB2738" s="6"/>
      <c r="AC2738" s="6" t="str">
        <f>HYPERLINK("https://knigipp.ru/api/getInfo/image/8cd5d1f3-4793-11f1-a294-00155d82e908")</f>
        <v>https://knigipp.ru/api/getInfo/image/8cd5d1f3-4793-11f1-a294-00155d82e908</v>
      </c>
      <c r="AD2738" s="33">
        <v>10</v>
      </c>
      <c r="AE2738" s="6" t="s">
        <v>54</v>
      </c>
      <c r="AF2738" s="6" t="s">
        <v>209</v>
      </c>
      <c r="AG2738" s="6"/>
      <c r="AH2738" s="6"/>
      <c r="AI2738" s="6"/>
      <c r="AJ2738" s="6"/>
      <c r="AK2738" s="6" t="str">
        <f>HYPERLINK("https://knigipp.ru/api/getInfo/item/8cd5d1f3-4793-11f1-a294-00155d82e908")</f>
        <v>https://knigipp.ru/api/getInfo/item/8cd5d1f3-4793-11f1-a294-00155d82e908</v>
      </c>
      <c r="AL2738" s="6" t="s">
        <v>12360</v>
      </c>
    </row>
    <row r="2739" spans="1:38" ht="21" customHeight="1" outlineLevel="4" x14ac:dyDescent="0.2">
      <c r="A2739" s="39">
        <v>2144</v>
      </c>
      <c r="B2739" s="3" t="s">
        <v>12376</v>
      </c>
      <c r="C2739" s="49" t="s">
        <v>12377</v>
      </c>
      <c r="D2739" s="49"/>
      <c r="E2739" s="49"/>
      <c r="F2739" s="49"/>
      <c r="G2739" s="4" t="s">
        <v>12378</v>
      </c>
      <c r="H2739" s="8"/>
      <c r="I2739" s="9" t="s">
        <v>12379</v>
      </c>
      <c r="J2739" s="10"/>
      <c r="K2739" s="11">
        <v>40</v>
      </c>
      <c r="L2739" s="10"/>
      <c r="M2739" s="10" t="s">
        <v>47</v>
      </c>
      <c r="N2739" s="10"/>
      <c r="O2739" s="2">
        <v>5</v>
      </c>
      <c r="P2739" s="17">
        <f>137*(1-S3/100)</f>
        <v>137</v>
      </c>
      <c r="Q2739" s="18"/>
      <c r="R2739" s="10">
        <f t="shared" si="121"/>
        <v>0</v>
      </c>
      <c r="S2739" s="19">
        <f>0.109*Q2739</f>
        <v>0</v>
      </c>
      <c r="T2739" s="30">
        <f>0.0003*Q2739</f>
        <v>0</v>
      </c>
      <c r="U2739" s="21"/>
      <c r="V2739" s="22" t="s">
        <v>12380</v>
      </c>
      <c r="W2739" s="22" t="s">
        <v>49</v>
      </c>
      <c r="X2739" s="3"/>
      <c r="Y2739" s="3" t="s">
        <v>12381</v>
      </c>
      <c r="Z2739" s="3" t="s">
        <v>52</v>
      </c>
      <c r="AA2739" s="3"/>
      <c r="AB2739" s="3"/>
      <c r="AC2739" s="3" t="str">
        <f>HYPERLINK("https://knigipp.ru/api/getInfo/image/55b1dc3a-7f37-11ef-a265-00155d82e908")</f>
        <v>https://knigipp.ru/api/getInfo/image/55b1dc3a-7f37-11ef-a265-00155d82e908</v>
      </c>
      <c r="AD2739" s="32">
        <v>10</v>
      </c>
      <c r="AE2739" s="3" t="s">
        <v>54</v>
      </c>
      <c r="AF2739" s="3" t="s">
        <v>209</v>
      </c>
      <c r="AG2739" s="3"/>
      <c r="AH2739" s="3" t="s">
        <v>56</v>
      </c>
      <c r="AI2739" s="3"/>
      <c r="AJ2739" s="3"/>
      <c r="AK2739" s="3" t="str">
        <f>HYPERLINK("https://knigipp.ru/api/getInfo/item/55b1dc3a-7f37-11ef-a265-00155d82e908")</f>
        <v>https://knigipp.ru/api/getInfo/item/55b1dc3a-7f37-11ef-a265-00155d82e908</v>
      </c>
      <c r="AL2739" s="3" t="s">
        <v>3341</v>
      </c>
    </row>
    <row r="2740" spans="1:38" ht="21" customHeight="1" outlineLevel="4" x14ac:dyDescent="0.2">
      <c r="A2740" s="39">
        <v>2145</v>
      </c>
      <c r="B2740" s="3" t="s">
        <v>12382</v>
      </c>
      <c r="C2740" s="49" t="s">
        <v>12383</v>
      </c>
      <c r="D2740" s="49"/>
      <c r="E2740" s="49"/>
      <c r="F2740" s="49"/>
      <c r="G2740" s="4" t="s">
        <v>12384</v>
      </c>
      <c r="H2740" s="8"/>
      <c r="I2740" s="9" t="s">
        <v>12379</v>
      </c>
      <c r="J2740" s="10"/>
      <c r="K2740" s="11">
        <v>40</v>
      </c>
      <c r="L2740" s="10"/>
      <c r="M2740" s="10" t="s">
        <v>47</v>
      </c>
      <c r="N2740" s="10"/>
      <c r="O2740" s="2">
        <v>5</v>
      </c>
      <c r="P2740" s="17">
        <f>137*(1-S3/100)</f>
        <v>137</v>
      </c>
      <c r="Q2740" s="18"/>
      <c r="R2740" s="10">
        <f t="shared" si="121"/>
        <v>0</v>
      </c>
      <c r="S2740" s="19">
        <f>0.112*Q2740</f>
        <v>0</v>
      </c>
      <c r="T2740" s="20">
        <f>0.00026*Q2740</f>
        <v>0</v>
      </c>
      <c r="U2740" s="21"/>
      <c r="V2740" s="22" t="s">
        <v>12385</v>
      </c>
      <c r="W2740" s="22" t="s">
        <v>49</v>
      </c>
      <c r="X2740" s="3" t="s">
        <v>117</v>
      </c>
      <c r="Y2740" s="3" t="s">
        <v>12386</v>
      </c>
      <c r="Z2740" s="3" t="s">
        <v>52</v>
      </c>
      <c r="AA2740" s="3"/>
      <c r="AB2740" s="3"/>
      <c r="AC2740" s="3" t="str">
        <f>HYPERLINK("https://knigipp.ru/api/getInfo/image/03753b26-ae51-11ef-a267-00155d82e908")</f>
        <v>https://knigipp.ru/api/getInfo/image/03753b26-ae51-11ef-a267-00155d82e908</v>
      </c>
      <c r="AD2740" s="32">
        <v>10</v>
      </c>
      <c r="AE2740" s="3" t="s">
        <v>54</v>
      </c>
      <c r="AF2740" s="3" t="s">
        <v>209</v>
      </c>
      <c r="AG2740" s="3"/>
      <c r="AH2740" s="3" t="s">
        <v>56</v>
      </c>
      <c r="AI2740" s="3"/>
      <c r="AJ2740" s="3"/>
      <c r="AK2740" s="3" t="str">
        <f>HYPERLINK("https://knigipp.ru/api/getInfo/item/03753b26-ae51-11ef-a267-00155d82e908")</f>
        <v>https://knigipp.ru/api/getInfo/item/03753b26-ae51-11ef-a267-00155d82e908</v>
      </c>
      <c r="AL2740" s="3" t="s">
        <v>3341</v>
      </c>
    </row>
    <row r="2741" spans="1:38" ht="21" customHeight="1" outlineLevel="4" x14ac:dyDescent="0.2">
      <c r="A2741" s="39">
        <v>2146</v>
      </c>
      <c r="B2741" s="3" t="s">
        <v>12387</v>
      </c>
      <c r="C2741" s="49" t="s">
        <v>12388</v>
      </c>
      <c r="D2741" s="49"/>
      <c r="E2741" s="49"/>
      <c r="F2741" s="49"/>
      <c r="G2741" s="4" t="s">
        <v>12389</v>
      </c>
      <c r="H2741" s="8"/>
      <c r="I2741" s="9" t="s">
        <v>12390</v>
      </c>
      <c r="J2741" s="10"/>
      <c r="K2741" s="11">
        <v>40</v>
      </c>
      <c r="L2741" s="10"/>
      <c r="M2741" s="10" t="s">
        <v>47</v>
      </c>
      <c r="N2741" s="10"/>
      <c r="O2741" s="2">
        <v>5</v>
      </c>
      <c r="P2741" s="17">
        <f>137*(1-S3/100)</f>
        <v>137</v>
      </c>
      <c r="Q2741" s="18"/>
      <c r="R2741" s="10">
        <f t="shared" si="121"/>
        <v>0</v>
      </c>
      <c r="S2741" s="19">
        <f>0.108*Q2741</f>
        <v>0</v>
      </c>
      <c r="T2741" s="30">
        <f>0.0003*Q2741</f>
        <v>0</v>
      </c>
      <c r="U2741" s="21"/>
      <c r="V2741" s="22" t="s">
        <v>12391</v>
      </c>
      <c r="W2741" s="22" t="s">
        <v>49</v>
      </c>
      <c r="X2741" s="3"/>
      <c r="Y2741" s="3" t="s">
        <v>12392</v>
      </c>
      <c r="Z2741" s="3" t="s">
        <v>52</v>
      </c>
      <c r="AA2741" s="3"/>
      <c r="AB2741" s="3"/>
      <c r="AC2741" s="3" t="str">
        <f>HYPERLINK("https://knigipp.ru/api/getInfo/image/47a24c91-0e3b-11f0-a279-00155d82e908")</f>
        <v>https://knigipp.ru/api/getInfo/image/47a24c91-0e3b-11f0-a279-00155d82e908</v>
      </c>
      <c r="AD2741" s="32">
        <v>10</v>
      </c>
      <c r="AE2741" s="3" t="s">
        <v>54</v>
      </c>
      <c r="AF2741" s="3" t="s">
        <v>209</v>
      </c>
      <c r="AG2741" s="3"/>
      <c r="AH2741" s="3" t="s">
        <v>56</v>
      </c>
      <c r="AI2741" s="3"/>
      <c r="AJ2741" s="3"/>
      <c r="AK2741" s="3" t="str">
        <f>HYPERLINK("https://knigipp.ru/api/getInfo/item/47a24c91-0e3b-11f0-a279-00155d82e908")</f>
        <v>https://knigipp.ru/api/getInfo/item/47a24c91-0e3b-11f0-a279-00155d82e908</v>
      </c>
      <c r="AL2741" s="3" t="s">
        <v>3341</v>
      </c>
    </row>
    <row r="2742" spans="1:38" ht="21" customHeight="1" outlineLevel="4" x14ac:dyDescent="0.2">
      <c r="A2742" s="39">
        <v>2147</v>
      </c>
      <c r="B2742" s="3" t="s">
        <v>12393</v>
      </c>
      <c r="C2742" s="49" t="s">
        <v>12394</v>
      </c>
      <c r="D2742" s="49"/>
      <c r="E2742" s="49"/>
      <c r="F2742" s="49"/>
      <c r="G2742" s="4" t="s">
        <v>12395</v>
      </c>
      <c r="H2742" s="8"/>
      <c r="I2742" s="9" t="s">
        <v>12390</v>
      </c>
      <c r="J2742" s="10"/>
      <c r="K2742" s="11">
        <v>40</v>
      </c>
      <c r="L2742" s="10"/>
      <c r="M2742" s="10" t="s">
        <v>47</v>
      </c>
      <c r="N2742" s="10"/>
      <c r="O2742" s="2">
        <v>5</v>
      </c>
      <c r="P2742" s="17">
        <f>137*(1-S3/100)</f>
        <v>137</v>
      </c>
      <c r="Q2742" s="18"/>
      <c r="R2742" s="10">
        <f t="shared" si="121"/>
        <v>0</v>
      </c>
      <c r="S2742" s="19">
        <f>0.113*Q2742</f>
        <v>0</v>
      </c>
      <c r="T2742" s="20">
        <f>0.00027*Q2742</f>
        <v>0</v>
      </c>
      <c r="U2742" s="21"/>
      <c r="V2742" s="22" t="s">
        <v>12396</v>
      </c>
      <c r="W2742" s="22" t="s">
        <v>49</v>
      </c>
      <c r="X2742" s="3"/>
      <c r="Y2742" s="3" t="s">
        <v>12397</v>
      </c>
      <c r="Z2742" s="3" t="s">
        <v>52</v>
      </c>
      <c r="AA2742" s="3"/>
      <c r="AB2742" s="3"/>
      <c r="AC2742" s="3" t="str">
        <f>HYPERLINK("https://knigipp.ru/api/getInfo/image/72c45d55-0e3b-11f0-a279-00155d82e908")</f>
        <v>https://knigipp.ru/api/getInfo/image/72c45d55-0e3b-11f0-a279-00155d82e908</v>
      </c>
      <c r="AD2742" s="32">
        <v>10</v>
      </c>
      <c r="AE2742" s="3" t="s">
        <v>54</v>
      </c>
      <c r="AF2742" s="3" t="s">
        <v>209</v>
      </c>
      <c r="AG2742" s="3"/>
      <c r="AH2742" s="3" t="s">
        <v>56</v>
      </c>
      <c r="AI2742" s="3"/>
      <c r="AJ2742" s="3"/>
      <c r="AK2742" s="3" t="str">
        <f>HYPERLINK("https://knigipp.ru/api/getInfo/item/72c45d55-0e3b-11f0-a279-00155d82e908")</f>
        <v>https://knigipp.ru/api/getInfo/item/72c45d55-0e3b-11f0-a279-00155d82e908</v>
      </c>
      <c r="AL2742" s="3" t="s">
        <v>3341</v>
      </c>
    </row>
    <row r="2743" spans="1:38" ht="21" customHeight="1" outlineLevel="4" x14ac:dyDescent="0.2">
      <c r="A2743" s="39">
        <v>2148</v>
      </c>
      <c r="B2743" s="3" t="s">
        <v>12398</v>
      </c>
      <c r="C2743" s="49" t="s">
        <v>12399</v>
      </c>
      <c r="D2743" s="49"/>
      <c r="E2743" s="49"/>
      <c r="F2743" s="49"/>
      <c r="G2743" s="4" t="s">
        <v>12400</v>
      </c>
      <c r="H2743" s="8"/>
      <c r="I2743" s="9" t="s">
        <v>12401</v>
      </c>
      <c r="J2743" s="10"/>
      <c r="K2743" s="11">
        <v>40</v>
      </c>
      <c r="L2743" s="10"/>
      <c r="M2743" s="10" t="s">
        <v>47</v>
      </c>
      <c r="N2743" s="10"/>
      <c r="O2743" s="2">
        <v>5</v>
      </c>
      <c r="P2743" s="17">
        <f>137*(1-S3/100)</f>
        <v>137</v>
      </c>
      <c r="Q2743" s="18"/>
      <c r="R2743" s="10">
        <f t="shared" si="121"/>
        <v>0</v>
      </c>
      <c r="S2743" s="19">
        <f>0.144*Q2743</f>
        <v>0</v>
      </c>
      <c r="T2743" s="20">
        <f>0.00018*Q2743</f>
        <v>0</v>
      </c>
      <c r="U2743" s="21"/>
      <c r="V2743" s="22" t="s">
        <v>12402</v>
      </c>
      <c r="W2743" s="22" t="s">
        <v>49</v>
      </c>
      <c r="X2743" s="3"/>
      <c r="Y2743" s="3" t="s">
        <v>12403</v>
      </c>
      <c r="Z2743" s="3" t="s">
        <v>52</v>
      </c>
      <c r="AA2743" s="3" t="s">
        <v>5894</v>
      </c>
      <c r="AB2743" s="3"/>
      <c r="AC2743" s="3" t="str">
        <f>HYPERLINK("https://knigipp.ru/api/getInfo/image/1e8e1e64-3279-11e8-ba06-5cf3fc4a2490")</f>
        <v>https://knigipp.ru/api/getInfo/image/1e8e1e64-3279-11e8-ba06-5cf3fc4a2490</v>
      </c>
      <c r="AD2743" s="32">
        <v>8</v>
      </c>
      <c r="AE2743" s="3"/>
      <c r="AF2743" s="3" t="s">
        <v>209</v>
      </c>
      <c r="AG2743" s="3"/>
      <c r="AH2743" s="3" t="s">
        <v>56</v>
      </c>
      <c r="AI2743" s="3"/>
      <c r="AJ2743" s="3" t="s">
        <v>12335</v>
      </c>
      <c r="AK2743" s="3" t="str">
        <f>HYPERLINK("https://knigipp.ru/api/getInfo/item/1e8e1e64-3279-11e8-ba06-5cf3fc4a2490")</f>
        <v>https://knigipp.ru/api/getInfo/item/1e8e1e64-3279-11e8-ba06-5cf3fc4a2490</v>
      </c>
      <c r="AL2743" s="3" t="s">
        <v>12404</v>
      </c>
    </row>
    <row r="2744" spans="1:38" ht="21" customHeight="1" outlineLevel="4" x14ac:dyDescent="0.2">
      <c r="A2744" s="39">
        <v>2149</v>
      </c>
      <c r="B2744" s="3" t="s">
        <v>12405</v>
      </c>
      <c r="C2744" s="49" t="s">
        <v>12406</v>
      </c>
      <c r="D2744" s="49"/>
      <c r="E2744" s="49"/>
      <c r="F2744" s="49"/>
      <c r="G2744" s="4" t="s">
        <v>12407</v>
      </c>
      <c r="H2744" s="8"/>
      <c r="I2744" s="9" t="s">
        <v>12401</v>
      </c>
      <c r="J2744" s="10"/>
      <c r="K2744" s="11">
        <v>40</v>
      </c>
      <c r="L2744" s="10"/>
      <c r="M2744" s="10" t="s">
        <v>47</v>
      </c>
      <c r="N2744" s="10"/>
      <c r="O2744" s="2">
        <v>5</v>
      </c>
      <c r="P2744" s="17">
        <f>137*(1-S3/100)</f>
        <v>137</v>
      </c>
      <c r="Q2744" s="18"/>
      <c r="R2744" s="10">
        <f t="shared" si="121"/>
        <v>0</v>
      </c>
      <c r="S2744" s="28">
        <f>0.09*Q2744</f>
        <v>0</v>
      </c>
      <c r="T2744" s="20">
        <f>0.00014*Q2744</f>
        <v>0</v>
      </c>
      <c r="U2744" s="21"/>
      <c r="V2744" s="22" t="s">
        <v>12408</v>
      </c>
      <c r="W2744" s="22" t="s">
        <v>49</v>
      </c>
      <c r="X2744" s="3"/>
      <c r="Y2744" s="3"/>
      <c r="Z2744" s="3" t="s">
        <v>52</v>
      </c>
      <c r="AA2744" s="3" t="s">
        <v>12409</v>
      </c>
      <c r="AB2744" s="3"/>
      <c r="AC2744" s="3" t="str">
        <f>HYPERLINK("https://knigipp.ru/api/getInfo/image/3ad96b81-16df-11e8-ba06-5cf3fc4a2490")</f>
        <v>https://knigipp.ru/api/getInfo/image/3ad96b81-16df-11e8-ba06-5cf3fc4a2490</v>
      </c>
      <c r="AD2744" s="32">
        <v>8</v>
      </c>
      <c r="AE2744" s="3"/>
      <c r="AF2744" s="3" t="s">
        <v>209</v>
      </c>
      <c r="AG2744" s="3"/>
      <c r="AH2744" s="3" t="s">
        <v>56</v>
      </c>
      <c r="AI2744" s="3"/>
      <c r="AJ2744" s="3" t="s">
        <v>12335</v>
      </c>
      <c r="AK2744" s="3" t="str">
        <f>HYPERLINK("https://knigipp.ru/api/getInfo/item/3ad96b81-16df-11e8-ba06-5cf3fc4a2490")</f>
        <v>https://knigipp.ru/api/getInfo/item/3ad96b81-16df-11e8-ba06-5cf3fc4a2490</v>
      </c>
      <c r="AL2744" s="3" t="s">
        <v>12404</v>
      </c>
    </row>
    <row r="2745" spans="1:38" ht="21" customHeight="1" outlineLevel="4" x14ac:dyDescent="0.2">
      <c r="A2745" s="39">
        <v>2150</v>
      </c>
      <c r="B2745" s="3" t="s">
        <v>12410</v>
      </c>
      <c r="C2745" s="49" t="s">
        <v>12411</v>
      </c>
      <c r="D2745" s="49"/>
      <c r="E2745" s="49"/>
      <c r="F2745" s="49"/>
      <c r="G2745" s="4" t="s">
        <v>12412</v>
      </c>
      <c r="H2745" s="8"/>
      <c r="I2745" s="9" t="s">
        <v>12413</v>
      </c>
      <c r="J2745" s="10"/>
      <c r="K2745" s="11">
        <v>40</v>
      </c>
      <c r="L2745" s="10"/>
      <c r="M2745" s="10" t="s">
        <v>47</v>
      </c>
      <c r="N2745" s="10"/>
      <c r="O2745" s="2">
        <v>5</v>
      </c>
      <c r="P2745" s="17">
        <f>137*(1-S3/100)</f>
        <v>137</v>
      </c>
      <c r="Q2745" s="18"/>
      <c r="R2745" s="10">
        <f t="shared" si="121"/>
        <v>0</v>
      </c>
      <c r="S2745" s="19">
        <f>0.144*Q2745</f>
        <v>0</v>
      </c>
      <c r="T2745" s="20">
        <f>0.00018*Q2745</f>
        <v>0</v>
      </c>
      <c r="U2745" s="21"/>
      <c r="V2745" s="22" t="s">
        <v>12414</v>
      </c>
      <c r="W2745" s="22" t="s">
        <v>49</v>
      </c>
      <c r="X2745" s="3"/>
      <c r="Y2745" s="3"/>
      <c r="Z2745" s="3" t="s">
        <v>52</v>
      </c>
      <c r="AA2745" s="3" t="s">
        <v>451</v>
      </c>
      <c r="AB2745" s="3"/>
      <c r="AC2745" s="3" t="str">
        <f>HYPERLINK("https://knigipp.ru/api/getInfo/image/554362cf-73b1-11e8-844d-5cf3fc4a2490")</f>
        <v>https://knigipp.ru/api/getInfo/image/554362cf-73b1-11e8-844d-5cf3fc4a2490</v>
      </c>
      <c r="AD2745" s="32">
        <v>8</v>
      </c>
      <c r="AE2745" s="3"/>
      <c r="AF2745" s="3" t="s">
        <v>209</v>
      </c>
      <c r="AG2745" s="3"/>
      <c r="AH2745" s="3" t="s">
        <v>56</v>
      </c>
      <c r="AI2745" s="3"/>
      <c r="AJ2745" s="3"/>
      <c r="AK2745" s="3" t="str">
        <f>HYPERLINK("https://knigipp.ru/api/getInfo/item/554362cf-73b1-11e8-844d-5cf3fc4a2490")</f>
        <v>https://knigipp.ru/api/getInfo/item/554362cf-73b1-11e8-844d-5cf3fc4a2490</v>
      </c>
      <c r="AL2745" s="3" t="s">
        <v>12404</v>
      </c>
    </row>
    <row r="2746" spans="1:38" ht="21" customHeight="1" outlineLevel="4" x14ac:dyDescent="0.2">
      <c r="A2746" s="39">
        <v>2151</v>
      </c>
      <c r="B2746" s="3" t="s">
        <v>12415</v>
      </c>
      <c r="C2746" s="49" t="s">
        <v>12416</v>
      </c>
      <c r="D2746" s="49"/>
      <c r="E2746" s="49"/>
      <c r="F2746" s="49"/>
      <c r="G2746" s="4" t="s">
        <v>12417</v>
      </c>
      <c r="H2746" s="8"/>
      <c r="I2746" s="9" t="s">
        <v>12401</v>
      </c>
      <c r="J2746" s="10"/>
      <c r="K2746" s="11">
        <v>40</v>
      </c>
      <c r="L2746" s="10"/>
      <c r="M2746" s="10" t="s">
        <v>47</v>
      </c>
      <c r="N2746" s="10"/>
      <c r="O2746" s="2">
        <v>5</v>
      </c>
      <c r="P2746" s="17">
        <f>137*(1-S3/100)</f>
        <v>137</v>
      </c>
      <c r="Q2746" s="18"/>
      <c r="R2746" s="10">
        <f t="shared" si="121"/>
        <v>0</v>
      </c>
      <c r="S2746" s="19">
        <f>0.144*Q2746</f>
        <v>0</v>
      </c>
      <c r="T2746" s="20">
        <f>0.00018*Q2746</f>
        <v>0</v>
      </c>
      <c r="U2746" s="21"/>
      <c r="V2746" s="22" t="s">
        <v>12418</v>
      </c>
      <c r="W2746" s="22" t="s">
        <v>49</v>
      </c>
      <c r="X2746" s="3"/>
      <c r="Y2746" s="3" t="s">
        <v>12419</v>
      </c>
      <c r="Z2746" s="3" t="s">
        <v>52</v>
      </c>
      <c r="AA2746" s="3" t="s">
        <v>5894</v>
      </c>
      <c r="AB2746" s="3"/>
      <c r="AC2746" s="3" t="str">
        <f>HYPERLINK("https://knigipp.ru/api/getInfo/image/3660ab26-3279-11e8-ba06-5cf3fc4a2490")</f>
        <v>https://knigipp.ru/api/getInfo/image/3660ab26-3279-11e8-ba06-5cf3fc4a2490</v>
      </c>
      <c r="AD2746" s="32">
        <v>8</v>
      </c>
      <c r="AE2746" s="3"/>
      <c r="AF2746" s="3" t="s">
        <v>209</v>
      </c>
      <c r="AG2746" s="3"/>
      <c r="AH2746" s="3" t="s">
        <v>56</v>
      </c>
      <c r="AI2746" s="3"/>
      <c r="AJ2746" s="3" t="s">
        <v>12335</v>
      </c>
      <c r="AK2746" s="3" t="str">
        <f>HYPERLINK("https://knigipp.ru/api/getInfo/item/3660ab26-3279-11e8-ba06-5cf3fc4a2490")</f>
        <v>https://knigipp.ru/api/getInfo/item/3660ab26-3279-11e8-ba06-5cf3fc4a2490</v>
      </c>
      <c r="AL2746" s="3" t="s">
        <v>12404</v>
      </c>
    </row>
    <row r="2747" spans="1:38" ht="21" customHeight="1" outlineLevel="4" x14ac:dyDescent="0.2">
      <c r="A2747" s="39">
        <v>2152</v>
      </c>
      <c r="B2747" s="3" t="s">
        <v>12420</v>
      </c>
      <c r="C2747" s="49" t="s">
        <v>12421</v>
      </c>
      <c r="D2747" s="49"/>
      <c r="E2747" s="49"/>
      <c r="F2747" s="49"/>
      <c r="G2747" s="4" t="s">
        <v>12422</v>
      </c>
      <c r="H2747" s="8"/>
      <c r="I2747" s="9" t="s">
        <v>12423</v>
      </c>
      <c r="J2747" s="10"/>
      <c r="K2747" s="11">
        <v>40</v>
      </c>
      <c r="L2747" s="10"/>
      <c r="M2747" s="10" t="s">
        <v>47</v>
      </c>
      <c r="N2747" s="10"/>
      <c r="O2747" s="2">
        <v>5</v>
      </c>
      <c r="P2747" s="17">
        <f>137*(1-S3/100)</f>
        <v>137</v>
      </c>
      <c r="Q2747" s="18"/>
      <c r="R2747" s="10">
        <f t="shared" si="121"/>
        <v>0</v>
      </c>
      <c r="S2747" s="19">
        <f>0.094*Q2747</f>
        <v>0</v>
      </c>
      <c r="T2747" s="20">
        <f>0.00014*Q2747</f>
        <v>0</v>
      </c>
      <c r="U2747" s="21"/>
      <c r="V2747" s="22" t="s">
        <v>12424</v>
      </c>
      <c r="W2747" s="22" t="s">
        <v>49</v>
      </c>
      <c r="X2747" s="3"/>
      <c r="Y2747" s="3" t="s">
        <v>12425</v>
      </c>
      <c r="Z2747" s="3" t="s">
        <v>52</v>
      </c>
      <c r="AA2747" s="3" t="s">
        <v>5894</v>
      </c>
      <c r="AB2747" s="3"/>
      <c r="AC2747" s="3" t="str">
        <f>HYPERLINK("https://knigipp.ru/api/getInfo/image/4141b878-3279-11e8-ba06-5cf3fc4a2490")</f>
        <v>https://knigipp.ru/api/getInfo/image/4141b878-3279-11e8-ba06-5cf3fc4a2490</v>
      </c>
      <c r="AD2747" s="32">
        <v>8</v>
      </c>
      <c r="AE2747" s="3"/>
      <c r="AF2747" s="3" t="s">
        <v>209</v>
      </c>
      <c r="AG2747" s="3"/>
      <c r="AH2747" s="3" t="s">
        <v>56</v>
      </c>
      <c r="AI2747" s="3"/>
      <c r="AJ2747" s="3" t="s">
        <v>12335</v>
      </c>
      <c r="AK2747" s="3" t="str">
        <f>HYPERLINK("https://knigipp.ru/api/getInfo/item/4141b878-3279-11e8-ba06-5cf3fc4a2490")</f>
        <v>https://knigipp.ru/api/getInfo/item/4141b878-3279-11e8-ba06-5cf3fc4a2490</v>
      </c>
      <c r="AL2747" s="3" t="s">
        <v>12404</v>
      </c>
    </row>
    <row r="2748" spans="1:38" ht="21" customHeight="1" outlineLevel="4" x14ac:dyDescent="0.2">
      <c r="A2748" s="39">
        <v>2153</v>
      </c>
      <c r="B2748" s="3" t="s">
        <v>12426</v>
      </c>
      <c r="C2748" s="49" t="s">
        <v>12427</v>
      </c>
      <c r="D2748" s="49"/>
      <c r="E2748" s="49"/>
      <c r="F2748" s="49"/>
      <c r="G2748" s="4" t="s">
        <v>12428</v>
      </c>
      <c r="H2748" s="8"/>
      <c r="I2748" s="9" t="s">
        <v>12401</v>
      </c>
      <c r="J2748" s="10"/>
      <c r="K2748" s="11">
        <v>40</v>
      </c>
      <c r="L2748" s="10"/>
      <c r="M2748" s="10" t="s">
        <v>47</v>
      </c>
      <c r="N2748" s="10"/>
      <c r="O2748" s="2">
        <v>5</v>
      </c>
      <c r="P2748" s="17">
        <f>137*(1-S3/100)</f>
        <v>137</v>
      </c>
      <c r="Q2748" s="18"/>
      <c r="R2748" s="10">
        <f t="shared" si="121"/>
        <v>0</v>
      </c>
      <c r="S2748" s="19">
        <f>0.144*Q2748</f>
        <v>0</v>
      </c>
      <c r="T2748" s="20">
        <f>0.00018*Q2748</f>
        <v>0</v>
      </c>
      <c r="U2748" s="21"/>
      <c r="V2748" s="22" t="s">
        <v>12429</v>
      </c>
      <c r="W2748" s="22" t="s">
        <v>49</v>
      </c>
      <c r="X2748" s="3"/>
      <c r="Y2748" s="3"/>
      <c r="Z2748" s="3" t="s">
        <v>52</v>
      </c>
      <c r="AA2748" s="3" t="s">
        <v>12002</v>
      </c>
      <c r="AB2748" s="3"/>
      <c r="AC2748" s="3" t="str">
        <f>HYPERLINK("https://knigipp.ru/api/getInfo/image/9e389be0-16df-11e8-ba06-5cf3fc4a2490")</f>
        <v>https://knigipp.ru/api/getInfo/image/9e389be0-16df-11e8-ba06-5cf3fc4a2490</v>
      </c>
      <c r="AD2748" s="32">
        <v>8</v>
      </c>
      <c r="AE2748" s="3"/>
      <c r="AF2748" s="3" t="s">
        <v>209</v>
      </c>
      <c r="AG2748" s="3"/>
      <c r="AH2748" s="3" t="s">
        <v>56</v>
      </c>
      <c r="AI2748" s="3"/>
      <c r="AJ2748" s="3" t="s">
        <v>12335</v>
      </c>
      <c r="AK2748" s="3" t="str">
        <f>HYPERLINK("https://knigipp.ru/api/getInfo/item/9e389be0-16df-11e8-ba06-5cf3fc4a2490")</f>
        <v>https://knigipp.ru/api/getInfo/item/9e389be0-16df-11e8-ba06-5cf3fc4a2490</v>
      </c>
      <c r="AL2748" s="3" t="s">
        <v>12404</v>
      </c>
    </row>
    <row r="2749" spans="1:38" ht="21" customHeight="1" outlineLevel="4" x14ac:dyDescent="0.2">
      <c r="A2749" s="39">
        <v>2154</v>
      </c>
      <c r="B2749" s="3" t="s">
        <v>12430</v>
      </c>
      <c r="C2749" s="49" t="s">
        <v>12431</v>
      </c>
      <c r="D2749" s="49"/>
      <c r="E2749" s="49"/>
      <c r="F2749" s="49"/>
      <c r="G2749" s="4" t="s">
        <v>12432</v>
      </c>
      <c r="H2749" s="8"/>
      <c r="I2749" s="9" t="s">
        <v>12433</v>
      </c>
      <c r="J2749" s="10"/>
      <c r="K2749" s="11">
        <v>40</v>
      </c>
      <c r="L2749" s="10"/>
      <c r="M2749" s="10" t="s">
        <v>47</v>
      </c>
      <c r="N2749" s="10"/>
      <c r="O2749" s="2">
        <v>5</v>
      </c>
      <c r="P2749" s="17">
        <f>137*(1-S3/100)</f>
        <v>137</v>
      </c>
      <c r="Q2749" s="18"/>
      <c r="R2749" s="10">
        <f t="shared" si="121"/>
        <v>0</v>
      </c>
      <c r="S2749" s="19">
        <f>0.144*Q2749</f>
        <v>0</v>
      </c>
      <c r="T2749" s="20">
        <f>0.00018*Q2749</f>
        <v>0</v>
      </c>
      <c r="U2749" s="21"/>
      <c r="V2749" s="22" t="s">
        <v>12434</v>
      </c>
      <c r="W2749" s="22" t="s">
        <v>49</v>
      </c>
      <c r="X2749" s="3"/>
      <c r="Y2749" s="3" t="s">
        <v>12435</v>
      </c>
      <c r="Z2749" s="3"/>
      <c r="AA2749" s="3" t="s">
        <v>451</v>
      </c>
      <c r="AB2749" s="3"/>
      <c r="AC2749" s="3" t="str">
        <f>HYPERLINK("https://knigipp.ru/api/getInfo/image/35da70dd-73b1-11e8-844d-5cf3fc4a2490")</f>
        <v>https://knigipp.ru/api/getInfo/image/35da70dd-73b1-11e8-844d-5cf3fc4a2490</v>
      </c>
      <c r="AD2749" s="32">
        <v>8</v>
      </c>
      <c r="AE2749" s="3"/>
      <c r="AF2749" s="3" t="s">
        <v>209</v>
      </c>
      <c r="AG2749" s="3"/>
      <c r="AH2749" s="3" t="s">
        <v>56</v>
      </c>
      <c r="AI2749" s="3"/>
      <c r="AJ2749" s="3"/>
      <c r="AK2749" s="3" t="str">
        <f>HYPERLINK("https://knigipp.ru/api/getInfo/item/35da70dd-73b1-11e8-844d-5cf3fc4a2490")</f>
        <v>https://knigipp.ru/api/getInfo/item/35da70dd-73b1-11e8-844d-5cf3fc4a2490</v>
      </c>
      <c r="AL2749" s="3" t="s">
        <v>12404</v>
      </c>
    </row>
    <row r="2750" spans="1:38" ht="21" customHeight="1" outlineLevel="4" x14ac:dyDescent="0.2">
      <c r="A2750" s="39">
        <v>2155</v>
      </c>
      <c r="B2750" s="3" t="s">
        <v>12436</v>
      </c>
      <c r="C2750" s="49" t="s">
        <v>12437</v>
      </c>
      <c r="D2750" s="49"/>
      <c r="E2750" s="49"/>
      <c r="F2750" s="49"/>
      <c r="G2750" s="4" t="s">
        <v>12438</v>
      </c>
      <c r="H2750" s="8"/>
      <c r="I2750" s="9" t="s">
        <v>12401</v>
      </c>
      <c r="J2750" s="10"/>
      <c r="K2750" s="11">
        <v>40</v>
      </c>
      <c r="L2750" s="10"/>
      <c r="M2750" s="10" t="s">
        <v>47</v>
      </c>
      <c r="N2750" s="10"/>
      <c r="O2750" s="2">
        <v>5</v>
      </c>
      <c r="P2750" s="17">
        <f>137*(1-S3/100)</f>
        <v>137</v>
      </c>
      <c r="Q2750" s="18"/>
      <c r="R2750" s="10">
        <f t="shared" si="121"/>
        <v>0</v>
      </c>
      <c r="S2750" s="19">
        <f>0.144*Q2750</f>
        <v>0</v>
      </c>
      <c r="T2750" s="20">
        <f>0.00018*Q2750</f>
        <v>0</v>
      </c>
      <c r="U2750" s="21"/>
      <c r="V2750" s="22" t="s">
        <v>12439</v>
      </c>
      <c r="W2750" s="22" t="s">
        <v>49</v>
      </c>
      <c r="X2750" s="3"/>
      <c r="Y2750" s="3"/>
      <c r="Z2750" s="3" t="s">
        <v>52</v>
      </c>
      <c r="AA2750" s="3" t="s">
        <v>5894</v>
      </c>
      <c r="AB2750" s="3"/>
      <c r="AC2750" s="3" t="str">
        <f>HYPERLINK("https://knigipp.ru/api/getInfo/image/49d93294-3279-11e8-ba06-5cf3fc4a2490")</f>
        <v>https://knigipp.ru/api/getInfo/image/49d93294-3279-11e8-ba06-5cf3fc4a2490</v>
      </c>
      <c r="AD2750" s="32">
        <v>8</v>
      </c>
      <c r="AE2750" s="3"/>
      <c r="AF2750" s="3" t="s">
        <v>209</v>
      </c>
      <c r="AG2750" s="3"/>
      <c r="AH2750" s="3" t="s">
        <v>56</v>
      </c>
      <c r="AI2750" s="3"/>
      <c r="AJ2750" s="3" t="s">
        <v>12335</v>
      </c>
      <c r="AK2750" s="3" t="str">
        <f>HYPERLINK("https://knigipp.ru/api/getInfo/item/49d93294-3279-11e8-ba06-5cf3fc4a2490")</f>
        <v>https://knigipp.ru/api/getInfo/item/49d93294-3279-11e8-ba06-5cf3fc4a2490</v>
      </c>
      <c r="AL2750" s="3" t="s">
        <v>12404</v>
      </c>
    </row>
    <row r="2751" spans="1:38" ht="21" customHeight="1" outlineLevel="4" x14ac:dyDescent="0.2">
      <c r="A2751" s="39">
        <v>2156</v>
      </c>
      <c r="B2751" s="3" t="s">
        <v>12440</v>
      </c>
      <c r="C2751" s="49" t="s">
        <v>12441</v>
      </c>
      <c r="D2751" s="49"/>
      <c r="E2751" s="49"/>
      <c r="F2751" s="49"/>
      <c r="G2751" s="4" t="s">
        <v>12442</v>
      </c>
      <c r="H2751" s="8"/>
      <c r="I2751" s="9" t="s">
        <v>12401</v>
      </c>
      <c r="J2751" s="10"/>
      <c r="K2751" s="11">
        <v>40</v>
      </c>
      <c r="L2751" s="10"/>
      <c r="M2751" s="10" t="s">
        <v>47</v>
      </c>
      <c r="N2751" s="10"/>
      <c r="O2751" s="2">
        <v>5</v>
      </c>
      <c r="P2751" s="17">
        <f>137*(1-S3/100)</f>
        <v>137</v>
      </c>
      <c r="Q2751" s="18"/>
      <c r="R2751" s="10">
        <f t="shared" si="121"/>
        <v>0</v>
      </c>
      <c r="S2751" s="19">
        <f>0.144*Q2751</f>
        <v>0</v>
      </c>
      <c r="T2751" s="20">
        <f>0.00018*Q2751</f>
        <v>0</v>
      </c>
      <c r="U2751" s="21"/>
      <c r="V2751" s="22" t="s">
        <v>12443</v>
      </c>
      <c r="W2751" s="22" t="s">
        <v>49</v>
      </c>
      <c r="X2751" s="3"/>
      <c r="Y2751" s="3" t="s">
        <v>12444</v>
      </c>
      <c r="Z2751" s="3" t="s">
        <v>52</v>
      </c>
      <c r="AA2751" s="3" t="s">
        <v>5894</v>
      </c>
      <c r="AB2751" s="3"/>
      <c r="AC2751" s="3" t="str">
        <f>HYPERLINK("https://knigipp.ru/api/getInfo/image/542dce8b-3279-11e8-ba06-5cf3fc4a2490")</f>
        <v>https://knigipp.ru/api/getInfo/image/542dce8b-3279-11e8-ba06-5cf3fc4a2490</v>
      </c>
      <c r="AD2751" s="32">
        <v>8</v>
      </c>
      <c r="AE2751" s="3"/>
      <c r="AF2751" s="3" t="s">
        <v>209</v>
      </c>
      <c r="AG2751" s="3"/>
      <c r="AH2751" s="3" t="s">
        <v>56</v>
      </c>
      <c r="AI2751" s="3"/>
      <c r="AJ2751" s="3" t="s">
        <v>12335</v>
      </c>
      <c r="AK2751" s="3" t="str">
        <f>HYPERLINK("https://knigipp.ru/api/getInfo/item/542dce8b-3279-11e8-ba06-5cf3fc4a2490")</f>
        <v>https://knigipp.ru/api/getInfo/item/542dce8b-3279-11e8-ba06-5cf3fc4a2490</v>
      </c>
      <c r="AL2751" s="3" t="s">
        <v>12404</v>
      </c>
    </row>
    <row r="2752" spans="1:38" ht="21" customHeight="1" outlineLevel="4" x14ac:dyDescent="0.2">
      <c r="A2752" s="39">
        <v>2157</v>
      </c>
      <c r="B2752" s="3" t="s">
        <v>12445</v>
      </c>
      <c r="C2752" s="49" t="s">
        <v>12446</v>
      </c>
      <c r="D2752" s="49"/>
      <c r="E2752" s="49"/>
      <c r="F2752" s="49"/>
      <c r="G2752" s="4" t="s">
        <v>12447</v>
      </c>
      <c r="H2752" s="8"/>
      <c r="I2752" s="9" t="s">
        <v>12401</v>
      </c>
      <c r="J2752" s="10"/>
      <c r="K2752" s="11">
        <v>40</v>
      </c>
      <c r="L2752" s="10"/>
      <c r="M2752" s="10" t="s">
        <v>47</v>
      </c>
      <c r="N2752" s="10"/>
      <c r="O2752" s="2">
        <v>5</v>
      </c>
      <c r="P2752" s="17">
        <f>137*(1-S3/100)</f>
        <v>137</v>
      </c>
      <c r="Q2752" s="18"/>
      <c r="R2752" s="10">
        <f t="shared" si="121"/>
        <v>0</v>
      </c>
      <c r="S2752" s="19">
        <f>0.091*Q2752</f>
        <v>0</v>
      </c>
      <c r="T2752" s="20">
        <f>0.00014*Q2752</f>
        <v>0</v>
      </c>
      <c r="U2752" s="21"/>
      <c r="V2752" s="22" t="s">
        <v>12448</v>
      </c>
      <c r="W2752" s="22" t="s">
        <v>49</v>
      </c>
      <c r="X2752" s="3"/>
      <c r="Y2752" s="3"/>
      <c r="Z2752" s="3" t="s">
        <v>52</v>
      </c>
      <c r="AA2752" s="3" t="s">
        <v>12002</v>
      </c>
      <c r="AB2752" s="3"/>
      <c r="AC2752" s="3" t="str">
        <f>HYPERLINK("https://knigipp.ru/api/getInfo/image/5440a2ad-16df-11e8-ba06-5cf3fc4a2490")</f>
        <v>https://knigipp.ru/api/getInfo/image/5440a2ad-16df-11e8-ba06-5cf3fc4a2490</v>
      </c>
      <c r="AD2752" s="32">
        <v>8</v>
      </c>
      <c r="AE2752" s="3"/>
      <c r="AF2752" s="3" t="s">
        <v>209</v>
      </c>
      <c r="AG2752" s="3"/>
      <c r="AH2752" s="3" t="s">
        <v>56</v>
      </c>
      <c r="AI2752" s="3"/>
      <c r="AJ2752" s="3" t="s">
        <v>12335</v>
      </c>
      <c r="AK2752" s="3" t="str">
        <f>HYPERLINK("https://knigipp.ru/api/getInfo/item/5440a2ad-16df-11e8-ba06-5cf3fc4a2490")</f>
        <v>https://knigipp.ru/api/getInfo/item/5440a2ad-16df-11e8-ba06-5cf3fc4a2490</v>
      </c>
      <c r="AL2752" s="3" t="s">
        <v>12404</v>
      </c>
    </row>
    <row r="2753" spans="1:38" ht="21" customHeight="1" outlineLevel="4" x14ac:dyDescent="0.2">
      <c r="A2753" s="39">
        <v>2158</v>
      </c>
      <c r="B2753" s="3" t="s">
        <v>12449</v>
      </c>
      <c r="C2753" s="49" t="s">
        <v>12450</v>
      </c>
      <c r="D2753" s="49"/>
      <c r="E2753" s="49"/>
      <c r="F2753" s="49"/>
      <c r="G2753" s="4" t="s">
        <v>12451</v>
      </c>
      <c r="H2753" s="8"/>
      <c r="I2753" s="9" t="s">
        <v>12401</v>
      </c>
      <c r="J2753" s="10"/>
      <c r="K2753" s="11">
        <v>40</v>
      </c>
      <c r="L2753" s="10"/>
      <c r="M2753" s="10" t="s">
        <v>78</v>
      </c>
      <c r="N2753" s="10"/>
      <c r="O2753" s="2">
        <v>5</v>
      </c>
      <c r="P2753" s="17">
        <f>137*(1-S3/100)</f>
        <v>137</v>
      </c>
      <c r="Q2753" s="18"/>
      <c r="R2753" s="10">
        <f t="shared" si="121"/>
        <v>0</v>
      </c>
      <c r="S2753" s="19">
        <f>0.144*Q2753</f>
        <v>0</v>
      </c>
      <c r="T2753" s="20">
        <f>0.00018*Q2753</f>
        <v>0</v>
      </c>
      <c r="U2753" s="21"/>
      <c r="V2753" s="22" t="s">
        <v>12452</v>
      </c>
      <c r="W2753" s="22" t="s">
        <v>49</v>
      </c>
      <c r="X2753" s="3"/>
      <c r="Y2753" s="3" t="s">
        <v>12453</v>
      </c>
      <c r="Z2753" s="3" t="s">
        <v>52</v>
      </c>
      <c r="AA2753" s="3" t="s">
        <v>12002</v>
      </c>
      <c r="AB2753" s="3"/>
      <c r="AC2753" s="3" t="str">
        <f>HYPERLINK("https://knigipp.ru/api/getInfo/image/b4bb8635-16df-11e8-ba06-5cf3fc4a2490")</f>
        <v>https://knigipp.ru/api/getInfo/image/b4bb8635-16df-11e8-ba06-5cf3fc4a2490</v>
      </c>
      <c r="AD2753" s="32">
        <v>8</v>
      </c>
      <c r="AE2753" s="3"/>
      <c r="AF2753" s="3" t="s">
        <v>209</v>
      </c>
      <c r="AG2753" s="3"/>
      <c r="AH2753" s="3" t="s">
        <v>56</v>
      </c>
      <c r="AI2753" s="3"/>
      <c r="AJ2753" s="3" t="s">
        <v>12335</v>
      </c>
      <c r="AK2753" s="3" t="str">
        <f>HYPERLINK("https://knigipp.ru/api/getInfo/item/b4bb8635-16df-11e8-ba06-5cf3fc4a2490")</f>
        <v>https://knigipp.ru/api/getInfo/item/b4bb8635-16df-11e8-ba06-5cf3fc4a2490</v>
      </c>
      <c r="AL2753" s="3" t="s">
        <v>12404</v>
      </c>
    </row>
    <row r="2754" spans="1:38" ht="21" customHeight="1" outlineLevel="4" x14ac:dyDescent="0.2">
      <c r="A2754" s="39">
        <v>2159</v>
      </c>
      <c r="B2754" s="3" t="s">
        <v>12454</v>
      </c>
      <c r="C2754" s="49" t="s">
        <v>12455</v>
      </c>
      <c r="D2754" s="49"/>
      <c r="E2754" s="49"/>
      <c r="F2754" s="49"/>
      <c r="G2754" s="4" t="s">
        <v>12456</v>
      </c>
      <c r="H2754" s="8"/>
      <c r="I2754" s="9" t="s">
        <v>12401</v>
      </c>
      <c r="J2754" s="10"/>
      <c r="K2754" s="11">
        <v>40</v>
      </c>
      <c r="L2754" s="10"/>
      <c r="M2754" s="10" t="s">
        <v>47</v>
      </c>
      <c r="N2754" s="10"/>
      <c r="O2754" s="2">
        <v>5</v>
      </c>
      <c r="P2754" s="17">
        <f>137*(1-S3/100)</f>
        <v>137</v>
      </c>
      <c r="Q2754" s="18"/>
      <c r="R2754" s="10">
        <f t="shared" si="121"/>
        <v>0</v>
      </c>
      <c r="S2754" s="19">
        <f>0.114*Q2754</f>
        <v>0</v>
      </c>
      <c r="T2754" s="20">
        <f>0.00022*Q2754</f>
        <v>0</v>
      </c>
      <c r="U2754" s="21"/>
      <c r="V2754" s="22" t="s">
        <v>12457</v>
      </c>
      <c r="W2754" s="22" t="s">
        <v>49</v>
      </c>
      <c r="X2754" s="3"/>
      <c r="Y2754" s="3"/>
      <c r="Z2754" s="3" t="s">
        <v>52</v>
      </c>
      <c r="AA2754" s="3" t="s">
        <v>5894</v>
      </c>
      <c r="AB2754" s="3"/>
      <c r="AC2754" s="3" t="str">
        <f>HYPERLINK("https://knigipp.ru/api/getInfo/image/6afce500-3279-11e8-ba06-5cf3fc4a2490")</f>
        <v>https://knigipp.ru/api/getInfo/image/6afce500-3279-11e8-ba06-5cf3fc4a2490</v>
      </c>
      <c r="AD2754" s="32">
        <v>8</v>
      </c>
      <c r="AE2754" s="3"/>
      <c r="AF2754" s="3" t="s">
        <v>209</v>
      </c>
      <c r="AG2754" s="3"/>
      <c r="AH2754" s="3" t="s">
        <v>56</v>
      </c>
      <c r="AI2754" s="3"/>
      <c r="AJ2754" s="3" t="s">
        <v>12335</v>
      </c>
      <c r="AK2754" s="3" t="str">
        <f>HYPERLINK("https://knigipp.ru/api/getInfo/item/6afce500-3279-11e8-ba06-5cf3fc4a2490")</f>
        <v>https://knigipp.ru/api/getInfo/item/6afce500-3279-11e8-ba06-5cf3fc4a2490</v>
      </c>
      <c r="AL2754" s="3" t="s">
        <v>12404</v>
      </c>
    </row>
    <row r="2755" spans="1:38" ht="21" customHeight="1" outlineLevel="4" x14ac:dyDescent="0.2">
      <c r="A2755" s="39">
        <v>2160</v>
      </c>
      <c r="B2755" s="3" t="s">
        <v>12458</v>
      </c>
      <c r="C2755" s="49" t="s">
        <v>12459</v>
      </c>
      <c r="D2755" s="49"/>
      <c r="E2755" s="49"/>
      <c r="F2755" s="49"/>
      <c r="G2755" s="4" t="s">
        <v>12460</v>
      </c>
      <c r="H2755" s="8"/>
      <c r="I2755" s="9" t="s">
        <v>12423</v>
      </c>
      <c r="J2755" s="10"/>
      <c r="K2755" s="11">
        <v>40</v>
      </c>
      <c r="L2755" s="10"/>
      <c r="M2755" s="10" t="s">
        <v>47</v>
      </c>
      <c r="N2755" s="10"/>
      <c r="O2755" s="2">
        <v>5</v>
      </c>
      <c r="P2755" s="17">
        <f>137*(1-S3/100)</f>
        <v>137</v>
      </c>
      <c r="Q2755" s="18"/>
      <c r="R2755" s="10">
        <f t="shared" si="121"/>
        <v>0</v>
      </c>
      <c r="S2755" s="19">
        <f>0.144*Q2755</f>
        <v>0</v>
      </c>
      <c r="T2755" s="20">
        <f>0.00018*Q2755</f>
        <v>0</v>
      </c>
      <c r="U2755" s="21"/>
      <c r="V2755" s="22" t="s">
        <v>12461</v>
      </c>
      <c r="W2755" s="22" t="s">
        <v>49</v>
      </c>
      <c r="X2755" s="3"/>
      <c r="Y2755" s="3"/>
      <c r="Z2755" s="3" t="s">
        <v>52</v>
      </c>
      <c r="AA2755" s="3" t="s">
        <v>12002</v>
      </c>
      <c r="AB2755" s="3"/>
      <c r="AC2755" s="3" t="str">
        <f>HYPERLINK("https://knigipp.ru/api/getInfo/image/4b2fc23e-16df-11e8-ba06-5cf3fc4a2490")</f>
        <v>https://knigipp.ru/api/getInfo/image/4b2fc23e-16df-11e8-ba06-5cf3fc4a2490</v>
      </c>
      <c r="AD2755" s="32">
        <v>8</v>
      </c>
      <c r="AE2755" s="3"/>
      <c r="AF2755" s="3" t="s">
        <v>209</v>
      </c>
      <c r="AG2755" s="3"/>
      <c r="AH2755" s="3" t="s">
        <v>56</v>
      </c>
      <c r="AI2755" s="3"/>
      <c r="AJ2755" s="3" t="s">
        <v>12335</v>
      </c>
      <c r="AK2755" s="3" t="str">
        <f>HYPERLINK("https://knigipp.ru/api/getInfo/item/4b2fc23e-16df-11e8-ba06-5cf3fc4a2490")</f>
        <v>https://knigipp.ru/api/getInfo/item/4b2fc23e-16df-11e8-ba06-5cf3fc4a2490</v>
      </c>
      <c r="AL2755" s="3" t="s">
        <v>12404</v>
      </c>
    </row>
    <row r="2756" spans="1:38" ht="21" customHeight="1" outlineLevel="4" x14ac:dyDescent="0.2">
      <c r="A2756" s="39">
        <v>2161</v>
      </c>
      <c r="B2756" s="3" t="s">
        <v>12462</v>
      </c>
      <c r="C2756" s="49" t="s">
        <v>12463</v>
      </c>
      <c r="D2756" s="49"/>
      <c r="E2756" s="49"/>
      <c r="F2756" s="49"/>
      <c r="G2756" s="4" t="s">
        <v>12464</v>
      </c>
      <c r="H2756" s="8"/>
      <c r="I2756" s="9" t="s">
        <v>12423</v>
      </c>
      <c r="J2756" s="10"/>
      <c r="K2756" s="11">
        <v>40</v>
      </c>
      <c r="L2756" s="10"/>
      <c r="M2756" s="10" t="s">
        <v>47</v>
      </c>
      <c r="N2756" s="10"/>
      <c r="O2756" s="2">
        <v>5</v>
      </c>
      <c r="P2756" s="17">
        <f>137*(1-S3/100)</f>
        <v>137</v>
      </c>
      <c r="Q2756" s="18"/>
      <c r="R2756" s="10">
        <f t="shared" si="121"/>
        <v>0</v>
      </c>
      <c r="S2756" s="19">
        <f>0.092*Q2756</f>
        <v>0</v>
      </c>
      <c r="T2756" s="20">
        <f>0.00007*Q2756</f>
        <v>0</v>
      </c>
      <c r="U2756" s="21"/>
      <c r="V2756" s="22" t="s">
        <v>12465</v>
      </c>
      <c r="W2756" s="22" t="s">
        <v>49</v>
      </c>
      <c r="X2756" s="3"/>
      <c r="Y2756" s="3"/>
      <c r="Z2756" s="3" t="s">
        <v>52</v>
      </c>
      <c r="AA2756" s="3" t="s">
        <v>5894</v>
      </c>
      <c r="AB2756" s="3"/>
      <c r="AC2756" s="3" t="str">
        <f>HYPERLINK("https://knigipp.ru/api/getInfo/image/75a7329b-3279-11e8-ba06-5cf3fc4a2490")</f>
        <v>https://knigipp.ru/api/getInfo/image/75a7329b-3279-11e8-ba06-5cf3fc4a2490</v>
      </c>
      <c r="AD2756" s="32">
        <v>8</v>
      </c>
      <c r="AE2756" s="3"/>
      <c r="AF2756" s="3" t="s">
        <v>209</v>
      </c>
      <c r="AG2756" s="3"/>
      <c r="AH2756" s="3" t="s">
        <v>56</v>
      </c>
      <c r="AI2756" s="3"/>
      <c r="AJ2756" s="3" t="s">
        <v>12335</v>
      </c>
      <c r="AK2756" s="3" t="str">
        <f>HYPERLINK("https://knigipp.ru/api/getInfo/item/75a7329b-3279-11e8-ba06-5cf3fc4a2490")</f>
        <v>https://knigipp.ru/api/getInfo/item/75a7329b-3279-11e8-ba06-5cf3fc4a2490</v>
      </c>
      <c r="AL2756" s="3" t="s">
        <v>12404</v>
      </c>
    </row>
    <row r="2757" spans="1:38" ht="21" customHeight="1" outlineLevel="4" x14ac:dyDescent="0.2">
      <c r="A2757" s="39">
        <v>2162</v>
      </c>
      <c r="B2757" s="3" t="s">
        <v>12466</v>
      </c>
      <c r="C2757" s="49" t="s">
        <v>12467</v>
      </c>
      <c r="D2757" s="49"/>
      <c r="E2757" s="49"/>
      <c r="F2757" s="49"/>
      <c r="G2757" s="4" t="s">
        <v>12468</v>
      </c>
      <c r="H2757" s="8"/>
      <c r="I2757" s="9" t="s">
        <v>12423</v>
      </c>
      <c r="J2757" s="10"/>
      <c r="K2757" s="11">
        <v>40</v>
      </c>
      <c r="L2757" s="10"/>
      <c r="M2757" s="10" t="s">
        <v>47</v>
      </c>
      <c r="N2757" s="10"/>
      <c r="O2757" s="2">
        <v>5</v>
      </c>
      <c r="P2757" s="17">
        <f>137*(1-S3/100)</f>
        <v>137</v>
      </c>
      <c r="Q2757" s="18"/>
      <c r="R2757" s="10">
        <f t="shared" si="121"/>
        <v>0</v>
      </c>
      <c r="S2757" s="19">
        <f>0.144*Q2757</f>
        <v>0</v>
      </c>
      <c r="T2757" s="20">
        <f>0.00018*Q2757</f>
        <v>0</v>
      </c>
      <c r="U2757" s="21"/>
      <c r="V2757" s="22" t="s">
        <v>12469</v>
      </c>
      <c r="W2757" s="22" t="s">
        <v>49</v>
      </c>
      <c r="X2757" s="3"/>
      <c r="Y2757" s="3"/>
      <c r="Z2757" s="3" t="s">
        <v>52</v>
      </c>
      <c r="AA2757" s="3" t="s">
        <v>12409</v>
      </c>
      <c r="AB2757" s="3"/>
      <c r="AC2757" s="3" t="str">
        <f>HYPERLINK("https://knigipp.ru/api/getInfo/image/a6082228-16df-11e8-ba06-5cf3fc4a2490")</f>
        <v>https://knigipp.ru/api/getInfo/image/a6082228-16df-11e8-ba06-5cf3fc4a2490</v>
      </c>
      <c r="AD2757" s="32">
        <v>8</v>
      </c>
      <c r="AE2757" s="3"/>
      <c r="AF2757" s="3" t="s">
        <v>209</v>
      </c>
      <c r="AG2757" s="3"/>
      <c r="AH2757" s="3" t="s">
        <v>56</v>
      </c>
      <c r="AI2757" s="3"/>
      <c r="AJ2757" s="3" t="s">
        <v>12335</v>
      </c>
      <c r="AK2757" s="3" t="str">
        <f>HYPERLINK("https://knigipp.ru/api/getInfo/item/a6082228-16df-11e8-ba06-5cf3fc4a2490")</f>
        <v>https://knigipp.ru/api/getInfo/item/a6082228-16df-11e8-ba06-5cf3fc4a2490</v>
      </c>
      <c r="AL2757" s="3" t="s">
        <v>12404</v>
      </c>
    </row>
    <row r="2758" spans="1:38" ht="21" customHeight="1" outlineLevel="4" x14ac:dyDescent="0.2">
      <c r="A2758" s="39">
        <v>2163</v>
      </c>
      <c r="B2758" s="3" t="s">
        <v>12470</v>
      </c>
      <c r="C2758" s="49" t="s">
        <v>12471</v>
      </c>
      <c r="D2758" s="49"/>
      <c r="E2758" s="49"/>
      <c r="F2758" s="49"/>
      <c r="G2758" s="4" t="s">
        <v>12472</v>
      </c>
      <c r="H2758" s="8"/>
      <c r="I2758" s="9" t="s">
        <v>12433</v>
      </c>
      <c r="J2758" s="10"/>
      <c r="K2758" s="11">
        <v>40</v>
      </c>
      <c r="L2758" s="10"/>
      <c r="M2758" s="10" t="s">
        <v>47</v>
      </c>
      <c r="N2758" s="10"/>
      <c r="O2758" s="2">
        <v>5</v>
      </c>
      <c r="P2758" s="17">
        <f>137*(1-S3/100)</f>
        <v>137</v>
      </c>
      <c r="Q2758" s="18"/>
      <c r="R2758" s="10">
        <f t="shared" si="121"/>
        <v>0</v>
      </c>
      <c r="S2758" s="19">
        <f>0.144*Q2758</f>
        <v>0</v>
      </c>
      <c r="T2758" s="20">
        <f>0.00018*Q2758</f>
        <v>0</v>
      </c>
      <c r="U2758" s="21"/>
      <c r="V2758" s="22" t="s">
        <v>12473</v>
      </c>
      <c r="W2758" s="22" t="s">
        <v>49</v>
      </c>
      <c r="X2758" s="3"/>
      <c r="Y2758" s="3" t="s">
        <v>12474</v>
      </c>
      <c r="Z2758" s="3"/>
      <c r="AA2758" s="3" t="s">
        <v>451</v>
      </c>
      <c r="AB2758" s="3"/>
      <c r="AC2758" s="3" t="str">
        <f>HYPERLINK("https://knigipp.ru/api/getInfo/image/464d5826-73b1-11e8-844d-5cf3fc4a2490")</f>
        <v>https://knigipp.ru/api/getInfo/image/464d5826-73b1-11e8-844d-5cf3fc4a2490</v>
      </c>
      <c r="AD2758" s="32">
        <v>8</v>
      </c>
      <c r="AE2758" s="3"/>
      <c r="AF2758" s="3" t="s">
        <v>209</v>
      </c>
      <c r="AG2758" s="3"/>
      <c r="AH2758" s="3" t="s">
        <v>56</v>
      </c>
      <c r="AI2758" s="3"/>
      <c r="AJ2758" s="3"/>
      <c r="AK2758" s="3" t="str">
        <f>HYPERLINK("https://knigipp.ru/api/getInfo/item/464d5826-73b1-11e8-844d-5cf3fc4a2490")</f>
        <v>https://knigipp.ru/api/getInfo/item/464d5826-73b1-11e8-844d-5cf3fc4a2490</v>
      </c>
      <c r="AL2758" s="3" t="s">
        <v>12404</v>
      </c>
    </row>
    <row r="2759" spans="1:38" ht="21" customHeight="1" outlineLevel="4" x14ac:dyDescent="0.2">
      <c r="A2759" s="39">
        <v>2164</v>
      </c>
      <c r="B2759" s="3" t="s">
        <v>12475</v>
      </c>
      <c r="C2759" s="49" t="s">
        <v>12476</v>
      </c>
      <c r="D2759" s="49"/>
      <c r="E2759" s="49"/>
      <c r="F2759" s="49"/>
      <c r="G2759" s="4" t="s">
        <v>12477</v>
      </c>
      <c r="H2759" s="8"/>
      <c r="I2759" s="9" t="s">
        <v>12401</v>
      </c>
      <c r="J2759" s="10"/>
      <c r="K2759" s="11">
        <v>40</v>
      </c>
      <c r="L2759" s="10"/>
      <c r="M2759" s="10" t="s">
        <v>47</v>
      </c>
      <c r="N2759" s="10"/>
      <c r="O2759" s="2">
        <v>5</v>
      </c>
      <c r="P2759" s="17">
        <f>137*(1-S3/100)</f>
        <v>137</v>
      </c>
      <c r="Q2759" s="18"/>
      <c r="R2759" s="10">
        <f t="shared" si="121"/>
        <v>0</v>
      </c>
      <c r="S2759" s="19">
        <f>0.144*Q2759</f>
        <v>0</v>
      </c>
      <c r="T2759" s="20">
        <f>0.00018*Q2759</f>
        <v>0</v>
      </c>
      <c r="U2759" s="21"/>
      <c r="V2759" s="22" t="s">
        <v>12478</v>
      </c>
      <c r="W2759" s="22" t="s">
        <v>49</v>
      </c>
      <c r="X2759" s="3"/>
      <c r="Y2759" s="3" t="s">
        <v>12479</v>
      </c>
      <c r="Z2759" s="3" t="s">
        <v>52</v>
      </c>
      <c r="AA2759" s="3" t="s">
        <v>12002</v>
      </c>
      <c r="AB2759" s="3"/>
      <c r="AC2759" s="3" t="str">
        <f>HYPERLINK("https://knigipp.ru/api/getInfo/image/beeecede-16df-11e8-ba06-5cf3fc4a2490")</f>
        <v>https://knigipp.ru/api/getInfo/image/beeecede-16df-11e8-ba06-5cf3fc4a2490</v>
      </c>
      <c r="AD2759" s="32">
        <v>8</v>
      </c>
      <c r="AE2759" s="3"/>
      <c r="AF2759" s="3" t="s">
        <v>209</v>
      </c>
      <c r="AG2759" s="3"/>
      <c r="AH2759" s="3" t="s">
        <v>56</v>
      </c>
      <c r="AI2759" s="3"/>
      <c r="AJ2759" s="3" t="s">
        <v>12335</v>
      </c>
      <c r="AK2759" s="3" t="str">
        <f>HYPERLINK("https://knigipp.ru/api/getInfo/item/beeecede-16df-11e8-ba06-5cf3fc4a2490")</f>
        <v>https://knigipp.ru/api/getInfo/item/beeecede-16df-11e8-ba06-5cf3fc4a2490</v>
      </c>
      <c r="AL2759" s="3" t="s">
        <v>12404</v>
      </c>
    </row>
    <row r="2760" spans="1:38" ht="21" customHeight="1" outlineLevel="4" x14ac:dyDescent="0.2">
      <c r="A2760" s="39">
        <v>2165</v>
      </c>
      <c r="B2760" s="3" t="s">
        <v>12480</v>
      </c>
      <c r="C2760" s="49" t="s">
        <v>12481</v>
      </c>
      <c r="D2760" s="49"/>
      <c r="E2760" s="49"/>
      <c r="F2760" s="49"/>
      <c r="G2760" s="4" t="s">
        <v>12482</v>
      </c>
      <c r="H2760" s="8"/>
      <c r="I2760" s="9"/>
      <c r="J2760" s="10"/>
      <c r="K2760" s="11">
        <v>40</v>
      </c>
      <c r="L2760" s="10"/>
      <c r="M2760" s="10" t="s">
        <v>47</v>
      </c>
      <c r="N2760" s="10"/>
      <c r="O2760" s="2">
        <v>5</v>
      </c>
      <c r="P2760" s="17">
        <f>137*(1-S3/100)</f>
        <v>137</v>
      </c>
      <c r="Q2760" s="18"/>
      <c r="R2760" s="10">
        <f t="shared" si="121"/>
        <v>0</v>
      </c>
      <c r="S2760" s="19">
        <f>0.111*Q2760</f>
        <v>0</v>
      </c>
      <c r="T2760" s="30">
        <f>0.0003*Q2760</f>
        <v>0</v>
      </c>
      <c r="U2760" s="21"/>
      <c r="V2760" s="22" t="s">
        <v>12483</v>
      </c>
      <c r="W2760" s="22" t="s">
        <v>49</v>
      </c>
      <c r="X2760" s="3"/>
      <c r="Y2760" s="3" t="s">
        <v>12484</v>
      </c>
      <c r="Z2760" s="3" t="s">
        <v>52</v>
      </c>
      <c r="AA2760" s="3"/>
      <c r="AB2760" s="3"/>
      <c r="AC2760" s="3" t="str">
        <f>HYPERLINK("https://knigipp.ru/api/getInfo/image/6b0a42d0-ae4c-11ef-a267-00155d82e908")</f>
        <v>https://knigipp.ru/api/getInfo/image/6b0a42d0-ae4c-11ef-a267-00155d82e908</v>
      </c>
      <c r="AD2760" s="32">
        <v>10</v>
      </c>
      <c r="AE2760" s="3" t="s">
        <v>54</v>
      </c>
      <c r="AF2760" s="3" t="s">
        <v>209</v>
      </c>
      <c r="AG2760" s="3"/>
      <c r="AH2760" s="3" t="s">
        <v>56</v>
      </c>
      <c r="AI2760" s="3"/>
      <c r="AJ2760" s="3" t="s">
        <v>12335</v>
      </c>
      <c r="AK2760" s="3" t="str">
        <f>HYPERLINK("https://knigipp.ru/api/getInfo/item/6b0a42d0-ae4c-11ef-a267-00155d82e908")</f>
        <v>https://knigipp.ru/api/getInfo/item/6b0a42d0-ae4c-11ef-a267-00155d82e908</v>
      </c>
      <c r="AL2760" s="3" t="s">
        <v>11480</v>
      </c>
    </row>
    <row r="2761" spans="1:38" ht="21" customHeight="1" outlineLevel="4" x14ac:dyDescent="0.2">
      <c r="A2761" s="39">
        <v>2166</v>
      </c>
      <c r="B2761" s="3" t="s">
        <v>12485</v>
      </c>
      <c r="C2761" s="49" t="s">
        <v>12486</v>
      </c>
      <c r="D2761" s="49"/>
      <c r="E2761" s="49"/>
      <c r="F2761" s="49"/>
      <c r="G2761" s="4" t="s">
        <v>12487</v>
      </c>
      <c r="H2761" s="8"/>
      <c r="I2761" s="9" t="s">
        <v>12344</v>
      </c>
      <c r="J2761" s="10"/>
      <c r="K2761" s="11">
        <v>40</v>
      </c>
      <c r="L2761" s="10"/>
      <c r="M2761" s="10" t="s">
        <v>47</v>
      </c>
      <c r="N2761" s="10"/>
      <c r="O2761" s="2">
        <v>5</v>
      </c>
      <c r="P2761" s="17">
        <f>137*(1-S3/100)</f>
        <v>137</v>
      </c>
      <c r="Q2761" s="18"/>
      <c r="R2761" s="10">
        <f t="shared" si="121"/>
        <v>0</v>
      </c>
      <c r="S2761" s="19">
        <f>0.108*Q2761</f>
        <v>0</v>
      </c>
      <c r="T2761" s="20">
        <f>0.00022*Q2761</f>
        <v>0</v>
      </c>
      <c r="U2761" s="21"/>
      <c r="V2761" s="22" t="s">
        <v>12488</v>
      </c>
      <c r="W2761" s="22" t="s">
        <v>49</v>
      </c>
      <c r="X2761" s="3" t="s">
        <v>117</v>
      </c>
      <c r="Y2761" s="3" t="s">
        <v>12489</v>
      </c>
      <c r="Z2761" s="3" t="s">
        <v>52</v>
      </c>
      <c r="AA2761" s="3"/>
      <c r="AB2761" s="3"/>
      <c r="AC2761" s="3" t="str">
        <f>HYPERLINK("https://knigipp.ru/api/getInfo/image/3385c29c-354e-11ef-a261-00155d82e908")</f>
        <v>https://knigipp.ru/api/getInfo/image/3385c29c-354e-11ef-a261-00155d82e908</v>
      </c>
      <c r="AD2761" s="32">
        <v>10</v>
      </c>
      <c r="AE2761" s="3" t="s">
        <v>54</v>
      </c>
      <c r="AF2761" s="3" t="s">
        <v>209</v>
      </c>
      <c r="AG2761" s="3"/>
      <c r="AH2761" s="3" t="s">
        <v>56</v>
      </c>
      <c r="AI2761" s="3"/>
      <c r="AJ2761" s="3"/>
      <c r="AK2761" s="3" t="str">
        <f>HYPERLINK("https://knigipp.ru/api/getInfo/item/3385c29c-354e-11ef-a261-00155d82e908")</f>
        <v>https://knigipp.ru/api/getInfo/item/3385c29c-354e-11ef-a261-00155d82e908</v>
      </c>
      <c r="AL2761" s="3" t="s">
        <v>11480</v>
      </c>
    </row>
    <row r="2762" spans="1:38" ht="21" customHeight="1" outlineLevel="4" x14ac:dyDescent="0.2">
      <c r="A2762" s="39">
        <v>2167</v>
      </c>
      <c r="B2762" s="3" t="s">
        <v>12490</v>
      </c>
      <c r="C2762" s="49" t="s">
        <v>12491</v>
      </c>
      <c r="D2762" s="49"/>
      <c r="E2762" s="49"/>
      <c r="F2762" s="49"/>
      <c r="G2762" s="4" t="s">
        <v>12492</v>
      </c>
      <c r="H2762" s="8"/>
      <c r="I2762" s="9" t="s">
        <v>12423</v>
      </c>
      <c r="J2762" s="10"/>
      <c r="K2762" s="11">
        <v>40</v>
      </c>
      <c r="L2762" s="10"/>
      <c r="M2762" s="10" t="s">
        <v>304</v>
      </c>
      <c r="N2762" s="10"/>
      <c r="O2762" s="2">
        <v>5</v>
      </c>
      <c r="P2762" s="17">
        <f>137*(1-S3/100)</f>
        <v>137</v>
      </c>
      <c r="Q2762" s="18"/>
      <c r="R2762" s="10">
        <f t="shared" ref="R2762:R2793" si="122">P2762*Q2762</f>
        <v>0</v>
      </c>
      <c r="S2762" s="19">
        <f>0.141*Q2762</f>
        <v>0</v>
      </c>
      <c r="T2762" s="30">
        <f>0.0003*Q2762</f>
        <v>0</v>
      </c>
      <c r="U2762" s="21"/>
      <c r="V2762" s="22" t="s">
        <v>12493</v>
      </c>
      <c r="W2762" s="22" t="s">
        <v>49</v>
      </c>
      <c r="X2762" s="3" t="s">
        <v>4754</v>
      </c>
      <c r="Y2762" s="3"/>
      <c r="Z2762" s="3" t="s">
        <v>52</v>
      </c>
      <c r="AA2762" s="3" t="s">
        <v>10252</v>
      </c>
      <c r="AB2762" s="3"/>
      <c r="AC2762" s="3" t="str">
        <f>HYPERLINK("https://knigipp.ru/api/getInfo/image/8a0d9a06-c686-11e1-81d3-5ef3fc502493")</f>
        <v>https://knigipp.ru/api/getInfo/image/8a0d9a06-c686-11e1-81d3-5ef3fc502493</v>
      </c>
      <c r="AD2762" s="32">
        <v>10</v>
      </c>
      <c r="AE2762" s="3"/>
      <c r="AF2762" s="3" t="s">
        <v>209</v>
      </c>
      <c r="AG2762" s="3"/>
      <c r="AH2762" s="3" t="s">
        <v>56</v>
      </c>
      <c r="AI2762" s="3"/>
      <c r="AJ2762" s="3" t="s">
        <v>12335</v>
      </c>
      <c r="AK2762" s="3" t="str">
        <f>HYPERLINK("https://knigipp.ru/api/getInfo/item/8a0d9a06-c686-11e1-81d3-5ef3fc502493")</f>
        <v>https://knigipp.ru/api/getInfo/item/8a0d9a06-c686-11e1-81d3-5ef3fc502493</v>
      </c>
      <c r="AL2762" s="3" t="s">
        <v>11480</v>
      </c>
    </row>
    <row r="2763" spans="1:38" ht="21" customHeight="1" outlineLevel="4" x14ac:dyDescent="0.2">
      <c r="A2763" s="39">
        <v>2168</v>
      </c>
      <c r="B2763" s="3" t="s">
        <v>12494</v>
      </c>
      <c r="C2763" s="49" t="s">
        <v>12495</v>
      </c>
      <c r="D2763" s="49"/>
      <c r="E2763" s="49"/>
      <c r="F2763" s="49"/>
      <c r="G2763" s="4" t="s">
        <v>12496</v>
      </c>
      <c r="H2763" s="8"/>
      <c r="I2763" s="9" t="s">
        <v>12401</v>
      </c>
      <c r="J2763" s="10"/>
      <c r="K2763" s="11">
        <v>40</v>
      </c>
      <c r="L2763" s="10"/>
      <c r="M2763" s="10" t="s">
        <v>47</v>
      </c>
      <c r="N2763" s="10"/>
      <c r="O2763" s="2">
        <v>5</v>
      </c>
      <c r="P2763" s="17">
        <f>137*(1-S3/100)</f>
        <v>137</v>
      </c>
      <c r="Q2763" s="18"/>
      <c r="R2763" s="10">
        <f t="shared" si="122"/>
        <v>0</v>
      </c>
      <c r="S2763" s="19">
        <f>0.108*Q2763</f>
        <v>0</v>
      </c>
      <c r="T2763" s="20">
        <f>0.00025*Q2763</f>
        <v>0</v>
      </c>
      <c r="U2763" s="21"/>
      <c r="V2763" s="22" t="s">
        <v>12497</v>
      </c>
      <c r="W2763" s="22" t="s">
        <v>49</v>
      </c>
      <c r="X2763" s="3" t="s">
        <v>10076</v>
      </c>
      <c r="Y2763" s="3"/>
      <c r="Z2763" s="3" t="s">
        <v>52</v>
      </c>
      <c r="AA2763" s="3"/>
      <c r="AB2763" s="3"/>
      <c r="AC2763" s="3" t="str">
        <f>HYPERLINK("https://knigipp.ru/api/getInfo/image/8ac60c55-33cf-11eb-a25e-ac1f6b442184")</f>
        <v>https://knigipp.ru/api/getInfo/image/8ac60c55-33cf-11eb-a25e-ac1f6b442184</v>
      </c>
      <c r="AD2763" s="32">
        <v>10</v>
      </c>
      <c r="AE2763" s="3"/>
      <c r="AF2763" s="3" t="s">
        <v>209</v>
      </c>
      <c r="AG2763" s="3"/>
      <c r="AH2763" s="3" t="s">
        <v>56</v>
      </c>
      <c r="AI2763" s="3"/>
      <c r="AJ2763" s="3" t="s">
        <v>12335</v>
      </c>
      <c r="AK2763" s="3" t="str">
        <f>HYPERLINK("https://knigipp.ru/api/getInfo/item/8ac60c55-33cf-11eb-a25e-ac1f6b442184")</f>
        <v>https://knigipp.ru/api/getInfo/item/8ac60c55-33cf-11eb-a25e-ac1f6b442184</v>
      </c>
      <c r="AL2763" s="3" t="s">
        <v>11480</v>
      </c>
    </row>
    <row r="2764" spans="1:38" ht="21" customHeight="1" outlineLevel="4" x14ac:dyDescent="0.2">
      <c r="A2764" s="39">
        <v>2169</v>
      </c>
      <c r="B2764" s="3" t="s">
        <v>12498</v>
      </c>
      <c r="C2764" s="49" t="s">
        <v>12499</v>
      </c>
      <c r="D2764" s="49"/>
      <c r="E2764" s="49"/>
      <c r="F2764" s="49"/>
      <c r="G2764" s="4" t="s">
        <v>12500</v>
      </c>
      <c r="H2764" s="8"/>
      <c r="I2764" s="9" t="s">
        <v>12423</v>
      </c>
      <c r="J2764" s="10"/>
      <c r="K2764" s="11">
        <v>40</v>
      </c>
      <c r="L2764" s="10"/>
      <c r="M2764" s="10" t="s">
        <v>47</v>
      </c>
      <c r="N2764" s="10"/>
      <c r="O2764" s="2">
        <v>5</v>
      </c>
      <c r="P2764" s="17">
        <f>137*(1-S3/100)</f>
        <v>137</v>
      </c>
      <c r="Q2764" s="18"/>
      <c r="R2764" s="10">
        <f t="shared" si="122"/>
        <v>0</v>
      </c>
      <c r="S2764" s="19">
        <f>0.114*Q2764</f>
        <v>0</v>
      </c>
      <c r="T2764" s="20">
        <f>0.00036*Q2764</f>
        <v>0</v>
      </c>
      <c r="U2764" s="21"/>
      <c r="V2764" s="22" t="s">
        <v>12501</v>
      </c>
      <c r="W2764" s="22" t="s">
        <v>49</v>
      </c>
      <c r="X2764" s="3" t="s">
        <v>10076</v>
      </c>
      <c r="Y2764" s="3"/>
      <c r="Z2764" s="3" t="s">
        <v>52</v>
      </c>
      <c r="AA2764" s="3"/>
      <c r="AB2764" s="3"/>
      <c r="AC2764" s="3" t="str">
        <f>HYPERLINK("https://knigipp.ru/api/getInfo/image/7a920b8c-eb66-11ea-a254-ac1f6b442184")</f>
        <v>https://knigipp.ru/api/getInfo/image/7a920b8c-eb66-11ea-a254-ac1f6b442184</v>
      </c>
      <c r="AD2764" s="32">
        <v>10</v>
      </c>
      <c r="AE2764" s="3"/>
      <c r="AF2764" s="3" t="s">
        <v>209</v>
      </c>
      <c r="AG2764" s="3"/>
      <c r="AH2764" s="3" t="s">
        <v>56</v>
      </c>
      <c r="AI2764" s="3"/>
      <c r="AJ2764" s="3" t="s">
        <v>12335</v>
      </c>
      <c r="AK2764" s="3" t="str">
        <f>HYPERLINK("https://knigipp.ru/api/getInfo/item/7a920b8c-eb66-11ea-a254-ac1f6b442184")</f>
        <v>https://knigipp.ru/api/getInfo/item/7a920b8c-eb66-11ea-a254-ac1f6b442184</v>
      </c>
      <c r="AL2764" s="3" t="s">
        <v>11480</v>
      </c>
    </row>
    <row r="2765" spans="1:38" ht="21" customHeight="1" outlineLevel="4" x14ac:dyDescent="0.2">
      <c r="A2765" s="39">
        <v>2170</v>
      </c>
      <c r="B2765" s="3" t="s">
        <v>12502</v>
      </c>
      <c r="C2765" s="49" t="s">
        <v>12503</v>
      </c>
      <c r="D2765" s="49"/>
      <c r="E2765" s="49"/>
      <c r="F2765" s="49"/>
      <c r="G2765" s="4" t="s">
        <v>12504</v>
      </c>
      <c r="H2765" s="8"/>
      <c r="I2765" s="9" t="s">
        <v>12505</v>
      </c>
      <c r="J2765" s="10"/>
      <c r="K2765" s="11">
        <v>40</v>
      </c>
      <c r="L2765" s="10"/>
      <c r="M2765" s="10" t="s">
        <v>47</v>
      </c>
      <c r="N2765" s="10"/>
      <c r="O2765" s="2">
        <v>5</v>
      </c>
      <c r="P2765" s="17">
        <f>137*(1-S3/100)</f>
        <v>137</v>
      </c>
      <c r="Q2765" s="18"/>
      <c r="R2765" s="10">
        <f t="shared" si="122"/>
        <v>0</v>
      </c>
      <c r="S2765" s="19">
        <f>0.109*Q2765</f>
        <v>0</v>
      </c>
      <c r="T2765" s="20">
        <f>0.00026*Q2765</f>
        <v>0</v>
      </c>
      <c r="U2765" s="21"/>
      <c r="V2765" s="22" t="s">
        <v>12506</v>
      </c>
      <c r="W2765" s="22" t="s">
        <v>49</v>
      </c>
      <c r="X2765" s="3" t="s">
        <v>10076</v>
      </c>
      <c r="Y2765" s="3"/>
      <c r="Z2765" s="3" t="s">
        <v>52</v>
      </c>
      <c r="AA2765" s="3"/>
      <c r="AB2765" s="3"/>
      <c r="AC2765" s="3" t="str">
        <f>HYPERLINK("https://knigipp.ru/api/getInfo/image/3054e621-33d0-11eb-a25e-ac1f6b442184")</f>
        <v>https://knigipp.ru/api/getInfo/image/3054e621-33d0-11eb-a25e-ac1f6b442184</v>
      </c>
      <c r="AD2765" s="32">
        <v>10</v>
      </c>
      <c r="AE2765" s="3"/>
      <c r="AF2765" s="3" t="s">
        <v>209</v>
      </c>
      <c r="AG2765" s="3"/>
      <c r="AH2765" s="3" t="s">
        <v>56</v>
      </c>
      <c r="AI2765" s="3"/>
      <c r="AJ2765" s="3" t="s">
        <v>12335</v>
      </c>
      <c r="AK2765" s="3" t="str">
        <f>HYPERLINK("https://knigipp.ru/api/getInfo/item/3054e621-33d0-11eb-a25e-ac1f6b442184")</f>
        <v>https://knigipp.ru/api/getInfo/item/3054e621-33d0-11eb-a25e-ac1f6b442184</v>
      </c>
      <c r="AL2765" s="3" t="s">
        <v>11480</v>
      </c>
    </row>
    <row r="2766" spans="1:38" ht="21" customHeight="1" outlineLevel="4" x14ac:dyDescent="0.2">
      <c r="A2766" s="39">
        <v>2171</v>
      </c>
      <c r="B2766" s="3" t="s">
        <v>12507</v>
      </c>
      <c r="C2766" s="49" t="s">
        <v>12508</v>
      </c>
      <c r="D2766" s="49"/>
      <c r="E2766" s="49"/>
      <c r="F2766" s="49"/>
      <c r="G2766" s="4" t="s">
        <v>12509</v>
      </c>
      <c r="H2766" s="8"/>
      <c r="I2766" s="9" t="s">
        <v>12510</v>
      </c>
      <c r="J2766" s="10"/>
      <c r="K2766" s="11">
        <v>40</v>
      </c>
      <c r="L2766" s="10"/>
      <c r="M2766" s="10" t="s">
        <v>47</v>
      </c>
      <c r="N2766" s="10"/>
      <c r="O2766" s="2">
        <v>5</v>
      </c>
      <c r="P2766" s="17">
        <f>137*(1-S3/100)</f>
        <v>137</v>
      </c>
      <c r="Q2766" s="18"/>
      <c r="R2766" s="10">
        <f t="shared" si="122"/>
        <v>0</v>
      </c>
      <c r="S2766" s="28">
        <f>0.11*Q2766</f>
        <v>0</v>
      </c>
      <c r="T2766" s="20">
        <f>0.00022*Q2766</f>
        <v>0</v>
      </c>
      <c r="U2766" s="21"/>
      <c r="V2766" s="22" t="s">
        <v>12511</v>
      </c>
      <c r="W2766" s="22" t="s">
        <v>49</v>
      </c>
      <c r="X2766" s="3" t="s">
        <v>207</v>
      </c>
      <c r="Y2766" s="3" t="s">
        <v>12512</v>
      </c>
      <c r="Z2766" s="3" t="s">
        <v>52</v>
      </c>
      <c r="AA2766" s="3"/>
      <c r="AB2766" s="3"/>
      <c r="AC2766" s="3" t="str">
        <f>HYPERLINK("https://knigipp.ru/api/getInfo/image/dc0fb37b-1d95-11ef-a25e-00155d82e908")</f>
        <v>https://knigipp.ru/api/getInfo/image/dc0fb37b-1d95-11ef-a25e-00155d82e908</v>
      </c>
      <c r="AD2766" s="32">
        <v>10</v>
      </c>
      <c r="AE2766" s="3" t="s">
        <v>54</v>
      </c>
      <c r="AF2766" s="3" t="s">
        <v>209</v>
      </c>
      <c r="AG2766" s="3"/>
      <c r="AH2766" s="3" t="s">
        <v>56</v>
      </c>
      <c r="AI2766" s="3"/>
      <c r="AJ2766" s="3" t="s">
        <v>12335</v>
      </c>
      <c r="AK2766" s="3" t="str">
        <f>HYPERLINK("https://knigipp.ru/api/getInfo/item/dc0fb37b-1d95-11ef-a25e-00155d82e908")</f>
        <v>https://knigipp.ru/api/getInfo/item/dc0fb37b-1d95-11ef-a25e-00155d82e908</v>
      </c>
      <c r="AL2766" s="3" t="s">
        <v>11480</v>
      </c>
    </row>
    <row r="2767" spans="1:38" ht="21" customHeight="1" outlineLevel="4" x14ac:dyDescent="0.2">
      <c r="A2767" s="39">
        <v>2172</v>
      </c>
      <c r="B2767" s="3" t="s">
        <v>12513</v>
      </c>
      <c r="C2767" s="49" t="s">
        <v>12514</v>
      </c>
      <c r="D2767" s="49"/>
      <c r="E2767" s="49"/>
      <c r="F2767" s="49"/>
      <c r="G2767" s="4" t="s">
        <v>12515</v>
      </c>
      <c r="H2767" s="8"/>
      <c r="I2767" s="9" t="s">
        <v>12423</v>
      </c>
      <c r="J2767" s="10"/>
      <c r="K2767" s="11">
        <v>40</v>
      </c>
      <c r="L2767" s="10"/>
      <c r="M2767" s="10" t="s">
        <v>47</v>
      </c>
      <c r="N2767" s="10"/>
      <c r="O2767" s="2">
        <v>5</v>
      </c>
      <c r="P2767" s="17">
        <f>137*(1-S3/100)</f>
        <v>137</v>
      </c>
      <c r="Q2767" s="18"/>
      <c r="R2767" s="10">
        <f t="shared" si="122"/>
        <v>0</v>
      </c>
      <c r="S2767" s="19">
        <f>0.144*Q2767</f>
        <v>0</v>
      </c>
      <c r="T2767" s="20">
        <f>0.00021*Q2767</f>
        <v>0</v>
      </c>
      <c r="U2767" s="21"/>
      <c r="V2767" s="22" t="s">
        <v>12516</v>
      </c>
      <c r="W2767" s="22" t="s">
        <v>49</v>
      </c>
      <c r="X2767" s="3" t="s">
        <v>9446</v>
      </c>
      <c r="Y2767" s="3"/>
      <c r="Z2767" s="3" t="s">
        <v>52</v>
      </c>
      <c r="AA2767" s="3"/>
      <c r="AB2767" s="3"/>
      <c r="AC2767" s="3" t="str">
        <f>HYPERLINK("https://knigipp.ru/api/getInfo/image/2a28b69f-eb66-11ea-a254-ac1f6b442184")</f>
        <v>https://knigipp.ru/api/getInfo/image/2a28b69f-eb66-11ea-a254-ac1f6b442184</v>
      </c>
      <c r="AD2767" s="32">
        <v>10</v>
      </c>
      <c r="AE2767" s="3"/>
      <c r="AF2767" s="3" t="s">
        <v>209</v>
      </c>
      <c r="AG2767" s="3"/>
      <c r="AH2767" s="3" t="s">
        <v>56</v>
      </c>
      <c r="AI2767" s="3"/>
      <c r="AJ2767" s="3" t="s">
        <v>12335</v>
      </c>
      <c r="AK2767" s="3" t="str">
        <f>HYPERLINK("https://knigipp.ru/api/getInfo/item/2a28b69f-eb66-11ea-a254-ac1f6b442184")</f>
        <v>https://knigipp.ru/api/getInfo/item/2a28b69f-eb66-11ea-a254-ac1f6b442184</v>
      </c>
      <c r="AL2767" s="3" t="s">
        <v>11480</v>
      </c>
    </row>
    <row r="2768" spans="1:38" ht="21" customHeight="1" outlineLevel="4" x14ac:dyDescent="0.2">
      <c r="A2768" s="39">
        <v>2173</v>
      </c>
      <c r="B2768" s="3" t="s">
        <v>12517</v>
      </c>
      <c r="C2768" s="49" t="s">
        <v>12518</v>
      </c>
      <c r="D2768" s="49"/>
      <c r="E2768" s="49"/>
      <c r="F2768" s="49"/>
      <c r="G2768" s="4" t="s">
        <v>12519</v>
      </c>
      <c r="H2768" s="8"/>
      <c r="I2768" s="9" t="s">
        <v>12401</v>
      </c>
      <c r="J2768" s="10"/>
      <c r="K2768" s="11">
        <v>40</v>
      </c>
      <c r="L2768" s="10"/>
      <c r="M2768" s="10" t="s">
        <v>78</v>
      </c>
      <c r="N2768" s="10"/>
      <c r="O2768" s="2">
        <v>5</v>
      </c>
      <c r="P2768" s="17">
        <f>137*(1-S3/100)</f>
        <v>137</v>
      </c>
      <c r="Q2768" s="18"/>
      <c r="R2768" s="10">
        <f t="shared" si="122"/>
        <v>0</v>
      </c>
      <c r="S2768" s="28">
        <f>0.12*Q2768</f>
        <v>0</v>
      </c>
      <c r="T2768" s="20">
        <f>0.00084*Q2768</f>
        <v>0</v>
      </c>
      <c r="U2768" s="21"/>
      <c r="V2768" s="22" t="s">
        <v>12520</v>
      </c>
      <c r="W2768" s="22" t="s">
        <v>49</v>
      </c>
      <c r="X2768" s="3"/>
      <c r="Y2768" s="3"/>
      <c r="Z2768" s="3" t="s">
        <v>52</v>
      </c>
      <c r="AA2768" s="3"/>
      <c r="AB2768" s="3"/>
      <c r="AC2768" s="3" t="str">
        <f>HYPERLINK("https://knigipp.ru/api/getInfo/image/77f7a935-03ae-11ee-a23b-00155d82e902")</f>
        <v>https://knigipp.ru/api/getInfo/image/77f7a935-03ae-11ee-a23b-00155d82e902</v>
      </c>
      <c r="AD2768" s="32">
        <v>10</v>
      </c>
      <c r="AE2768" s="3" t="s">
        <v>54</v>
      </c>
      <c r="AF2768" s="3" t="s">
        <v>209</v>
      </c>
      <c r="AG2768" s="3"/>
      <c r="AH2768" s="3" t="s">
        <v>56</v>
      </c>
      <c r="AI2768" s="3"/>
      <c r="AJ2768" s="3" t="s">
        <v>12335</v>
      </c>
      <c r="AK2768" s="3" t="str">
        <f>HYPERLINK("https://knigipp.ru/api/getInfo/item/77f7a935-03ae-11ee-a23b-00155d82e902")</f>
        <v>https://knigipp.ru/api/getInfo/item/77f7a935-03ae-11ee-a23b-00155d82e902</v>
      </c>
      <c r="AL2768" s="3" t="s">
        <v>11480</v>
      </c>
    </row>
    <row r="2769" spans="1:38" ht="21" customHeight="1" outlineLevel="4" x14ac:dyDescent="0.2">
      <c r="A2769" s="39">
        <v>2174</v>
      </c>
      <c r="B2769" s="3" t="s">
        <v>12521</v>
      </c>
      <c r="C2769" s="49" t="s">
        <v>12522</v>
      </c>
      <c r="D2769" s="49"/>
      <c r="E2769" s="49"/>
      <c r="F2769" s="49"/>
      <c r="G2769" s="4" t="s">
        <v>12523</v>
      </c>
      <c r="H2769" s="8"/>
      <c r="I2769" s="9" t="s">
        <v>12344</v>
      </c>
      <c r="J2769" s="10"/>
      <c r="K2769" s="11">
        <v>40</v>
      </c>
      <c r="L2769" s="10"/>
      <c r="M2769" s="10" t="s">
        <v>47</v>
      </c>
      <c r="N2769" s="10"/>
      <c r="O2769" s="2">
        <v>5</v>
      </c>
      <c r="P2769" s="17">
        <f>137*(1-S3/100)</f>
        <v>137</v>
      </c>
      <c r="Q2769" s="18"/>
      <c r="R2769" s="10">
        <f t="shared" si="122"/>
        <v>0</v>
      </c>
      <c r="S2769" s="19">
        <f>0.109*Q2769</f>
        <v>0</v>
      </c>
      <c r="T2769" s="20">
        <f>0.00018*Q2769</f>
        <v>0</v>
      </c>
      <c r="U2769" s="21"/>
      <c r="V2769" s="22" t="s">
        <v>12524</v>
      </c>
      <c r="W2769" s="22" t="s">
        <v>49</v>
      </c>
      <c r="X2769" s="3" t="s">
        <v>117</v>
      </c>
      <c r="Y2769" s="3" t="s">
        <v>12525</v>
      </c>
      <c r="Z2769" s="3" t="s">
        <v>52</v>
      </c>
      <c r="AA2769" s="3"/>
      <c r="AB2769" s="3"/>
      <c r="AC2769" s="3" t="str">
        <f>HYPERLINK("https://knigipp.ru/api/getInfo/image/d485b580-354e-11ef-a261-00155d82e908")</f>
        <v>https://knigipp.ru/api/getInfo/image/d485b580-354e-11ef-a261-00155d82e908</v>
      </c>
      <c r="AD2769" s="32">
        <v>10</v>
      </c>
      <c r="AE2769" s="3"/>
      <c r="AF2769" s="3" t="s">
        <v>209</v>
      </c>
      <c r="AG2769" s="3"/>
      <c r="AH2769" s="3" t="s">
        <v>56</v>
      </c>
      <c r="AI2769" s="3"/>
      <c r="AJ2769" s="3" t="s">
        <v>12335</v>
      </c>
      <c r="AK2769" s="3" t="str">
        <f>HYPERLINK("https://knigipp.ru/api/getInfo/item/d485b580-354e-11ef-a261-00155d82e908")</f>
        <v>https://knigipp.ru/api/getInfo/item/d485b580-354e-11ef-a261-00155d82e908</v>
      </c>
      <c r="AL2769" s="3" t="s">
        <v>11480</v>
      </c>
    </row>
    <row r="2770" spans="1:38" ht="21" customHeight="1" outlineLevel="4" x14ac:dyDescent="0.2">
      <c r="A2770" s="39">
        <v>2175</v>
      </c>
      <c r="B2770" s="3" t="s">
        <v>12526</v>
      </c>
      <c r="C2770" s="49" t="s">
        <v>12527</v>
      </c>
      <c r="D2770" s="49"/>
      <c r="E2770" s="49"/>
      <c r="F2770" s="49"/>
      <c r="G2770" s="4" t="s">
        <v>12528</v>
      </c>
      <c r="H2770" s="8"/>
      <c r="I2770" s="9" t="s">
        <v>12505</v>
      </c>
      <c r="J2770" s="10"/>
      <c r="K2770" s="11">
        <v>40</v>
      </c>
      <c r="L2770" s="10"/>
      <c r="M2770" s="10" t="s">
        <v>47</v>
      </c>
      <c r="N2770" s="10"/>
      <c r="O2770" s="2">
        <v>5</v>
      </c>
      <c r="P2770" s="17">
        <f>137*(1-S3/100)</f>
        <v>137</v>
      </c>
      <c r="Q2770" s="18"/>
      <c r="R2770" s="10">
        <f t="shared" si="122"/>
        <v>0</v>
      </c>
      <c r="S2770" s="19">
        <f>0.144*Q2770</f>
        <v>0</v>
      </c>
      <c r="T2770" s="20">
        <f>0.00021*Q2770</f>
        <v>0</v>
      </c>
      <c r="U2770" s="21"/>
      <c r="V2770" s="22" t="s">
        <v>12529</v>
      </c>
      <c r="W2770" s="22" t="s">
        <v>49</v>
      </c>
      <c r="X2770" s="3" t="s">
        <v>9446</v>
      </c>
      <c r="Y2770" s="3"/>
      <c r="Z2770" s="3" t="s">
        <v>52</v>
      </c>
      <c r="AA2770" s="3"/>
      <c r="AB2770" s="3"/>
      <c r="AC2770" s="3" t="str">
        <f>HYPERLINK("https://knigipp.ru/api/getInfo/image/0d37ae6a-33d0-11eb-a25e-ac1f6b442184")</f>
        <v>https://knigipp.ru/api/getInfo/image/0d37ae6a-33d0-11eb-a25e-ac1f6b442184</v>
      </c>
      <c r="AD2770" s="32">
        <v>10</v>
      </c>
      <c r="AE2770" s="3"/>
      <c r="AF2770" s="3" t="s">
        <v>209</v>
      </c>
      <c r="AG2770" s="3"/>
      <c r="AH2770" s="3" t="s">
        <v>56</v>
      </c>
      <c r="AI2770" s="3"/>
      <c r="AJ2770" s="3" t="s">
        <v>12335</v>
      </c>
      <c r="AK2770" s="3" t="str">
        <f>HYPERLINK("https://knigipp.ru/api/getInfo/item/0d37ae6a-33d0-11eb-a25e-ac1f6b442184")</f>
        <v>https://knigipp.ru/api/getInfo/item/0d37ae6a-33d0-11eb-a25e-ac1f6b442184</v>
      </c>
      <c r="AL2770" s="3" t="s">
        <v>11480</v>
      </c>
    </row>
    <row r="2771" spans="1:38" ht="21" customHeight="1" outlineLevel="4" x14ac:dyDescent="0.2">
      <c r="A2771" s="39">
        <v>2176</v>
      </c>
      <c r="B2771" s="3" t="s">
        <v>12530</v>
      </c>
      <c r="C2771" s="49" t="s">
        <v>12531</v>
      </c>
      <c r="D2771" s="49"/>
      <c r="E2771" s="49"/>
      <c r="F2771" s="49"/>
      <c r="G2771" s="4" t="s">
        <v>12532</v>
      </c>
      <c r="H2771" s="8"/>
      <c r="I2771" s="9" t="s">
        <v>12510</v>
      </c>
      <c r="J2771" s="10"/>
      <c r="K2771" s="11">
        <v>40</v>
      </c>
      <c r="L2771" s="10"/>
      <c r="M2771" s="10" t="s">
        <v>47</v>
      </c>
      <c r="N2771" s="10"/>
      <c r="O2771" s="2">
        <v>5</v>
      </c>
      <c r="P2771" s="17">
        <f>137*(1-S3/100)</f>
        <v>137</v>
      </c>
      <c r="Q2771" s="18"/>
      <c r="R2771" s="10">
        <f t="shared" si="122"/>
        <v>0</v>
      </c>
      <c r="S2771" s="28">
        <f>0.12*Q2771</f>
        <v>0</v>
      </c>
      <c r="T2771" s="20">
        <f>0.00018*Q2771</f>
        <v>0</v>
      </c>
      <c r="U2771" s="21"/>
      <c r="V2771" s="22" t="s">
        <v>12533</v>
      </c>
      <c r="W2771" s="22" t="s">
        <v>49</v>
      </c>
      <c r="X2771" s="3" t="s">
        <v>207</v>
      </c>
      <c r="Y2771" s="3" t="s">
        <v>12534</v>
      </c>
      <c r="Z2771" s="3" t="s">
        <v>52</v>
      </c>
      <c r="AA2771" s="3"/>
      <c r="AB2771" s="3"/>
      <c r="AC2771" s="3" t="str">
        <f>HYPERLINK("https://knigipp.ru/api/getInfo/image/fc3f72c2-1d95-11ef-a25e-00155d82e908")</f>
        <v>https://knigipp.ru/api/getInfo/image/fc3f72c2-1d95-11ef-a25e-00155d82e908</v>
      </c>
      <c r="AD2771" s="32">
        <v>10</v>
      </c>
      <c r="AE2771" s="3" t="s">
        <v>54</v>
      </c>
      <c r="AF2771" s="3" t="s">
        <v>209</v>
      </c>
      <c r="AG2771" s="3"/>
      <c r="AH2771" s="3" t="s">
        <v>56</v>
      </c>
      <c r="AI2771" s="3"/>
      <c r="AJ2771" s="3" t="s">
        <v>12335</v>
      </c>
      <c r="AK2771" s="3" t="str">
        <f>HYPERLINK("https://knigipp.ru/api/getInfo/item/fc3f72c2-1d95-11ef-a25e-00155d82e908")</f>
        <v>https://knigipp.ru/api/getInfo/item/fc3f72c2-1d95-11ef-a25e-00155d82e908</v>
      </c>
      <c r="AL2771" s="3" t="s">
        <v>11480</v>
      </c>
    </row>
    <row r="2772" spans="1:38" ht="21" customHeight="1" outlineLevel="4" x14ac:dyDescent="0.2">
      <c r="A2772" s="39">
        <v>2177</v>
      </c>
      <c r="B2772" s="3" t="s">
        <v>12535</v>
      </c>
      <c r="C2772" s="49" t="s">
        <v>12536</v>
      </c>
      <c r="D2772" s="49"/>
      <c r="E2772" s="49"/>
      <c r="F2772" s="49"/>
      <c r="G2772" s="4" t="s">
        <v>12537</v>
      </c>
      <c r="H2772" s="8"/>
      <c r="I2772" s="9" t="s">
        <v>12401</v>
      </c>
      <c r="J2772" s="10"/>
      <c r="K2772" s="11">
        <v>40</v>
      </c>
      <c r="L2772" s="10"/>
      <c r="M2772" s="10" t="s">
        <v>47</v>
      </c>
      <c r="N2772" s="10"/>
      <c r="O2772" s="2">
        <v>5</v>
      </c>
      <c r="P2772" s="17">
        <f>137*(1-S3/100)</f>
        <v>137</v>
      </c>
      <c r="Q2772" s="18"/>
      <c r="R2772" s="10">
        <f t="shared" si="122"/>
        <v>0</v>
      </c>
      <c r="S2772" s="19">
        <f>0.114*Q2772</f>
        <v>0</v>
      </c>
      <c r="T2772" s="20">
        <f>0.00036*Q2772</f>
        <v>0</v>
      </c>
      <c r="U2772" s="21"/>
      <c r="V2772" s="22" t="s">
        <v>12538</v>
      </c>
      <c r="W2772" s="22" t="s">
        <v>49</v>
      </c>
      <c r="X2772" s="3"/>
      <c r="Y2772" s="3"/>
      <c r="Z2772" s="3" t="s">
        <v>52</v>
      </c>
      <c r="AA2772" s="3"/>
      <c r="AB2772" s="3"/>
      <c r="AC2772" s="3" t="str">
        <f>HYPERLINK("https://knigipp.ru/api/getInfo/image/4e29d86d-6489-11eb-a26d-ac1f6b442184")</f>
        <v>https://knigipp.ru/api/getInfo/image/4e29d86d-6489-11eb-a26d-ac1f6b442184</v>
      </c>
      <c r="AD2772" s="32">
        <v>10</v>
      </c>
      <c r="AE2772" s="3"/>
      <c r="AF2772" s="3" t="s">
        <v>209</v>
      </c>
      <c r="AG2772" s="3"/>
      <c r="AH2772" s="3" t="s">
        <v>56</v>
      </c>
      <c r="AI2772" s="3"/>
      <c r="AJ2772" s="3" t="s">
        <v>12335</v>
      </c>
      <c r="AK2772" s="3" t="str">
        <f>HYPERLINK("https://knigipp.ru/api/getInfo/item/4e29d86d-6489-11eb-a26d-ac1f6b442184")</f>
        <v>https://knigipp.ru/api/getInfo/item/4e29d86d-6489-11eb-a26d-ac1f6b442184</v>
      </c>
      <c r="AL2772" s="3" t="s">
        <v>11480</v>
      </c>
    </row>
    <row r="2773" spans="1:38" ht="21" customHeight="1" outlineLevel="4" x14ac:dyDescent="0.2">
      <c r="A2773" s="39">
        <v>2178</v>
      </c>
      <c r="B2773" s="3" t="s">
        <v>12539</v>
      </c>
      <c r="C2773" s="49" t="s">
        <v>12540</v>
      </c>
      <c r="D2773" s="49"/>
      <c r="E2773" s="49"/>
      <c r="F2773" s="49"/>
      <c r="G2773" s="4" t="s">
        <v>12541</v>
      </c>
      <c r="H2773" s="8"/>
      <c r="I2773" s="9" t="s">
        <v>12401</v>
      </c>
      <c r="J2773" s="10"/>
      <c r="K2773" s="10"/>
      <c r="L2773" s="10"/>
      <c r="M2773" s="10" t="s">
        <v>47</v>
      </c>
      <c r="N2773" s="10"/>
      <c r="O2773" s="2">
        <v>5</v>
      </c>
      <c r="P2773" s="17">
        <f>137*(1-S3/100)</f>
        <v>137</v>
      </c>
      <c r="Q2773" s="18"/>
      <c r="R2773" s="10">
        <f t="shared" si="122"/>
        <v>0</v>
      </c>
      <c r="S2773" s="19">
        <f>0.142*Q2773</f>
        <v>0</v>
      </c>
      <c r="T2773" s="20">
        <f>0.00021*Q2773</f>
        <v>0</v>
      </c>
      <c r="U2773" s="21"/>
      <c r="V2773" s="22" t="s">
        <v>12542</v>
      </c>
      <c r="W2773" s="22" t="s">
        <v>49</v>
      </c>
      <c r="X2773" s="3"/>
      <c r="Y2773" s="3"/>
      <c r="Z2773" s="3" t="s">
        <v>52</v>
      </c>
      <c r="AA2773" s="3"/>
      <c r="AB2773" s="3"/>
      <c r="AC2773" s="3" t="str">
        <f>HYPERLINK("https://knigipp.ru/api/getInfo/image/5cf974c6-6483-11eb-a26d-ac1f6b442184")</f>
        <v>https://knigipp.ru/api/getInfo/image/5cf974c6-6483-11eb-a26d-ac1f6b442184</v>
      </c>
      <c r="AD2773" s="32">
        <v>10</v>
      </c>
      <c r="AE2773" s="3"/>
      <c r="AF2773" s="3" t="s">
        <v>209</v>
      </c>
      <c r="AG2773" s="3"/>
      <c r="AH2773" s="3" t="s">
        <v>56</v>
      </c>
      <c r="AI2773" s="3"/>
      <c r="AJ2773" s="3" t="s">
        <v>12335</v>
      </c>
      <c r="AK2773" s="3" t="str">
        <f>HYPERLINK("https://knigipp.ru/api/getInfo/item/5cf974c6-6483-11eb-a26d-ac1f6b442184")</f>
        <v>https://knigipp.ru/api/getInfo/item/5cf974c6-6483-11eb-a26d-ac1f6b442184</v>
      </c>
      <c r="AL2773" s="3" t="s">
        <v>11480</v>
      </c>
    </row>
    <row r="2774" spans="1:38" ht="21" customHeight="1" outlineLevel="4" x14ac:dyDescent="0.2">
      <c r="A2774" s="39">
        <v>2179</v>
      </c>
      <c r="B2774" s="3" t="s">
        <v>12543</v>
      </c>
      <c r="C2774" s="49" t="s">
        <v>12544</v>
      </c>
      <c r="D2774" s="49"/>
      <c r="E2774" s="49"/>
      <c r="F2774" s="49"/>
      <c r="G2774" s="4" t="s">
        <v>12545</v>
      </c>
      <c r="H2774" s="8"/>
      <c r="I2774" s="9" t="s">
        <v>12546</v>
      </c>
      <c r="J2774" s="10"/>
      <c r="K2774" s="11">
        <v>40</v>
      </c>
      <c r="L2774" s="10"/>
      <c r="M2774" s="10" t="s">
        <v>47</v>
      </c>
      <c r="N2774" s="10"/>
      <c r="O2774" s="2">
        <v>5</v>
      </c>
      <c r="P2774" s="17">
        <f>137*(1-S3/100)</f>
        <v>137</v>
      </c>
      <c r="Q2774" s="18"/>
      <c r="R2774" s="10">
        <f t="shared" si="122"/>
        <v>0</v>
      </c>
      <c r="S2774" s="19">
        <f>0.144*Q2774</f>
        <v>0</v>
      </c>
      <c r="T2774" s="20">
        <f>0.00021*Q2774</f>
        <v>0</v>
      </c>
      <c r="U2774" s="21"/>
      <c r="V2774" s="22" t="s">
        <v>12547</v>
      </c>
      <c r="W2774" s="22" t="s">
        <v>49</v>
      </c>
      <c r="X2774" s="3" t="s">
        <v>10519</v>
      </c>
      <c r="Y2774" s="3"/>
      <c r="Z2774" s="3" t="s">
        <v>52</v>
      </c>
      <c r="AA2774" s="3"/>
      <c r="AB2774" s="3"/>
      <c r="AC2774" s="3" t="str">
        <f>HYPERLINK("https://knigipp.ru/api/getInfo/image/a286f8f2-7b37-11eb-a275-ac1f6b442184")</f>
        <v>https://knigipp.ru/api/getInfo/image/a286f8f2-7b37-11eb-a275-ac1f6b442184</v>
      </c>
      <c r="AD2774" s="32">
        <v>10</v>
      </c>
      <c r="AE2774" s="3"/>
      <c r="AF2774" s="3" t="s">
        <v>209</v>
      </c>
      <c r="AG2774" s="3"/>
      <c r="AH2774" s="3" t="s">
        <v>56</v>
      </c>
      <c r="AI2774" s="3"/>
      <c r="AJ2774" s="3" t="s">
        <v>12335</v>
      </c>
      <c r="AK2774" s="3" t="str">
        <f>HYPERLINK("https://knigipp.ru/api/getInfo/item/a286f8f2-7b37-11eb-a275-ac1f6b442184")</f>
        <v>https://knigipp.ru/api/getInfo/item/a286f8f2-7b37-11eb-a275-ac1f6b442184</v>
      </c>
      <c r="AL2774" s="3" t="s">
        <v>11480</v>
      </c>
    </row>
    <row r="2775" spans="1:38" ht="21" customHeight="1" outlineLevel="4" x14ac:dyDescent="0.2">
      <c r="A2775" s="39">
        <v>2180</v>
      </c>
      <c r="B2775" s="3" t="s">
        <v>12548</v>
      </c>
      <c r="C2775" s="49" t="s">
        <v>12549</v>
      </c>
      <c r="D2775" s="49"/>
      <c r="E2775" s="49"/>
      <c r="F2775" s="49"/>
      <c r="G2775" s="4" t="s">
        <v>12550</v>
      </c>
      <c r="H2775" s="8"/>
      <c r="I2775" s="9" t="s">
        <v>12551</v>
      </c>
      <c r="J2775" s="10"/>
      <c r="K2775" s="11">
        <v>40</v>
      </c>
      <c r="L2775" s="10"/>
      <c r="M2775" s="10" t="s">
        <v>47</v>
      </c>
      <c r="N2775" s="10"/>
      <c r="O2775" s="2">
        <v>5</v>
      </c>
      <c r="P2775" s="17">
        <f>137*(1-S3/100)</f>
        <v>137</v>
      </c>
      <c r="Q2775" s="18"/>
      <c r="R2775" s="10">
        <f t="shared" si="122"/>
        <v>0</v>
      </c>
      <c r="S2775" s="19">
        <f>0.114*Q2775</f>
        <v>0</v>
      </c>
      <c r="T2775" s="20">
        <f>0.00041*Q2775</f>
        <v>0</v>
      </c>
      <c r="U2775" s="21"/>
      <c r="V2775" s="22" t="s">
        <v>12552</v>
      </c>
      <c r="W2775" s="22" t="s">
        <v>49</v>
      </c>
      <c r="X2775" s="3" t="s">
        <v>4754</v>
      </c>
      <c r="Y2775" s="3"/>
      <c r="Z2775" s="3" t="s">
        <v>52</v>
      </c>
      <c r="AA2775" s="3"/>
      <c r="AB2775" s="3"/>
      <c r="AC2775" s="3" t="str">
        <f>HYPERLINK("https://knigipp.ru/api/getInfo/image/a9546465-03ac-11ee-a23b-00155d82e902")</f>
        <v>https://knigipp.ru/api/getInfo/image/a9546465-03ac-11ee-a23b-00155d82e902</v>
      </c>
      <c r="AD2775" s="32">
        <v>10</v>
      </c>
      <c r="AE2775" s="3" t="s">
        <v>54</v>
      </c>
      <c r="AF2775" s="3" t="s">
        <v>209</v>
      </c>
      <c r="AG2775" s="3"/>
      <c r="AH2775" s="3" t="s">
        <v>56</v>
      </c>
      <c r="AI2775" s="3"/>
      <c r="AJ2775" s="3" t="s">
        <v>12335</v>
      </c>
      <c r="AK2775" s="3" t="str">
        <f>HYPERLINK("https://knigipp.ru/api/getInfo/item/a9546465-03ac-11ee-a23b-00155d82e902")</f>
        <v>https://knigipp.ru/api/getInfo/item/a9546465-03ac-11ee-a23b-00155d82e902</v>
      </c>
      <c r="AL2775" s="3" t="s">
        <v>11480</v>
      </c>
    </row>
    <row r="2776" spans="1:38" ht="21" customHeight="1" outlineLevel="4" x14ac:dyDescent="0.2">
      <c r="A2776" s="39">
        <v>2181</v>
      </c>
      <c r="B2776" s="3" t="s">
        <v>12553</v>
      </c>
      <c r="C2776" s="49" t="s">
        <v>12554</v>
      </c>
      <c r="D2776" s="49"/>
      <c r="E2776" s="49"/>
      <c r="F2776" s="49"/>
      <c r="G2776" s="4" t="s">
        <v>12555</v>
      </c>
      <c r="H2776" s="8"/>
      <c r="I2776" s="9" t="s">
        <v>12551</v>
      </c>
      <c r="J2776" s="10"/>
      <c r="K2776" s="11">
        <v>40</v>
      </c>
      <c r="L2776" s="10"/>
      <c r="M2776" s="10" t="s">
        <v>78</v>
      </c>
      <c r="N2776" s="10"/>
      <c r="O2776" s="2">
        <v>5</v>
      </c>
      <c r="P2776" s="17">
        <f>137*(1-S3/100)</f>
        <v>137</v>
      </c>
      <c r="Q2776" s="18"/>
      <c r="R2776" s="10">
        <f t="shared" si="122"/>
        <v>0</v>
      </c>
      <c r="S2776" s="19">
        <f>0.118*Q2776</f>
        <v>0</v>
      </c>
      <c r="T2776" s="20">
        <f>0.00025*Q2776</f>
        <v>0</v>
      </c>
      <c r="U2776" s="21"/>
      <c r="V2776" s="22" t="s">
        <v>12556</v>
      </c>
      <c r="W2776" s="22" t="s">
        <v>49</v>
      </c>
      <c r="X2776" s="3" t="s">
        <v>4754</v>
      </c>
      <c r="Y2776" s="3"/>
      <c r="Z2776" s="3" t="s">
        <v>52</v>
      </c>
      <c r="AA2776" s="3"/>
      <c r="AB2776" s="3"/>
      <c r="AC2776" s="3" t="str">
        <f>HYPERLINK("https://knigipp.ru/api/getInfo/image/0395c87e-03ad-11ee-a23b-00155d82e902")</f>
        <v>https://knigipp.ru/api/getInfo/image/0395c87e-03ad-11ee-a23b-00155d82e902</v>
      </c>
      <c r="AD2776" s="32">
        <v>10</v>
      </c>
      <c r="AE2776" s="3" t="s">
        <v>54</v>
      </c>
      <c r="AF2776" s="3" t="s">
        <v>209</v>
      </c>
      <c r="AG2776" s="3"/>
      <c r="AH2776" s="3" t="s">
        <v>56</v>
      </c>
      <c r="AI2776" s="3"/>
      <c r="AJ2776" s="3" t="s">
        <v>12335</v>
      </c>
      <c r="AK2776" s="3" t="str">
        <f>HYPERLINK("https://knigipp.ru/api/getInfo/item/0395c87e-03ad-11ee-a23b-00155d82e902")</f>
        <v>https://knigipp.ru/api/getInfo/item/0395c87e-03ad-11ee-a23b-00155d82e902</v>
      </c>
      <c r="AL2776" s="3" t="s">
        <v>11480</v>
      </c>
    </row>
    <row r="2777" spans="1:38" ht="21" customHeight="1" outlineLevel="4" x14ac:dyDescent="0.2">
      <c r="A2777" s="39">
        <v>2182</v>
      </c>
      <c r="B2777" s="3" t="s">
        <v>12557</v>
      </c>
      <c r="C2777" s="49" t="s">
        <v>12558</v>
      </c>
      <c r="D2777" s="49"/>
      <c r="E2777" s="49"/>
      <c r="F2777" s="49"/>
      <c r="G2777" s="4" t="s">
        <v>12559</v>
      </c>
      <c r="H2777" s="8"/>
      <c r="I2777" s="9" t="s">
        <v>12551</v>
      </c>
      <c r="J2777" s="10"/>
      <c r="K2777" s="11">
        <v>40</v>
      </c>
      <c r="L2777" s="10"/>
      <c r="M2777" s="10" t="s">
        <v>47</v>
      </c>
      <c r="N2777" s="10"/>
      <c r="O2777" s="2">
        <v>5</v>
      </c>
      <c r="P2777" s="17">
        <f>137*(1-S3/100)</f>
        <v>137</v>
      </c>
      <c r="Q2777" s="18"/>
      <c r="R2777" s="10">
        <f t="shared" si="122"/>
        <v>0</v>
      </c>
      <c r="S2777" s="19">
        <f>0.107*Q2777</f>
        <v>0</v>
      </c>
      <c r="T2777" s="20">
        <f>0.00018*Q2777</f>
        <v>0</v>
      </c>
      <c r="U2777" s="21"/>
      <c r="V2777" s="22" t="s">
        <v>12560</v>
      </c>
      <c r="W2777" s="22" t="s">
        <v>49</v>
      </c>
      <c r="X2777" s="3" t="s">
        <v>4754</v>
      </c>
      <c r="Y2777" s="3"/>
      <c r="Z2777" s="3" t="s">
        <v>52</v>
      </c>
      <c r="AA2777" s="3"/>
      <c r="AB2777" s="3"/>
      <c r="AC2777" s="3" t="str">
        <f>HYPERLINK("https://knigipp.ru/api/getInfo/image/035d767f-03ae-11ee-a23b-00155d82e902")</f>
        <v>https://knigipp.ru/api/getInfo/image/035d767f-03ae-11ee-a23b-00155d82e902</v>
      </c>
      <c r="AD2777" s="32">
        <v>10</v>
      </c>
      <c r="AE2777" s="3" t="s">
        <v>54</v>
      </c>
      <c r="AF2777" s="3" t="s">
        <v>209</v>
      </c>
      <c r="AG2777" s="3"/>
      <c r="AH2777" s="3" t="s">
        <v>56</v>
      </c>
      <c r="AI2777" s="3"/>
      <c r="AJ2777" s="3" t="s">
        <v>12335</v>
      </c>
      <c r="AK2777" s="3" t="str">
        <f>HYPERLINK("https://knigipp.ru/api/getInfo/item/035d767f-03ae-11ee-a23b-00155d82e902")</f>
        <v>https://knigipp.ru/api/getInfo/item/035d767f-03ae-11ee-a23b-00155d82e902</v>
      </c>
      <c r="AL2777" s="3" t="s">
        <v>11480</v>
      </c>
    </row>
    <row r="2778" spans="1:38" ht="21" customHeight="1" outlineLevel="4" x14ac:dyDescent="0.2">
      <c r="A2778" s="39">
        <v>2183</v>
      </c>
      <c r="B2778" s="3" t="s">
        <v>12561</v>
      </c>
      <c r="C2778" s="49" t="s">
        <v>12562</v>
      </c>
      <c r="D2778" s="49"/>
      <c r="E2778" s="49"/>
      <c r="F2778" s="49"/>
      <c r="G2778" s="4" t="s">
        <v>12563</v>
      </c>
      <c r="H2778" s="8"/>
      <c r="I2778" s="9" t="s">
        <v>12551</v>
      </c>
      <c r="J2778" s="10"/>
      <c r="K2778" s="11">
        <v>40</v>
      </c>
      <c r="L2778" s="10"/>
      <c r="M2778" s="10" t="s">
        <v>47</v>
      </c>
      <c r="N2778" s="10"/>
      <c r="O2778" s="2">
        <v>5</v>
      </c>
      <c r="P2778" s="17">
        <f>137*(1-S3/100)</f>
        <v>137</v>
      </c>
      <c r="Q2778" s="18"/>
      <c r="R2778" s="10">
        <f t="shared" si="122"/>
        <v>0</v>
      </c>
      <c r="S2778" s="19">
        <f>0.107*Q2778</f>
        <v>0</v>
      </c>
      <c r="T2778" s="20">
        <f>0.00018*Q2778</f>
        <v>0</v>
      </c>
      <c r="U2778" s="21"/>
      <c r="V2778" s="22" t="s">
        <v>12564</v>
      </c>
      <c r="W2778" s="22" t="s">
        <v>49</v>
      </c>
      <c r="X2778" s="3" t="s">
        <v>4754</v>
      </c>
      <c r="Y2778" s="3"/>
      <c r="Z2778" s="3" t="s">
        <v>52</v>
      </c>
      <c r="AA2778" s="3"/>
      <c r="AB2778" s="3"/>
      <c r="AC2778" s="3" t="str">
        <f>HYPERLINK("https://knigipp.ru/api/getInfo/image/307f52b6-03ae-11ee-a23b-00155d82e902")</f>
        <v>https://knigipp.ru/api/getInfo/image/307f52b6-03ae-11ee-a23b-00155d82e902</v>
      </c>
      <c r="AD2778" s="32">
        <v>10</v>
      </c>
      <c r="AE2778" s="3" t="s">
        <v>54</v>
      </c>
      <c r="AF2778" s="3" t="s">
        <v>209</v>
      </c>
      <c r="AG2778" s="3"/>
      <c r="AH2778" s="3" t="s">
        <v>56</v>
      </c>
      <c r="AI2778" s="3"/>
      <c r="AJ2778" s="3" t="s">
        <v>12335</v>
      </c>
      <c r="AK2778" s="3" t="str">
        <f>HYPERLINK("https://knigipp.ru/api/getInfo/item/307f52b6-03ae-11ee-a23b-00155d82e902")</f>
        <v>https://knigipp.ru/api/getInfo/item/307f52b6-03ae-11ee-a23b-00155d82e902</v>
      </c>
      <c r="AL2778" s="3" t="s">
        <v>11480</v>
      </c>
    </row>
    <row r="2779" spans="1:38" ht="21" customHeight="1" outlineLevel="4" x14ac:dyDescent="0.2">
      <c r="A2779" s="39">
        <v>2184</v>
      </c>
      <c r="B2779" s="3" t="s">
        <v>12565</v>
      </c>
      <c r="C2779" s="49" t="s">
        <v>12566</v>
      </c>
      <c r="D2779" s="49"/>
      <c r="E2779" s="49"/>
      <c r="F2779" s="49"/>
      <c r="G2779" s="4" t="s">
        <v>12567</v>
      </c>
      <c r="H2779" s="8"/>
      <c r="I2779" s="9" t="s">
        <v>12551</v>
      </c>
      <c r="J2779" s="10"/>
      <c r="K2779" s="11">
        <v>40</v>
      </c>
      <c r="L2779" s="10"/>
      <c r="M2779" s="10" t="s">
        <v>47</v>
      </c>
      <c r="N2779" s="10"/>
      <c r="O2779" s="2">
        <v>5</v>
      </c>
      <c r="P2779" s="17">
        <f>137*(1-S3/100)</f>
        <v>137</v>
      </c>
      <c r="Q2779" s="18"/>
      <c r="R2779" s="10">
        <f t="shared" si="122"/>
        <v>0</v>
      </c>
      <c r="S2779" s="19">
        <f>0.109*Q2779</f>
        <v>0</v>
      </c>
      <c r="T2779" s="20">
        <f>0.00018*Q2779</f>
        <v>0</v>
      </c>
      <c r="U2779" s="21"/>
      <c r="V2779" s="22" t="s">
        <v>12568</v>
      </c>
      <c r="W2779" s="22" t="s">
        <v>49</v>
      </c>
      <c r="X2779" s="3" t="s">
        <v>4754</v>
      </c>
      <c r="Y2779" s="3"/>
      <c r="Z2779" s="3" t="s">
        <v>52</v>
      </c>
      <c r="AA2779" s="3"/>
      <c r="AB2779" s="3"/>
      <c r="AC2779" s="3" t="str">
        <f>HYPERLINK("https://knigipp.ru/api/getInfo/image/7704e8cd-03ac-11ee-a23b-00155d82e902")</f>
        <v>https://knigipp.ru/api/getInfo/image/7704e8cd-03ac-11ee-a23b-00155d82e902</v>
      </c>
      <c r="AD2779" s="32">
        <v>10</v>
      </c>
      <c r="AE2779" s="3" t="s">
        <v>54</v>
      </c>
      <c r="AF2779" s="3" t="s">
        <v>209</v>
      </c>
      <c r="AG2779" s="3"/>
      <c r="AH2779" s="3" t="s">
        <v>56</v>
      </c>
      <c r="AI2779" s="3"/>
      <c r="AJ2779" s="3" t="s">
        <v>12335</v>
      </c>
      <c r="AK2779" s="3" t="str">
        <f>HYPERLINK("https://knigipp.ru/api/getInfo/item/7704e8cd-03ac-11ee-a23b-00155d82e902")</f>
        <v>https://knigipp.ru/api/getInfo/item/7704e8cd-03ac-11ee-a23b-00155d82e902</v>
      </c>
      <c r="AL2779" s="3" t="s">
        <v>11480</v>
      </c>
    </row>
    <row r="2780" spans="1:38" ht="21" customHeight="1" outlineLevel="4" x14ac:dyDescent="0.2">
      <c r="A2780" s="39">
        <v>2185</v>
      </c>
      <c r="B2780" s="3" t="s">
        <v>12569</v>
      </c>
      <c r="C2780" s="49" t="s">
        <v>12570</v>
      </c>
      <c r="D2780" s="49"/>
      <c r="E2780" s="49"/>
      <c r="F2780" s="49"/>
      <c r="G2780" s="4" t="s">
        <v>12571</v>
      </c>
      <c r="H2780" s="8"/>
      <c r="I2780" s="9"/>
      <c r="J2780" s="10"/>
      <c r="K2780" s="11">
        <v>40</v>
      </c>
      <c r="L2780" s="10"/>
      <c r="M2780" s="10" t="s">
        <v>47</v>
      </c>
      <c r="N2780" s="10"/>
      <c r="O2780" s="2">
        <v>5</v>
      </c>
      <c r="P2780" s="17">
        <f>137*(1-S3/100)</f>
        <v>137</v>
      </c>
      <c r="Q2780" s="18"/>
      <c r="R2780" s="10">
        <f t="shared" si="122"/>
        <v>0</v>
      </c>
      <c r="S2780" s="19">
        <f>0.043*Q2780</f>
        <v>0</v>
      </c>
      <c r="T2780" s="20">
        <f>0.00009*Q2780</f>
        <v>0</v>
      </c>
      <c r="U2780" s="21"/>
      <c r="V2780" s="22" t="s">
        <v>12572</v>
      </c>
      <c r="W2780" s="22" t="s">
        <v>49</v>
      </c>
      <c r="X2780" s="3"/>
      <c r="Y2780" s="3" t="s">
        <v>12573</v>
      </c>
      <c r="Z2780" s="3" t="s">
        <v>52</v>
      </c>
      <c r="AA2780" s="3"/>
      <c r="AB2780" s="3"/>
      <c r="AC2780" s="3" t="str">
        <f>HYPERLINK("https://knigipp.ru/api/getInfo/image/c34e4c3e-74f3-11ef-a265-00155d82e908")</f>
        <v>https://knigipp.ru/api/getInfo/image/c34e4c3e-74f3-11ef-a265-00155d82e908</v>
      </c>
      <c r="AD2780" s="32">
        <v>10</v>
      </c>
      <c r="AE2780" s="3"/>
      <c r="AF2780" s="3" t="s">
        <v>209</v>
      </c>
      <c r="AG2780" s="3"/>
      <c r="AH2780" s="3" t="s">
        <v>56</v>
      </c>
      <c r="AI2780" s="3"/>
      <c r="AJ2780" s="3"/>
      <c r="AK2780" s="3" t="str">
        <f>HYPERLINK("https://knigipp.ru/api/getInfo/item/c34e4c3e-74f3-11ef-a265-00155d82e908")</f>
        <v>https://knigipp.ru/api/getInfo/item/c34e4c3e-74f3-11ef-a265-00155d82e908</v>
      </c>
      <c r="AL2780" s="3" t="s">
        <v>3341</v>
      </c>
    </row>
    <row r="2781" spans="1:38" ht="21" customHeight="1" outlineLevel="4" x14ac:dyDescent="0.2">
      <c r="A2781" s="39">
        <v>2186</v>
      </c>
      <c r="B2781" s="3" t="s">
        <v>12574</v>
      </c>
      <c r="C2781" s="49" t="s">
        <v>12575</v>
      </c>
      <c r="D2781" s="49"/>
      <c r="E2781" s="49"/>
      <c r="F2781" s="49"/>
      <c r="G2781" s="4" t="s">
        <v>12576</v>
      </c>
      <c r="H2781" s="8"/>
      <c r="I2781" s="9"/>
      <c r="J2781" s="10"/>
      <c r="K2781" s="11">
        <v>40</v>
      </c>
      <c r="L2781" s="10"/>
      <c r="M2781" s="10" t="s">
        <v>47</v>
      </c>
      <c r="N2781" s="10"/>
      <c r="O2781" s="2">
        <v>5</v>
      </c>
      <c r="P2781" s="17">
        <f>137*(1-S3/100)</f>
        <v>137</v>
      </c>
      <c r="Q2781" s="18"/>
      <c r="R2781" s="10">
        <f t="shared" si="122"/>
        <v>0</v>
      </c>
      <c r="S2781" s="19">
        <f>0.117*Q2781</f>
        <v>0</v>
      </c>
      <c r="T2781" s="20">
        <f>0.00015*Q2781</f>
        <v>0</v>
      </c>
      <c r="U2781" s="21"/>
      <c r="V2781" s="22" t="s">
        <v>12577</v>
      </c>
      <c r="W2781" s="22" t="s">
        <v>49</v>
      </c>
      <c r="X2781" s="3"/>
      <c r="Y2781" s="3" t="s">
        <v>12578</v>
      </c>
      <c r="Z2781" s="3" t="s">
        <v>52</v>
      </c>
      <c r="AA2781" s="3"/>
      <c r="AB2781" s="3"/>
      <c r="AC2781" s="3" t="str">
        <f>HYPERLINK("https://knigipp.ru/api/getInfo/image/a2b55e07-74f3-11ef-a265-00155d82e908")</f>
        <v>https://knigipp.ru/api/getInfo/image/a2b55e07-74f3-11ef-a265-00155d82e908</v>
      </c>
      <c r="AD2781" s="32">
        <v>10</v>
      </c>
      <c r="AE2781" s="3"/>
      <c r="AF2781" s="3" t="s">
        <v>209</v>
      </c>
      <c r="AG2781" s="3"/>
      <c r="AH2781" s="3" t="s">
        <v>56</v>
      </c>
      <c r="AI2781" s="3"/>
      <c r="AJ2781" s="3"/>
      <c r="AK2781" s="3" t="str">
        <f>HYPERLINK("https://knigipp.ru/api/getInfo/item/a2b55e07-74f3-11ef-a265-00155d82e908")</f>
        <v>https://knigipp.ru/api/getInfo/item/a2b55e07-74f3-11ef-a265-00155d82e908</v>
      </c>
      <c r="AL2781" s="3" t="s">
        <v>3341</v>
      </c>
    </row>
    <row r="2782" spans="1:38" ht="21" customHeight="1" outlineLevel="4" x14ac:dyDescent="0.2">
      <c r="A2782" s="39">
        <v>2187</v>
      </c>
      <c r="B2782" s="3" t="s">
        <v>12579</v>
      </c>
      <c r="C2782" s="49" t="s">
        <v>12580</v>
      </c>
      <c r="D2782" s="49"/>
      <c r="E2782" s="49"/>
      <c r="F2782" s="49"/>
      <c r="G2782" s="4" t="s">
        <v>12581</v>
      </c>
      <c r="H2782" s="8"/>
      <c r="I2782" s="9" t="s">
        <v>12401</v>
      </c>
      <c r="J2782" s="10"/>
      <c r="K2782" s="11">
        <v>40</v>
      </c>
      <c r="L2782" s="10"/>
      <c r="M2782" s="10" t="s">
        <v>47</v>
      </c>
      <c r="N2782" s="10"/>
      <c r="O2782" s="2">
        <v>5</v>
      </c>
      <c r="P2782" s="17">
        <f>137*(1-S3/100)</f>
        <v>137</v>
      </c>
      <c r="Q2782" s="18"/>
      <c r="R2782" s="10">
        <f t="shared" si="122"/>
        <v>0</v>
      </c>
      <c r="S2782" s="19">
        <f>0.115*Q2782</f>
        <v>0</v>
      </c>
      <c r="T2782" s="20">
        <f>0.00037*Q2782</f>
        <v>0</v>
      </c>
      <c r="U2782" s="21"/>
      <c r="V2782" s="22" t="s">
        <v>12582</v>
      </c>
      <c r="W2782" s="22" t="s">
        <v>49</v>
      </c>
      <c r="X2782" s="3"/>
      <c r="Y2782" s="3"/>
      <c r="Z2782" s="3" t="s">
        <v>52</v>
      </c>
      <c r="AA2782" s="3"/>
      <c r="AB2782" s="3"/>
      <c r="AC2782" s="3" t="str">
        <f>HYPERLINK("https://knigipp.ru/api/getInfo/image/b04073e7-99d7-11ea-a248-ac1f6b442184")</f>
        <v>https://knigipp.ru/api/getInfo/image/b04073e7-99d7-11ea-a248-ac1f6b442184</v>
      </c>
      <c r="AD2782" s="32">
        <v>10</v>
      </c>
      <c r="AE2782" s="3"/>
      <c r="AF2782" s="3" t="s">
        <v>209</v>
      </c>
      <c r="AG2782" s="3"/>
      <c r="AH2782" s="3" t="s">
        <v>56</v>
      </c>
      <c r="AI2782" s="3"/>
      <c r="AJ2782" s="3" t="s">
        <v>12335</v>
      </c>
      <c r="AK2782" s="3" t="str">
        <f>HYPERLINK("https://knigipp.ru/api/getInfo/item/b04073e7-99d7-11ea-a248-ac1f6b442184")</f>
        <v>https://knigipp.ru/api/getInfo/item/b04073e7-99d7-11ea-a248-ac1f6b442184</v>
      </c>
      <c r="AL2782" s="3" t="s">
        <v>11480</v>
      </c>
    </row>
    <row r="2783" spans="1:38" ht="21" customHeight="1" outlineLevel="4" x14ac:dyDescent="0.2">
      <c r="A2783" s="39">
        <v>2188</v>
      </c>
      <c r="B2783" s="3" t="s">
        <v>12583</v>
      </c>
      <c r="C2783" s="49" t="s">
        <v>12584</v>
      </c>
      <c r="D2783" s="49"/>
      <c r="E2783" s="49"/>
      <c r="F2783" s="49"/>
      <c r="G2783" s="4" t="s">
        <v>12585</v>
      </c>
      <c r="H2783" s="8"/>
      <c r="I2783" s="9" t="s">
        <v>12344</v>
      </c>
      <c r="J2783" s="10"/>
      <c r="K2783" s="11">
        <v>40</v>
      </c>
      <c r="L2783" s="10"/>
      <c r="M2783" s="10" t="s">
        <v>47</v>
      </c>
      <c r="N2783" s="10"/>
      <c r="O2783" s="2">
        <v>5</v>
      </c>
      <c r="P2783" s="17">
        <f>137*(1-S3/100)</f>
        <v>137</v>
      </c>
      <c r="Q2783" s="18"/>
      <c r="R2783" s="10">
        <f t="shared" si="122"/>
        <v>0</v>
      </c>
      <c r="S2783" s="19">
        <f>0.109*Q2783</f>
        <v>0</v>
      </c>
      <c r="T2783" s="20">
        <f>0.00018*Q2783</f>
        <v>0</v>
      </c>
      <c r="U2783" s="21"/>
      <c r="V2783" s="22" t="s">
        <v>12586</v>
      </c>
      <c r="W2783" s="22" t="s">
        <v>49</v>
      </c>
      <c r="X2783" s="3" t="s">
        <v>117</v>
      </c>
      <c r="Y2783" s="3" t="s">
        <v>12587</v>
      </c>
      <c r="Z2783" s="3" t="s">
        <v>52</v>
      </c>
      <c r="AA2783" s="3"/>
      <c r="AB2783" s="3"/>
      <c r="AC2783" s="3" t="str">
        <f>HYPERLINK("https://knigipp.ru/api/getInfo/image/091d60a6-354f-11ef-a261-00155d82e908")</f>
        <v>https://knigipp.ru/api/getInfo/image/091d60a6-354f-11ef-a261-00155d82e908</v>
      </c>
      <c r="AD2783" s="32">
        <v>10</v>
      </c>
      <c r="AE2783" s="3" t="s">
        <v>54</v>
      </c>
      <c r="AF2783" s="3" t="s">
        <v>209</v>
      </c>
      <c r="AG2783" s="3"/>
      <c r="AH2783" s="3" t="s">
        <v>56</v>
      </c>
      <c r="AI2783" s="3"/>
      <c r="AJ2783" s="3" t="s">
        <v>12335</v>
      </c>
      <c r="AK2783" s="3" t="str">
        <f>HYPERLINK("https://knigipp.ru/api/getInfo/item/091d60a6-354f-11ef-a261-00155d82e908")</f>
        <v>https://knigipp.ru/api/getInfo/item/091d60a6-354f-11ef-a261-00155d82e908</v>
      </c>
      <c r="AL2783" s="3" t="s">
        <v>11480</v>
      </c>
    </row>
    <row r="2784" spans="1:38" ht="21" customHeight="1" outlineLevel="4" x14ac:dyDescent="0.2">
      <c r="A2784" s="39">
        <v>2189</v>
      </c>
      <c r="B2784" s="3" t="s">
        <v>12588</v>
      </c>
      <c r="C2784" s="49" t="s">
        <v>12589</v>
      </c>
      <c r="D2784" s="49"/>
      <c r="E2784" s="49"/>
      <c r="F2784" s="49"/>
      <c r="G2784" s="4" t="s">
        <v>12590</v>
      </c>
      <c r="H2784" s="8"/>
      <c r="I2784" s="9" t="s">
        <v>12591</v>
      </c>
      <c r="J2784" s="10"/>
      <c r="K2784" s="11">
        <v>40</v>
      </c>
      <c r="L2784" s="10"/>
      <c r="M2784" s="10" t="s">
        <v>47</v>
      </c>
      <c r="N2784" s="10"/>
      <c r="O2784" s="2">
        <v>5</v>
      </c>
      <c r="P2784" s="17">
        <f>137*(1-S3/100)</f>
        <v>137</v>
      </c>
      <c r="Q2784" s="18"/>
      <c r="R2784" s="10">
        <f t="shared" si="122"/>
        <v>0</v>
      </c>
      <c r="S2784" s="19">
        <f>0.109*Q2784</f>
        <v>0</v>
      </c>
      <c r="T2784" s="30">
        <f>0.0003*Q2784</f>
        <v>0</v>
      </c>
      <c r="U2784" s="21"/>
      <c r="V2784" s="22" t="s">
        <v>12592</v>
      </c>
      <c r="W2784" s="22" t="s">
        <v>49</v>
      </c>
      <c r="X2784" s="3"/>
      <c r="Y2784" s="3" t="s">
        <v>12593</v>
      </c>
      <c r="Z2784" s="3" t="s">
        <v>52</v>
      </c>
      <c r="AA2784" s="3"/>
      <c r="AB2784" s="3"/>
      <c r="AC2784" s="3" t="str">
        <f>HYPERLINK("https://knigipp.ru/api/getInfo/image/d1fa3f5b-48eb-11ef-a262-00155d82e908")</f>
        <v>https://knigipp.ru/api/getInfo/image/d1fa3f5b-48eb-11ef-a262-00155d82e908</v>
      </c>
      <c r="AD2784" s="32">
        <v>10</v>
      </c>
      <c r="AE2784" s="3" t="s">
        <v>54</v>
      </c>
      <c r="AF2784" s="3" t="s">
        <v>209</v>
      </c>
      <c r="AG2784" s="3"/>
      <c r="AH2784" s="3" t="s">
        <v>56</v>
      </c>
      <c r="AI2784" s="3"/>
      <c r="AJ2784" s="3" t="s">
        <v>12335</v>
      </c>
      <c r="AK2784" s="3" t="str">
        <f>HYPERLINK("https://knigipp.ru/api/getInfo/item/d1fa3f5b-48eb-11ef-a262-00155d82e908")</f>
        <v>https://knigipp.ru/api/getInfo/item/d1fa3f5b-48eb-11ef-a262-00155d82e908</v>
      </c>
      <c r="AL2784" s="3" t="s">
        <v>11480</v>
      </c>
    </row>
    <row r="2785" spans="1:38" ht="21" customHeight="1" outlineLevel="4" x14ac:dyDescent="0.2">
      <c r="A2785" s="39">
        <v>2190</v>
      </c>
      <c r="B2785" s="3" t="s">
        <v>12594</v>
      </c>
      <c r="C2785" s="49" t="s">
        <v>12595</v>
      </c>
      <c r="D2785" s="49"/>
      <c r="E2785" s="49"/>
      <c r="F2785" s="49"/>
      <c r="G2785" s="4" t="s">
        <v>12596</v>
      </c>
      <c r="H2785" s="8"/>
      <c r="I2785" s="9" t="s">
        <v>12591</v>
      </c>
      <c r="J2785" s="10"/>
      <c r="K2785" s="11">
        <v>40</v>
      </c>
      <c r="L2785" s="10"/>
      <c r="M2785" s="10" t="s">
        <v>47</v>
      </c>
      <c r="N2785" s="10"/>
      <c r="O2785" s="2">
        <v>5</v>
      </c>
      <c r="P2785" s="17">
        <f>137*(1-S3/100)</f>
        <v>137</v>
      </c>
      <c r="Q2785" s="18"/>
      <c r="R2785" s="10">
        <f t="shared" si="122"/>
        <v>0</v>
      </c>
      <c r="S2785" s="19">
        <f>0.112*Q2785</f>
        <v>0</v>
      </c>
      <c r="T2785" s="20">
        <f>0.00015*Q2785</f>
        <v>0</v>
      </c>
      <c r="U2785" s="21"/>
      <c r="V2785" s="22" t="s">
        <v>12597</v>
      </c>
      <c r="W2785" s="22" t="s">
        <v>49</v>
      </c>
      <c r="X2785" s="3"/>
      <c r="Y2785" s="3" t="s">
        <v>12598</v>
      </c>
      <c r="Z2785" s="3" t="s">
        <v>52</v>
      </c>
      <c r="AA2785" s="3"/>
      <c r="AB2785" s="3"/>
      <c r="AC2785" s="3" t="str">
        <f>HYPERLINK("https://knigipp.ru/api/getInfo/image/fcb50919-48eb-11ef-a262-00155d82e908")</f>
        <v>https://knigipp.ru/api/getInfo/image/fcb50919-48eb-11ef-a262-00155d82e908</v>
      </c>
      <c r="AD2785" s="32">
        <v>10</v>
      </c>
      <c r="AE2785" s="3" t="s">
        <v>54</v>
      </c>
      <c r="AF2785" s="3" t="s">
        <v>209</v>
      </c>
      <c r="AG2785" s="3"/>
      <c r="AH2785" s="3" t="s">
        <v>56</v>
      </c>
      <c r="AI2785" s="3"/>
      <c r="AJ2785" s="3" t="s">
        <v>12335</v>
      </c>
      <c r="AK2785" s="3" t="str">
        <f>HYPERLINK("https://knigipp.ru/api/getInfo/item/fcb50919-48eb-11ef-a262-00155d82e908")</f>
        <v>https://knigipp.ru/api/getInfo/item/fcb50919-48eb-11ef-a262-00155d82e908</v>
      </c>
      <c r="AL2785" s="3" t="s">
        <v>11480</v>
      </c>
    </row>
    <row r="2786" spans="1:38" ht="21" customHeight="1" outlineLevel="4" x14ac:dyDescent="0.2">
      <c r="A2786" s="39">
        <v>2191</v>
      </c>
      <c r="B2786" s="3" t="s">
        <v>12599</v>
      </c>
      <c r="C2786" s="49" t="s">
        <v>12600</v>
      </c>
      <c r="D2786" s="49"/>
      <c r="E2786" s="49"/>
      <c r="F2786" s="49"/>
      <c r="G2786" s="4" t="s">
        <v>12601</v>
      </c>
      <c r="H2786" s="8"/>
      <c r="I2786" s="9" t="s">
        <v>12401</v>
      </c>
      <c r="J2786" s="10"/>
      <c r="K2786" s="11">
        <v>40</v>
      </c>
      <c r="L2786" s="10"/>
      <c r="M2786" s="10" t="s">
        <v>47</v>
      </c>
      <c r="N2786" s="10"/>
      <c r="O2786" s="2">
        <v>5</v>
      </c>
      <c r="P2786" s="17">
        <f>137*(1-S3/100)</f>
        <v>137</v>
      </c>
      <c r="Q2786" s="18"/>
      <c r="R2786" s="10">
        <f t="shared" si="122"/>
        <v>0</v>
      </c>
      <c r="S2786" s="19">
        <f>0.113*Q2786</f>
        <v>0</v>
      </c>
      <c r="T2786" s="20">
        <f>0.00037*Q2786</f>
        <v>0</v>
      </c>
      <c r="U2786" s="21"/>
      <c r="V2786" s="22" t="s">
        <v>12602</v>
      </c>
      <c r="W2786" s="22" t="s">
        <v>49</v>
      </c>
      <c r="X2786" s="3"/>
      <c r="Y2786" s="3"/>
      <c r="Z2786" s="3" t="s">
        <v>52</v>
      </c>
      <c r="AA2786" s="3"/>
      <c r="AB2786" s="3"/>
      <c r="AC2786" s="3" t="str">
        <f>HYPERLINK("https://knigipp.ru/api/getInfo/image/69b8eb0a-9df1-11eb-a201-ac1f6b442185")</f>
        <v>https://knigipp.ru/api/getInfo/image/69b8eb0a-9df1-11eb-a201-ac1f6b442185</v>
      </c>
      <c r="AD2786" s="32">
        <v>10</v>
      </c>
      <c r="AE2786" s="3"/>
      <c r="AF2786" s="3" t="s">
        <v>209</v>
      </c>
      <c r="AG2786" s="3"/>
      <c r="AH2786" s="3" t="s">
        <v>56</v>
      </c>
      <c r="AI2786" s="3"/>
      <c r="AJ2786" s="3" t="s">
        <v>12335</v>
      </c>
      <c r="AK2786" s="3" t="str">
        <f>HYPERLINK("https://knigipp.ru/api/getInfo/item/69b8eb0a-9df1-11eb-a201-ac1f6b442185")</f>
        <v>https://knigipp.ru/api/getInfo/item/69b8eb0a-9df1-11eb-a201-ac1f6b442185</v>
      </c>
      <c r="AL2786" s="3" t="s">
        <v>11480</v>
      </c>
    </row>
    <row r="2787" spans="1:38" ht="21" customHeight="1" outlineLevel="4" x14ac:dyDescent="0.2">
      <c r="A2787" s="39">
        <v>2192</v>
      </c>
      <c r="B2787" s="3" t="s">
        <v>12603</v>
      </c>
      <c r="C2787" s="49" t="s">
        <v>12604</v>
      </c>
      <c r="D2787" s="49"/>
      <c r="E2787" s="49"/>
      <c r="F2787" s="49"/>
      <c r="G2787" s="4" t="s">
        <v>12605</v>
      </c>
      <c r="H2787" s="8"/>
      <c r="I2787" s="9"/>
      <c r="J2787" s="10"/>
      <c r="K2787" s="11">
        <v>40</v>
      </c>
      <c r="L2787" s="10"/>
      <c r="M2787" s="10" t="s">
        <v>47</v>
      </c>
      <c r="N2787" s="10"/>
      <c r="O2787" s="2">
        <v>5</v>
      </c>
      <c r="P2787" s="17">
        <f>137*(1-S3/100)</f>
        <v>137</v>
      </c>
      <c r="Q2787" s="18"/>
      <c r="R2787" s="10">
        <f t="shared" si="122"/>
        <v>0</v>
      </c>
      <c r="S2787" s="19">
        <f>0.118*Q2787</f>
        <v>0</v>
      </c>
      <c r="T2787" s="20">
        <f>0.00015*Q2787</f>
        <v>0</v>
      </c>
      <c r="U2787" s="21"/>
      <c r="V2787" s="22" t="s">
        <v>12606</v>
      </c>
      <c r="W2787" s="22" t="s">
        <v>49</v>
      </c>
      <c r="X2787" s="3"/>
      <c r="Y2787" s="3" t="s">
        <v>12607</v>
      </c>
      <c r="Z2787" s="3" t="s">
        <v>52</v>
      </c>
      <c r="AA2787" s="3"/>
      <c r="AB2787" s="3"/>
      <c r="AC2787" s="3" t="str">
        <f>HYPERLINK("https://knigipp.ru/api/getInfo/image/7fe8ebe6-74f4-11ef-a265-00155d82e908")</f>
        <v>https://knigipp.ru/api/getInfo/image/7fe8ebe6-74f4-11ef-a265-00155d82e908</v>
      </c>
      <c r="AD2787" s="32">
        <v>10</v>
      </c>
      <c r="AE2787" s="3"/>
      <c r="AF2787" s="3" t="s">
        <v>209</v>
      </c>
      <c r="AG2787" s="3"/>
      <c r="AH2787" s="3" t="s">
        <v>56</v>
      </c>
      <c r="AI2787" s="3"/>
      <c r="AJ2787" s="3"/>
      <c r="AK2787" s="3" t="str">
        <f>HYPERLINK("https://knigipp.ru/api/getInfo/item/7fe8ebe6-74f4-11ef-a265-00155d82e908")</f>
        <v>https://knigipp.ru/api/getInfo/item/7fe8ebe6-74f4-11ef-a265-00155d82e908</v>
      </c>
      <c r="AL2787" s="3" t="s">
        <v>3341</v>
      </c>
    </row>
    <row r="2788" spans="1:38" ht="21" customHeight="1" outlineLevel="4" x14ac:dyDescent="0.2">
      <c r="A2788" s="39">
        <v>2193</v>
      </c>
      <c r="B2788" s="3" t="s">
        <v>12608</v>
      </c>
      <c r="C2788" s="49" t="s">
        <v>12609</v>
      </c>
      <c r="D2788" s="49"/>
      <c r="E2788" s="49"/>
      <c r="F2788" s="49"/>
      <c r="G2788" s="4" t="s">
        <v>12610</v>
      </c>
      <c r="H2788" s="8"/>
      <c r="I2788" s="9" t="s">
        <v>12401</v>
      </c>
      <c r="J2788" s="10"/>
      <c r="K2788" s="11">
        <v>40</v>
      </c>
      <c r="L2788" s="10"/>
      <c r="M2788" s="10" t="s">
        <v>47</v>
      </c>
      <c r="N2788" s="10"/>
      <c r="O2788" s="2">
        <v>5</v>
      </c>
      <c r="P2788" s="17">
        <f>137*(1-S3/100)</f>
        <v>137</v>
      </c>
      <c r="Q2788" s="18"/>
      <c r="R2788" s="10">
        <f t="shared" si="122"/>
        <v>0</v>
      </c>
      <c r="S2788" s="28">
        <f>0.11*Q2788</f>
        <v>0</v>
      </c>
      <c r="T2788" s="20">
        <f>0.00026*Q2788</f>
        <v>0</v>
      </c>
      <c r="U2788" s="21"/>
      <c r="V2788" s="22" t="s">
        <v>12611</v>
      </c>
      <c r="W2788" s="22" t="s">
        <v>49</v>
      </c>
      <c r="X2788" s="3"/>
      <c r="Y2788" s="3"/>
      <c r="Z2788" s="3" t="s">
        <v>52</v>
      </c>
      <c r="AA2788" s="3"/>
      <c r="AB2788" s="3"/>
      <c r="AC2788" s="3" t="str">
        <f>HYPERLINK("https://knigipp.ru/api/getInfo/image/db340343-9def-11eb-a201-ac1f6b442185")</f>
        <v>https://knigipp.ru/api/getInfo/image/db340343-9def-11eb-a201-ac1f6b442185</v>
      </c>
      <c r="AD2788" s="32">
        <v>10</v>
      </c>
      <c r="AE2788" s="3"/>
      <c r="AF2788" s="3" t="s">
        <v>209</v>
      </c>
      <c r="AG2788" s="3"/>
      <c r="AH2788" s="3" t="s">
        <v>56</v>
      </c>
      <c r="AI2788" s="3"/>
      <c r="AJ2788" s="3" t="s">
        <v>12335</v>
      </c>
      <c r="AK2788" s="3" t="str">
        <f>HYPERLINK("https://knigipp.ru/api/getInfo/item/db340343-9def-11eb-a201-ac1f6b442185")</f>
        <v>https://knigipp.ru/api/getInfo/item/db340343-9def-11eb-a201-ac1f6b442185</v>
      </c>
      <c r="AL2788" s="3" t="s">
        <v>11480</v>
      </c>
    </row>
    <row r="2789" spans="1:38" ht="21" customHeight="1" outlineLevel="4" x14ac:dyDescent="0.2">
      <c r="A2789" s="39">
        <v>2194</v>
      </c>
      <c r="B2789" s="3" t="s">
        <v>12612</v>
      </c>
      <c r="C2789" s="49" t="s">
        <v>12613</v>
      </c>
      <c r="D2789" s="49"/>
      <c r="E2789" s="49"/>
      <c r="F2789" s="49"/>
      <c r="G2789" s="4" t="s">
        <v>12614</v>
      </c>
      <c r="H2789" s="8"/>
      <c r="I2789" s="9" t="s">
        <v>12401</v>
      </c>
      <c r="J2789" s="10"/>
      <c r="K2789" s="11">
        <v>40</v>
      </c>
      <c r="L2789" s="10"/>
      <c r="M2789" s="10" t="s">
        <v>47</v>
      </c>
      <c r="N2789" s="10"/>
      <c r="O2789" s="2">
        <v>5</v>
      </c>
      <c r="P2789" s="17">
        <f>137*(1-S3/100)</f>
        <v>137</v>
      </c>
      <c r="Q2789" s="18"/>
      <c r="R2789" s="10">
        <f t="shared" si="122"/>
        <v>0</v>
      </c>
      <c r="S2789" s="28">
        <f>0.11*Q2789</f>
        <v>0</v>
      </c>
      <c r="T2789" s="20">
        <f>0.00022*Q2789</f>
        <v>0</v>
      </c>
      <c r="U2789" s="21"/>
      <c r="V2789" s="22" t="s">
        <v>12615</v>
      </c>
      <c r="W2789" s="22" t="s">
        <v>49</v>
      </c>
      <c r="X2789" s="3" t="s">
        <v>281</v>
      </c>
      <c r="Y2789" s="3"/>
      <c r="Z2789" s="3" t="s">
        <v>52</v>
      </c>
      <c r="AA2789" s="3"/>
      <c r="AB2789" s="3"/>
      <c r="AC2789" s="3" t="str">
        <f>HYPERLINK("https://knigipp.ru/api/getInfo/image/04c5dc2b-da75-11eb-a209-ac1f6b442185")</f>
        <v>https://knigipp.ru/api/getInfo/image/04c5dc2b-da75-11eb-a209-ac1f6b442185</v>
      </c>
      <c r="AD2789" s="32">
        <v>10</v>
      </c>
      <c r="AE2789" s="3"/>
      <c r="AF2789" s="3" t="s">
        <v>209</v>
      </c>
      <c r="AG2789" s="3"/>
      <c r="AH2789" s="3" t="s">
        <v>56</v>
      </c>
      <c r="AI2789" s="3"/>
      <c r="AJ2789" s="3" t="s">
        <v>12335</v>
      </c>
      <c r="AK2789" s="3" t="str">
        <f>HYPERLINK("https://knigipp.ru/api/getInfo/item/04c5dc2b-da75-11eb-a209-ac1f6b442185")</f>
        <v>https://knigipp.ru/api/getInfo/item/04c5dc2b-da75-11eb-a209-ac1f6b442185</v>
      </c>
      <c r="AL2789" s="3" t="s">
        <v>11480</v>
      </c>
    </row>
    <row r="2790" spans="1:38" ht="21" customHeight="1" outlineLevel="4" x14ac:dyDescent="0.2">
      <c r="A2790" s="39">
        <v>2195</v>
      </c>
      <c r="B2790" s="3" t="s">
        <v>12616</v>
      </c>
      <c r="C2790" s="49" t="s">
        <v>12617</v>
      </c>
      <c r="D2790" s="49"/>
      <c r="E2790" s="49"/>
      <c r="F2790" s="49"/>
      <c r="G2790" s="4" t="s">
        <v>12618</v>
      </c>
      <c r="H2790" s="8"/>
      <c r="I2790" s="9" t="s">
        <v>12510</v>
      </c>
      <c r="J2790" s="10"/>
      <c r="K2790" s="11">
        <v>40</v>
      </c>
      <c r="L2790" s="10"/>
      <c r="M2790" s="10" t="s">
        <v>47</v>
      </c>
      <c r="N2790" s="10"/>
      <c r="O2790" s="2">
        <v>5</v>
      </c>
      <c r="P2790" s="17">
        <f>137*(1-S3/100)</f>
        <v>137</v>
      </c>
      <c r="Q2790" s="18"/>
      <c r="R2790" s="10">
        <f t="shared" si="122"/>
        <v>0</v>
      </c>
      <c r="S2790" s="19">
        <f>0.109*Q2790</f>
        <v>0</v>
      </c>
      <c r="T2790" s="20">
        <f>0.00026*Q2790</f>
        <v>0</v>
      </c>
      <c r="U2790" s="21"/>
      <c r="V2790" s="22" t="s">
        <v>12619</v>
      </c>
      <c r="W2790" s="22" t="s">
        <v>49</v>
      </c>
      <c r="X2790" s="3" t="s">
        <v>207</v>
      </c>
      <c r="Y2790" s="3" t="s">
        <v>12620</v>
      </c>
      <c r="Z2790" s="3" t="s">
        <v>52</v>
      </c>
      <c r="AA2790" s="3"/>
      <c r="AB2790" s="3"/>
      <c r="AC2790" s="3" t="str">
        <f>HYPERLINK("https://knigipp.ru/api/getInfo/image/5ccc7087-1d96-11ef-a25e-00155d82e908")</f>
        <v>https://knigipp.ru/api/getInfo/image/5ccc7087-1d96-11ef-a25e-00155d82e908</v>
      </c>
      <c r="AD2790" s="32">
        <v>10</v>
      </c>
      <c r="AE2790" s="3" t="s">
        <v>54</v>
      </c>
      <c r="AF2790" s="3" t="s">
        <v>209</v>
      </c>
      <c r="AG2790" s="3"/>
      <c r="AH2790" s="3" t="s">
        <v>56</v>
      </c>
      <c r="AI2790" s="3"/>
      <c r="AJ2790" s="3" t="s">
        <v>12335</v>
      </c>
      <c r="AK2790" s="3" t="str">
        <f>HYPERLINK("https://knigipp.ru/api/getInfo/item/5ccc7087-1d96-11ef-a25e-00155d82e908")</f>
        <v>https://knigipp.ru/api/getInfo/item/5ccc7087-1d96-11ef-a25e-00155d82e908</v>
      </c>
      <c r="AL2790" s="3" t="s">
        <v>11480</v>
      </c>
    </row>
    <row r="2791" spans="1:38" ht="21" customHeight="1" outlineLevel="4" x14ac:dyDescent="0.2">
      <c r="A2791" s="39">
        <v>2196</v>
      </c>
      <c r="B2791" s="3" t="s">
        <v>12621</v>
      </c>
      <c r="C2791" s="49" t="s">
        <v>12622</v>
      </c>
      <c r="D2791" s="49"/>
      <c r="E2791" s="49"/>
      <c r="F2791" s="49"/>
      <c r="G2791" s="4" t="s">
        <v>12623</v>
      </c>
      <c r="H2791" s="8"/>
      <c r="I2791" s="9" t="s">
        <v>12401</v>
      </c>
      <c r="J2791" s="10"/>
      <c r="K2791" s="11">
        <v>40</v>
      </c>
      <c r="L2791" s="10"/>
      <c r="M2791" s="10" t="s">
        <v>47</v>
      </c>
      <c r="N2791" s="10"/>
      <c r="O2791" s="2">
        <v>5</v>
      </c>
      <c r="P2791" s="17">
        <f>137*(1-S3/100)</f>
        <v>137</v>
      </c>
      <c r="Q2791" s="18"/>
      <c r="R2791" s="10">
        <f t="shared" si="122"/>
        <v>0</v>
      </c>
      <c r="S2791" s="19">
        <f>0.144*Q2791</f>
        <v>0</v>
      </c>
      <c r="T2791" s="20">
        <f>0.00021*Q2791</f>
        <v>0</v>
      </c>
      <c r="U2791" s="21"/>
      <c r="V2791" s="22" t="s">
        <v>12624</v>
      </c>
      <c r="W2791" s="22" t="s">
        <v>49</v>
      </c>
      <c r="X2791" s="3"/>
      <c r="Y2791" s="3"/>
      <c r="Z2791" s="3" t="s">
        <v>52</v>
      </c>
      <c r="AA2791" s="3"/>
      <c r="AB2791" s="3"/>
      <c r="AC2791" s="3" t="str">
        <f>HYPERLINK("https://knigipp.ru/api/getInfo/image/c4d381a2-0313-11eb-a255-ac1f6b442184")</f>
        <v>https://knigipp.ru/api/getInfo/image/c4d381a2-0313-11eb-a255-ac1f6b442184</v>
      </c>
      <c r="AD2791" s="32">
        <v>10</v>
      </c>
      <c r="AE2791" s="3"/>
      <c r="AF2791" s="3" t="s">
        <v>209</v>
      </c>
      <c r="AG2791" s="3"/>
      <c r="AH2791" s="3" t="s">
        <v>56</v>
      </c>
      <c r="AI2791" s="3"/>
      <c r="AJ2791" s="3" t="s">
        <v>12335</v>
      </c>
      <c r="AK2791" s="3" t="str">
        <f>HYPERLINK("https://knigipp.ru/api/getInfo/item/c4d381a2-0313-11eb-a255-ac1f6b442184")</f>
        <v>https://knigipp.ru/api/getInfo/item/c4d381a2-0313-11eb-a255-ac1f6b442184</v>
      </c>
      <c r="AL2791" s="3" t="s">
        <v>11480</v>
      </c>
    </row>
    <row r="2792" spans="1:38" ht="21" customHeight="1" outlineLevel="4" x14ac:dyDescent="0.2">
      <c r="A2792" s="39">
        <v>2197</v>
      </c>
      <c r="B2792" s="3" t="s">
        <v>12625</v>
      </c>
      <c r="C2792" s="49" t="s">
        <v>12626</v>
      </c>
      <c r="D2792" s="49"/>
      <c r="E2792" s="49"/>
      <c r="F2792" s="49"/>
      <c r="G2792" s="4" t="s">
        <v>12627</v>
      </c>
      <c r="H2792" s="8"/>
      <c r="I2792" s="9"/>
      <c r="J2792" s="10"/>
      <c r="K2792" s="11">
        <v>40</v>
      </c>
      <c r="L2792" s="10"/>
      <c r="M2792" s="10" t="s">
        <v>47</v>
      </c>
      <c r="N2792" s="10"/>
      <c r="O2792" s="2">
        <v>5</v>
      </c>
      <c r="P2792" s="17">
        <f>137*(1-S3/100)</f>
        <v>137</v>
      </c>
      <c r="Q2792" s="18"/>
      <c r="R2792" s="10">
        <f t="shared" si="122"/>
        <v>0</v>
      </c>
      <c r="S2792" s="19">
        <f>0.112*Q2792</f>
        <v>0</v>
      </c>
      <c r="T2792" s="20">
        <f>0.00011*Q2792</f>
        <v>0</v>
      </c>
      <c r="U2792" s="21"/>
      <c r="V2792" s="22" t="s">
        <v>12628</v>
      </c>
      <c r="W2792" s="22" t="s">
        <v>49</v>
      </c>
      <c r="X2792" s="3"/>
      <c r="Y2792" s="3" t="s">
        <v>12629</v>
      </c>
      <c r="Z2792" s="3" t="s">
        <v>52</v>
      </c>
      <c r="AA2792" s="3"/>
      <c r="AB2792" s="3"/>
      <c r="AC2792" s="3" t="str">
        <f>HYPERLINK("https://knigipp.ru/api/getInfo/image/7bb7152b-74f5-11ef-a265-00155d82e908")</f>
        <v>https://knigipp.ru/api/getInfo/image/7bb7152b-74f5-11ef-a265-00155d82e908</v>
      </c>
      <c r="AD2792" s="32">
        <v>10</v>
      </c>
      <c r="AE2792" s="3"/>
      <c r="AF2792" s="3" t="s">
        <v>209</v>
      </c>
      <c r="AG2792" s="3"/>
      <c r="AH2792" s="3" t="s">
        <v>56</v>
      </c>
      <c r="AI2792" s="3"/>
      <c r="AJ2792" s="3"/>
      <c r="AK2792" s="3" t="str">
        <f>HYPERLINK("https://knigipp.ru/api/getInfo/item/7bb7152b-74f5-11ef-a265-00155d82e908")</f>
        <v>https://knigipp.ru/api/getInfo/item/7bb7152b-74f5-11ef-a265-00155d82e908</v>
      </c>
      <c r="AL2792" s="3" t="s">
        <v>3341</v>
      </c>
    </row>
    <row r="2793" spans="1:38" ht="21" customHeight="1" outlineLevel="4" x14ac:dyDescent="0.2">
      <c r="A2793" s="39">
        <v>2198</v>
      </c>
      <c r="B2793" s="3" t="s">
        <v>12630</v>
      </c>
      <c r="C2793" s="49" t="s">
        <v>12631</v>
      </c>
      <c r="D2793" s="49"/>
      <c r="E2793" s="49"/>
      <c r="F2793" s="49"/>
      <c r="G2793" s="4" t="s">
        <v>12632</v>
      </c>
      <c r="H2793" s="8"/>
      <c r="I2793" s="9"/>
      <c r="J2793" s="10"/>
      <c r="K2793" s="11">
        <v>40</v>
      </c>
      <c r="L2793" s="10"/>
      <c r="M2793" s="10" t="s">
        <v>47</v>
      </c>
      <c r="N2793" s="10"/>
      <c r="O2793" s="2">
        <v>5</v>
      </c>
      <c r="P2793" s="17">
        <f>137*(1-S3/100)</f>
        <v>137</v>
      </c>
      <c r="Q2793" s="18"/>
      <c r="R2793" s="10">
        <f t="shared" si="122"/>
        <v>0</v>
      </c>
      <c r="S2793" s="19">
        <f>0.107*Q2793</f>
        <v>0</v>
      </c>
      <c r="T2793" s="20">
        <f>0.00029*Q2793</f>
        <v>0</v>
      </c>
      <c r="U2793" s="21"/>
      <c r="V2793" s="22" t="s">
        <v>12633</v>
      </c>
      <c r="W2793" s="22" t="s">
        <v>49</v>
      </c>
      <c r="X2793" s="3"/>
      <c r="Y2793" s="3" t="s">
        <v>12634</v>
      </c>
      <c r="Z2793" s="3" t="s">
        <v>52</v>
      </c>
      <c r="AA2793" s="3"/>
      <c r="AB2793" s="3"/>
      <c r="AC2793" s="3" t="str">
        <f>HYPERLINK("https://knigipp.ru/api/getInfo/image/d762cae4-74f4-11ef-a265-00155d82e908")</f>
        <v>https://knigipp.ru/api/getInfo/image/d762cae4-74f4-11ef-a265-00155d82e908</v>
      </c>
      <c r="AD2793" s="32">
        <v>10</v>
      </c>
      <c r="AE2793" s="3"/>
      <c r="AF2793" s="3" t="s">
        <v>209</v>
      </c>
      <c r="AG2793" s="3"/>
      <c r="AH2793" s="3" t="s">
        <v>56</v>
      </c>
      <c r="AI2793" s="3"/>
      <c r="AJ2793" s="3"/>
      <c r="AK2793" s="3" t="str">
        <f>HYPERLINK("https://knigipp.ru/api/getInfo/item/d762cae4-74f4-11ef-a265-00155d82e908")</f>
        <v>https://knigipp.ru/api/getInfo/item/d762cae4-74f4-11ef-a265-00155d82e908</v>
      </c>
      <c r="AL2793" s="3" t="s">
        <v>3341</v>
      </c>
    </row>
    <row r="2794" spans="1:38" ht="21" customHeight="1" outlineLevel="4" x14ac:dyDescent="0.2">
      <c r="A2794" s="39">
        <v>2199</v>
      </c>
      <c r="B2794" s="3" t="s">
        <v>12635</v>
      </c>
      <c r="C2794" s="49" t="s">
        <v>12636</v>
      </c>
      <c r="D2794" s="49"/>
      <c r="E2794" s="49"/>
      <c r="F2794" s="49"/>
      <c r="G2794" s="4" t="s">
        <v>12637</v>
      </c>
      <c r="H2794" s="8"/>
      <c r="I2794" s="9"/>
      <c r="J2794" s="10"/>
      <c r="K2794" s="11">
        <v>40</v>
      </c>
      <c r="L2794" s="10"/>
      <c r="M2794" s="10" t="s">
        <v>47</v>
      </c>
      <c r="N2794" s="10"/>
      <c r="O2794" s="2">
        <v>5</v>
      </c>
      <c r="P2794" s="17">
        <f>137*(1-S3/100)</f>
        <v>137</v>
      </c>
      <c r="Q2794" s="18"/>
      <c r="R2794" s="10">
        <f t="shared" ref="R2794:R2821" si="123">P2794*Q2794</f>
        <v>0</v>
      </c>
      <c r="S2794" s="19">
        <f>0.113*Q2794</f>
        <v>0</v>
      </c>
      <c r="T2794" s="20">
        <f>0.00018*Q2794</f>
        <v>0</v>
      </c>
      <c r="U2794" s="21"/>
      <c r="V2794" s="22" t="s">
        <v>12638</v>
      </c>
      <c r="W2794" s="22" t="s">
        <v>49</v>
      </c>
      <c r="X2794" s="3"/>
      <c r="Y2794" s="3" t="s">
        <v>12639</v>
      </c>
      <c r="Z2794" s="3" t="s">
        <v>52</v>
      </c>
      <c r="AA2794" s="3"/>
      <c r="AB2794" s="3"/>
      <c r="AC2794" s="3" t="str">
        <f>HYPERLINK("https://knigipp.ru/api/getInfo/image/87ceff86-74fd-11ef-a265-00155d82e908")</f>
        <v>https://knigipp.ru/api/getInfo/image/87ceff86-74fd-11ef-a265-00155d82e908</v>
      </c>
      <c r="AD2794" s="32">
        <v>10</v>
      </c>
      <c r="AE2794" s="3"/>
      <c r="AF2794" s="3" t="s">
        <v>209</v>
      </c>
      <c r="AG2794" s="3"/>
      <c r="AH2794" s="3" t="s">
        <v>56</v>
      </c>
      <c r="AI2794" s="3"/>
      <c r="AJ2794" s="3"/>
      <c r="AK2794" s="3" t="str">
        <f>HYPERLINK("https://knigipp.ru/api/getInfo/item/87ceff86-74fd-11ef-a265-00155d82e908")</f>
        <v>https://knigipp.ru/api/getInfo/item/87ceff86-74fd-11ef-a265-00155d82e908</v>
      </c>
      <c r="AL2794" s="3" t="s">
        <v>3341</v>
      </c>
    </row>
    <row r="2795" spans="1:38" ht="21" customHeight="1" outlineLevel="4" x14ac:dyDescent="0.2">
      <c r="A2795" s="39">
        <v>2200</v>
      </c>
      <c r="B2795" s="3" t="s">
        <v>12640</v>
      </c>
      <c r="C2795" s="49" t="s">
        <v>12641</v>
      </c>
      <c r="D2795" s="49"/>
      <c r="E2795" s="49"/>
      <c r="F2795" s="49"/>
      <c r="G2795" s="4" t="s">
        <v>12642</v>
      </c>
      <c r="H2795" s="8"/>
      <c r="I2795" s="9"/>
      <c r="J2795" s="10"/>
      <c r="K2795" s="11">
        <v>40</v>
      </c>
      <c r="L2795" s="10"/>
      <c r="M2795" s="10" t="s">
        <v>47</v>
      </c>
      <c r="N2795" s="10"/>
      <c r="O2795" s="2">
        <v>5</v>
      </c>
      <c r="P2795" s="17">
        <f>137*(1-S3/100)</f>
        <v>137</v>
      </c>
      <c r="Q2795" s="18"/>
      <c r="R2795" s="10">
        <f t="shared" si="123"/>
        <v>0</v>
      </c>
      <c r="S2795" s="19">
        <f>0.113*Q2795</f>
        <v>0</v>
      </c>
      <c r="T2795" s="20">
        <f>0.00018*Q2795</f>
        <v>0</v>
      </c>
      <c r="U2795" s="21"/>
      <c r="V2795" s="22" t="s">
        <v>12643</v>
      </c>
      <c r="W2795" s="22" t="s">
        <v>49</v>
      </c>
      <c r="X2795" s="3" t="s">
        <v>12644</v>
      </c>
      <c r="Y2795" s="3" t="s">
        <v>12645</v>
      </c>
      <c r="Z2795" s="3" t="s">
        <v>52</v>
      </c>
      <c r="AA2795" s="3"/>
      <c r="AB2795" s="3"/>
      <c r="AC2795" s="3" t="str">
        <f>HYPERLINK("https://knigipp.ru/api/getInfo/image/8c30e776-e57a-11f0-a28c-00155d82e908")</f>
        <v>https://knigipp.ru/api/getInfo/image/8c30e776-e57a-11f0-a28c-00155d82e908</v>
      </c>
      <c r="AD2795" s="32">
        <v>10</v>
      </c>
      <c r="AE2795" s="3" t="s">
        <v>54</v>
      </c>
      <c r="AF2795" s="3" t="s">
        <v>209</v>
      </c>
      <c r="AG2795" s="3"/>
      <c r="AH2795" s="3" t="s">
        <v>56</v>
      </c>
      <c r="AI2795" s="3"/>
      <c r="AJ2795" s="3" t="s">
        <v>12335</v>
      </c>
      <c r="AK2795" s="3" t="str">
        <f>HYPERLINK("https://knigipp.ru/api/getInfo/item/8c30e776-e57a-11f0-a28c-00155d82e908")</f>
        <v>https://knigipp.ru/api/getInfo/item/8c30e776-e57a-11f0-a28c-00155d82e908</v>
      </c>
      <c r="AL2795" s="3" t="s">
        <v>11480</v>
      </c>
    </row>
    <row r="2796" spans="1:38" ht="21" customHeight="1" outlineLevel="4" x14ac:dyDescent="0.2">
      <c r="A2796" s="39">
        <v>2201</v>
      </c>
      <c r="B2796" s="3" t="s">
        <v>12646</v>
      </c>
      <c r="C2796" s="49" t="s">
        <v>12647</v>
      </c>
      <c r="D2796" s="49"/>
      <c r="E2796" s="49"/>
      <c r="F2796" s="49"/>
      <c r="G2796" s="4" t="s">
        <v>12648</v>
      </c>
      <c r="H2796" s="8"/>
      <c r="I2796" s="9" t="s">
        <v>12401</v>
      </c>
      <c r="J2796" s="10"/>
      <c r="K2796" s="11">
        <v>40</v>
      </c>
      <c r="L2796" s="10"/>
      <c r="M2796" s="10" t="s">
        <v>47</v>
      </c>
      <c r="N2796" s="10"/>
      <c r="O2796" s="2">
        <v>5</v>
      </c>
      <c r="P2796" s="17">
        <f>137*(1-S3/100)</f>
        <v>137</v>
      </c>
      <c r="Q2796" s="18"/>
      <c r="R2796" s="10">
        <f t="shared" si="123"/>
        <v>0</v>
      </c>
      <c r="S2796" s="19">
        <f>0.122*Q2796</f>
        <v>0</v>
      </c>
      <c r="T2796" s="20">
        <f>0.00032*Q2796</f>
        <v>0</v>
      </c>
      <c r="U2796" s="21"/>
      <c r="V2796" s="22" t="s">
        <v>12649</v>
      </c>
      <c r="W2796" s="22" t="s">
        <v>49</v>
      </c>
      <c r="X2796" s="3"/>
      <c r="Y2796" s="3"/>
      <c r="Z2796" s="3" t="s">
        <v>52</v>
      </c>
      <c r="AA2796" s="3"/>
      <c r="AB2796" s="3"/>
      <c r="AC2796" s="3" t="str">
        <f>HYPERLINK("https://knigipp.ru/api/getInfo/image/9b19cb31-eb66-11ea-a254-ac1f6b442184")</f>
        <v>https://knigipp.ru/api/getInfo/image/9b19cb31-eb66-11ea-a254-ac1f6b442184</v>
      </c>
      <c r="AD2796" s="32">
        <v>10</v>
      </c>
      <c r="AE2796" s="3"/>
      <c r="AF2796" s="3" t="s">
        <v>209</v>
      </c>
      <c r="AG2796" s="3"/>
      <c r="AH2796" s="3" t="s">
        <v>56</v>
      </c>
      <c r="AI2796" s="3"/>
      <c r="AJ2796" s="3" t="s">
        <v>12335</v>
      </c>
      <c r="AK2796" s="3" t="str">
        <f>HYPERLINK("https://knigipp.ru/api/getInfo/item/9b19cb31-eb66-11ea-a254-ac1f6b442184")</f>
        <v>https://knigipp.ru/api/getInfo/item/9b19cb31-eb66-11ea-a254-ac1f6b442184</v>
      </c>
      <c r="AL2796" s="3" t="s">
        <v>11480</v>
      </c>
    </row>
    <row r="2797" spans="1:38" ht="21" customHeight="1" outlineLevel="4" x14ac:dyDescent="0.2">
      <c r="A2797" s="39">
        <v>2202</v>
      </c>
      <c r="B2797" s="3" t="s">
        <v>12650</v>
      </c>
      <c r="C2797" s="49" t="s">
        <v>12651</v>
      </c>
      <c r="D2797" s="49"/>
      <c r="E2797" s="49"/>
      <c r="F2797" s="49"/>
      <c r="G2797" s="4" t="s">
        <v>12652</v>
      </c>
      <c r="H2797" s="8"/>
      <c r="I2797" s="9" t="s">
        <v>12510</v>
      </c>
      <c r="J2797" s="10"/>
      <c r="K2797" s="11">
        <v>40</v>
      </c>
      <c r="L2797" s="10"/>
      <c r="M2797" s="10" t="s">
        <v>47</v>
      </c>
      <c r="N2797" s="10"/>
      <c r="O2797" s="2">
        <v>5</v>
      </c>
      <c r="P2797" s="17">
        <f>137*(1-S3/100)</f>
        <v>137</v>
      </c>
      <c r="Q2797" s="18"/>
      <c r="R2797" s="10">
        <f t="shared" si="123"/>
        <v>0</v>
      </c>
      <c r="S2797" s="19">
        <f>0.112*Q2797</f>
        <v>0</v>
      </c>
      <c r="T2797" s="20">
        <f>0.00022*Q2797</f>
        <v>0</v>
      </c>
      <c r="U2797" s="21"/>
      <c r="V2797" s="22" t="s">
        <v>12653</v>
      </c>
      <c r="W2797" s="22" t="s">
        <v>49</v>
      </c>
      <c r="X2797" s="3" t="s">
        <v>207</v>
      </c>
      <c r="Y2797" s="3" t="s">
        <v>12654</v>
      </c>
      <c r="Z2797" s="3" t="s">
        <v>52</v>
      </c>
      <c r="AA2797" s="3"/>
      <c r="AB2797" s="3"/>
      <c r="AC2797" s="3" t="str">
        <f>HYPERLINK("https://knigipp.ru/api/getInfo/image/7bcd724a-1d96-11ef-a25e-00155d82e908")</f>
        <v>https://knigipp.ru/api/getInfo/image/7bcd724a-1d96-11ef-a25e-00155d82e908</v>
      </c>
      <c r="AD2797" s="32">
        <v>10</v>
      </c>
      <c r="AE2797" s="3" t="s">
        <v>54</v>
      </c>
      <c r="AF2797" s="3" t="s">
        <v>209</v>
      </c>
      <c r="AG2797" s="3"/>
      <c r="AH2797" s="3" t="s">
        <v>56</v>
      </c>
      <c r="AI2797" s="3"/>
      <c r="AJ2797" s="3" t="s">
        <v>12335</v>
      </c>
      <c r="AK2797" s="3" t="str">
        <f>HYPERLINK("https://knigipp.ru/api/getInfo/item/7bcd724a-1d96-11ef-a25e-00155d82e908")</f>
        <v>https://knigipp.ru/api/getInfo/item/7bcd724a-1d96-11ef-a25e-00155d82e908</v>
      </c>
      <c r="AL2797" s="3" t="s">
        <v>11480</v>
      </c>
    </row>
    <row r="2798" spans="1:38" ht="21" customHeight="1" outlineLevel="4" x14ac:dyDescent="0.2">
      <c r="A2798" s="39">
        <v>2203</v>
      </c>
      <c r="B2798" s="3" t="s">
        <v>12655</v>
      </c>
      <c r="C2798" s="49" t="s">
        <v>12656</v>
      </c>
      <c r="D2798" s="49"/>
      <c r="E2798" s="49"/>
      <c r="F2798" s="49"/>
      <c r="G2798" s="4" t="s">
        <v>12657</v>
      </c>
      <c r="H2798" s="8"/>
      <c r="I2798" s="9" t="s">
        <v>12401</v>
      </c>
      <c r="J2798" s="10"/>
      <c r="K2798" s="11">
        <v>40</v>
      </c>
      <c r="L2798" s="10"/>
      <c r="M2798" s="10" t="s">
        <v>47</v>
      </c>
      <c r="N2798" s="10"/>
      <c r="O2798" s="2">
        <v>5</v>
      </c>
      <c r="P2798" s="17">
        <f>137*(1-S3/100)</f>
        <v>137</v>
      </c>
      <c r="Q2798" s="18"/>
      <c r="R2798" s="10">
        <f t="shared" si="123"/>
        <v>0</v>
      </c>
      <c r="S2798" s="19">
        <f>0.144*Q2798</f>
        <v>0</v>
      </c>
      <c r="T2798" s="20">
        <f>0.00021*Q2798</f>
        <v>0</v>
      </c>
      <c r="U2798" s="21"/>
      <c r="V2798" s="22" t="s">
        <v>12658</v>
      </c>
      <c r="W2798" s="22" t="s">
        <v>49</v>
      </c>
      <c r="X2798" s="3" t="s">
        <v>12001</v>
      </c>
      <c r="Y2798" s="3"/>
      <c r="Z2798" s="3" t="s">
        <v>52</v>
      </c>
      <c r="AA2798" s="3" t="s">
        <v>12659</v>
      </c>
      <c r="AB2798" s="3"/>
      <c r="AC2798" s="3" t="str">
        <f>HYPERLINK("https://knigipp.ru/api/getInfo/image/8a0d9a37-c686-11e1-81d3-5ef3fc502493")</f>
        <v>https://knigipp.ru/api/getInfo/image/8a0d9a37-c686-11e1-81d3-5ef3fc502493</v>
      </c>
      <c r="AD2798" s="32">
        <v>10</v>
      </c>
      <c r="AE2798" s="3"/>
      <c r="AF2798" s="3" t="s">
        <v>209</v>
      </c>
      <c r="AG2798" s="3"/>
      <c r="AH2798" s="3" t="s">
        <v>56</v>
      </c>
      <c r="AI2798" s="3"/>
      <c r="AJ2798" s="3" t="s">
        <v>12335</v>
      </c>
      <c r="AK2798" s="3" t="str">
        <f>HYPERLINK("https://knigipp.ru/api/getInfo/item/8a0d9a37-c686-11e1-81d3-5ef3fc502493")</f>
        <v>https://knigipp.ru/api/getInfo/item/8a0d9a37-c686-11e1-81d3-5ef3fc502493</v>
      </c>
      <c r="AL2798" s="3" t="s">
        <v>11480</v>
      </c>
    </row>
    <row r="2799" spans="1:38" ht="21" customHeight="1" outlineLevel="4" x14ac:dyDescent="0.2">
      <c r="A2799" s="39">
        <v>2204</v>
      </c>
      <c r="B2799" s="3" t="s">
        <v>12660</v>
      </c>
      <c r="C2799" s="49" t="s">
        <v>12661</v>
      </c>
      <c r="D2799" s="49"/>
      <c r="E2799" s="49"/>
      <c r="F2799" s="49"/>
      <c r="G2799" s="4" t="s">
        <v>12662</v>
      </c>
      <c r="H2799" s="8"/>
      <c r="I2799" s="9" t="s">
        <v>12401</v>
      </c>
      <c r="J2799" s="10"/>
      <c r="K2799" s="11">
        <v>40</v>
      </c>
      <c r="L2799" s="10"/>
      <c r="M2799" s="10" t="s">
        <v>47</v>
      </c>
      <c r="N2799" s="10"/>
      <c r="O2799" s="2">
        <v>5</v>
      </c>
      <c r="P2799" s="17">
        <f>137*(1-S3/100)</f>
        <v>137</v>
      </c>
      <c r="Q2799" s="18"/>
      <c r="R2799" s="10">
        <f t="shared" si="123"/>
        <v>0</v>
      </c>
      <c r="S2799" s="19">
        <f>0.144*Q2799</f>
        <v>0</v>
      </c>
      <c r="T2799" s="20">
        <f>0.00021*Q2799</f>
        <v>0</v>
      </c>
      <c r="U2799" s="21"/>
      <c r="V2799" s="22" t="s">
        <v>12663</v>
      </c>
      <c r="W2799" s="22" t="s">
        <v>49</v>
      </c>
      <c r="X2799" s="3"/>
      <c r="Y2799" s="3"/>
      <c r="Z2799" s="3" t="s">
        <v>52</v>
      </c>
      <c r="AA2799" s="3"/>
      <c r="AB2799" s="3"/>
      <c r="AC2799" s="3" t="str">
        <f>HYPERLINK("https://knigipp.ru/api/getInfo/image/41764c8e-0313-11eb-a255-ac1f6b442184")</f>
        <v>https://knigipp.ru/api/getInfo/image/41764c8e-0313-11eb-a255-ac1f6b442184</v>
      </c>
      <c r="AD2799" s="32">
        <v>10</v>
      </c>
      <c r="AE2799" s="3"/>
      <c r="AF2799" s="3" t="s">
        <v>209</v>
      </c>
      <c r="AG2799" s="3"/>
      <c r="AH2799" s="3" t="s">
        <v>56</v>
      </c>
      <c r="AI2799" s="3"/>
      <c r="AJ2799" s="3" t="s">
        <v>12335</v>
      </c>
      <c r="AK2799" s="3" t="str">
        <f>HYPERLINK("https://knigipp.ru/api/getInfo/item/41764c8e-0313-11eb-a255-ac1f6b442184")</f>
        <v>https://knigipp.ru/api/getInfo/item/41764c8e-0313-11eb-a255-ac1f6b442184</v>
      </c>
      <c r="AL2799" s="3" t="s">
        <v>11480</v>
      </c>
    </row>
    <row r="2800" spans="1:38" ht="21" customHeight="1" outlineLevel="4" x14ac:dyDescent="0.2">
      <c r="A2800" s="39">
        <v>2205</v>
      </c>
      <c r="B2800" s="3" t="s">
        <v>12664</v>
      </c>
      <c r="C2800" s="49" t="s">
        <v>12665</v>
      </c>
      <c r="D2800" s="49"/>
      <c r="E2800" s="49"/>
      <c r="F2800" s="49"/>
      <c r="G2800" s="4" t="s">
        <v>12666</v>
      </c>
      <c r="H2800" s="8"/>
      <c r="I2800" s="9" t="s">
        <v>12401</v>
      </c>
      <c r="J2800" s="10"/>
      <c r="K2800" s="11">
        <v>40</v>
      </c>
      <c r="L2800" s="10"/>
      <c r="M2800" s="10" t="s">
        <v>47</v>
      </c>
      <c r="N2800" s="10"/>
      <c r="O2800" s="2">
        <v>5</v>
      </c>
      <c r="P2800" s="17">
        <f>137*(1-S3/100)</f>
        <v>137</v>
      </c>
      <c r="Q2800" s="18"/>
      <c r="R2800" s="10">
        <f t="shared" si="123"/>
        <v>0</v>
      </c>
      <c r="S2800" s="19">
        <f>0.135*Q2800</f>
        <v>0</v>
      </c>
      <c r="T2800" s="20">
        <f>0.00022*Q2800</f>
        <v>0</v>
      </c>
      <c r="U2800" s="21"/>
      <c r="V2800" s="22" t="s">
        <v>12667</v>
      </c>
      <c r="W2800" s="22" t="s">
        <v>49</v>
      </c>
      <c r="X2800" s="3"/>
      <c r="Y2800" s="3"/>
      <c r="Z2800" s="3" t="s">
        <v>52</v>
      </c>
      <c r="AA2800" s="3"/>
      <c r="AB2800" s="3"/>
      <c r="AC2800" s="3" t="str">
        <f>HYPERLINK("https://knigipp.ru/api/getInfo/image/73861ce2-0313-11eb-a255-ac1f6b442184")</f>
        <v>https://knigipp.ru/api/getInfo/image/73861ce2-0313-11eb-a255-ac1f6b442184</v>
      </c>
      <c r="AD2800" s="32">
        <v>10</v>
      </c>
      <c r="AE2800" s="3"/>
      <c r="AF2800" s="3" t="s">
        <v>209</v>
      </c>
      <c r="AG2800" s="3"/>
      <c r="AH2800" s="3" t="s">
        <v>56</v>
      </c>
      <c r="AI2800" s="3"/>
      <c r="AJ2800" s="3" t="s">
        <v>12335</v>
      </c>
      <c r="AK2800" s="3" t="str">
        <f>HYPERLINK("https://knigipp.ru/api/getInfo/item/73861ce2-0313-11eb-a255-ac1f6b442184")</f>
        <v>https://knigipp.ru/api/getInfo/item/73861ce2-0313-11eb-a255-ac1f6b442184</v>
      </c>
      <c r="AL2800" s="3" t="s">
        <v>11480</v>
      </c>
    </row>
    <row r="2801" spans="1:38" ht="21" customHeight="1" outlineLevel="4" x14ac:dyDescent="0.2">
      <c r="A2801" s="39">
        <v>2206</v>
      </c>
      <c r="B2801" s="3" t="s">
        <v>12668</v>
      </c>
      <c r="C2801" s="49" t="s">
        <v>12669</v>
      </c>
      <c r="D2801" s="49"/>
      <c r="E2801" s="49"/>
      <c r="F2801" s="49"/>
      <c r="G2801" s="4" t="s">
        <v>12670</v>
      </c>
      <c r="H2801" s="8"/>
      <c r="I2801" s="9" t="s">
        <v>12344</v>
      </c>
      <c r="J2801" s="10"/>
      <c r="K2801" s="11">
        <v>40</v>
      </c>
      <c r="L2801" s="10"/>
      <c r="M2801" s="10" t="s">
        <v>304</v>
      </c>
      <c r="N2801" s="10"/>
      <c r="O2801" s="2">
        <v>5</v>
      </c>
      <c r="P2801" s="17">
        <f>137*(1-S3/100)</f>
        <v>137</v>
      </c>
      <c r="Q2801" s="18"/>
      <c r="R2801" s="10">
        <f t="shared" si="123"/>
        <v>0</v>
      </c>
      <c r="S2801" s="19">
        <f>0.108*Q2801</f>
        <v>0</v>
      </c>
      <c r="T2801" s="20">
        <f>0.00018*Q2801</f>
        <v>0</v>
      </c>
      <c r="U2801" s="21"/>
      <c r="V2801" s="22" t="s">
        <v>12671</v>
      </c>
      <c r="W2801" s="22" t="s">
        <v>49</v>
      </c>
      <c r="X2801" s="3" t="s">
        <v>207</v>
      </c>
      <c r="Y2801" s="3" t="s">
        <v>12672</v>
      </c>
      <c r="Z2801" s="3" t="s">
        <v>52</v>
      </c>
      <c r="AA2801" s="3"/>
      <c r="AB2801" s="3"/>
      <c r="AC2801" s="3" t="str">
        <f>HYPERLINK("https://knigipp.ru/api/getInfo/image/34bf6e96-354f-11ef-a261-00155d82e908")</f>
        <v>https://knigipp.ru/api/getInfo/image/34bf6e96-354f-11ef-a261-00155d82e908</v>
      </c>
      <c r="AD2801" s="32">
        <v>10</v>
      </c>
      <c r="AE2801" s="3" t="s">
        <v>54</v>
      </c>
      <c r="AF2801" s="3" t="s">
        <v>209</v>
      </c>
      <c r="AG2801" s="3"/>
      <c r="AH2801" s="3" t="s">
        <v>56</v>
      </c>
      <c r="AI2801" s="3"/>
      <c r="AJ2801" s="3" t="s">
        <v>12335</v>
      </c>
      <c r="AK2801" s="3" t="str">
        <f>HYPERLINK("https://knigipp.ru/api/getInfo/item/34bf6e96-354f-11ef-a261-00155d82e908")</f>
        <v>https://knigipp.ru/api/getInfo/item/34bf6e96-354f-11ef-a261-00155d82e908</v>
      </c>
      <c r="AL2801" s="3" t="s">
        <v>11480</v>
      </c>
    </row>
    <row r="2802" spans="1:38" ht="21" customHeight="1" outlineLevel="4" x14ac:dyDescent="0.2">
      <c r="A2802" s="39">
        <v>2207</v>
      </c>
      <c r="B2802" s="3" t="s">
        <v>12673</v>
      </c>
      <c r="C2802" s="49" t="s">
        <v>12674</v>
      </c>
      <c r="D2802" s="49"/>
      <c r="E2802" s="49"/>
      <c r="F2802" s="49"/>
      <c r="G2802" s="4" t="s">
        <v>12675</v>
      </c>
      <c r="H2802" s="8"/>
      <c r="I2802" s="9"/>
      <c r="J2802" s="10"/>
      <c r="K2802" s="11">
        <v>40</v>
      </c>
      <c r="L2802" s="10"/>
      <c r="M2802" s="10" t="s">
        <v>47</v>
      </c>
      <c r="N2802" s="10"/>
      <c r="O2802" s="2">
        <v>5</v>
      </c>
      <c r="P2802" s="17">
        <f>137*(1-S3/100)</f>
        <v>137</v>
      </c>
      <c r="Q2802" s="18"/>
      <c r="R2802" s="10">
        <f t="shared" si="123"/>
        <v>0</v>
      </c>
      <c r="S2802" s="19">
        <f>0.108*Q2802</f>
        <v>0</v>
      </c>
      <c r="T2802" s="20">
        <f>0.00018*Q2802</f>
        <v>0</v>
      </c>
      <c r="U2802" s="21"/>
      <c r="V2802" s="22" t="s">
        <v>12676</v>
      </c>
      <c r="W2802" s="22" t="s">
        <v>49</v>
      </c>
      <c r="X2802" s="3"/>
      <c r="Y2802" s="3" t="s">
        <v>12677</v>
      </c>
      <c r="Z2802" s="3" t="s">
        <v>52</v>
      </c>
      <c r="AA2802" s="3"/>
      <c r="AB2802" s="3"/>
      <c r="AC2802" s="3" t="str">
        <f>HYPERLINK("https://knigipp.ru/api/getInfo/image/ac061c07-74f6-11ef-a265-00155d82e908")</f>
        <v>https://knigipp.ru/api/getInfo/image/ac061c07-74f6-11ef-a265-00155d82e908</v>
      </c>
      <c r="AD2802" s="32">
        <v>10</v>
      </c>
      <c r="AE2802" s="3"/>
      <c r="AF2802" s="3" t="s">
        <v>209</v>
      </c>
      <c r="AG2802" s="3"/>
      <c r="AH2802" s="3" t="s">
        <v>56</v>
      </c>
      <c r="AI2802" s="3"/>
      <c r="AJ2802" s="3"/>
      <c r="AK2802" s="3" t="str">
        <f>HYPERLINK("https://knigipp.ru/api/getInfo/item/ac061c07-74f6-11ef-a265-00155d82e908")</f>
        <v>https://knigipp.ru/api/getInfo/item/ac061c07-74f6-11ef-a265-00155d82e908</v>
      </c>
      <c r="AL2802" s="3" t="s">
        <v>12678</v>
      </c>
    </row>
    <row r="2803" spans="1:38" ht="21" customHeight="1" outlineLevel="4" x14ac:dyDescent="0.2">
      <c r="A2803" s="39">
        <v>2208</v>
      </c>
      <c r="B2803" s="3" t="s">
        <v>12679</v>
      </c>
      <c r="C2803" s="49" t="s">
        <v>12680</v>
      </c>
      <c r="D2803" s="49"/>
      <c r="E2803" s="49"/>
      <c r="F2803" s="49"/>
      <c r="G2803" s="4" t="s">
        <v>12681</v>
      </c>
      <c r="H2803" s="8"/>
      <c r="I2803" s="9" t="s">
        <v>12401</v>
      </c>
      <c r="J2803" s="10"/>
      <c r="K2803" s="11">
        <v>40</v>
      </c>
      <c r="L2803" s="10"/>
      <c r="M2803" s="10" t="s">
        <v>47</v>
      </c>
      <c r="N2803" s="10"/>
      <c r="O2803" s="2">
        <v>5</v>
      </c>
      <c r="P2803" s="17">
        <f>137*(1-S3/100)</f>
        <v>137</v>
      </c>
      <c r="Q2803" s="18"/>
      <c r="R2803" s="10">
        <f t="shared" si="123"/>
        <v>0</v>
      </c>
      <c r="S2803" s="19">
        <f>0.115*Q2803</f>
        <v>0</v>
      </c>
      <c r="T2803" s="20">
        <f>0.00022*Q2803</f>
        <v>0</v>
      </c>
      <c r="U2803" s="21"/>
      <c r="V2803" s="22" t="s">
        <v>12682</v>
      </c>
      <c r="W2803" s="22" t="s">
        <v>49</v>
      </c>
      <c r="X2803" s="3"/>
      <c r="Y2803" s="3"/>
      <c r="Z2803" s="3" t="s">
        <v>52</v>
      </c>
      <c r="AA2803" s="3"/>
      <c r="AB2803" s="3"/>
      <c r="AC2803" s="3" t="str">
        <f>HYPERLINK("https://knigipp.ru/api/getInfo/image/6ee3bcd6-5a32-11ea-a242-ac1f6b442184")</f>
        <v>https://knigipp.ru/api/getInfo/image/6ee3bcd6-5a32-11ea-a242-ac1f6b442184</v>
      </c>
      <c r="AD2803" s="32">
        <v>10</v>
      </c>
      <c r="AE2803" s="3"/>
      <c r="AF2803" s="3" t="s">
        <v>209</v>
      </c>
      <c r="AG2803" s="3"/>
      <c r="AH2803" s="3" t="s">
        <v>56</v>
      </c>
      <c r="AI2803" s="3"/>
      <c r="AJ2803" s="3" t="s">
        <v>12335</v>
      </c>
      <c r="AK2803" s="3" t="str">
        <f>HYPERLINK("https://knigipp.ru/api/getInfo/item/6ee3bcd6-5a32-11ea-a242-ac1f6b442184")</f>
        <v>https://knigipp.ru/api/getInfo/item/6ee3bcd6-5a32-11ea-a242-ac1f6b442184</v>
      </c>
      <c r="AL2803" s="3" t="s">
        <v>11480</v>
      </c>
    </row>
    <row r="2804" spans="1:38" ht="21" customHeight="1" outlineLevel="4" x14ac:dyDescent="0.2">
      <c r="A2804" s="39">
        <v>2209</v>
      </c>
      <c r="B2804" s="3" t="s">
        <v>12683</v>
      </c>
      <c r="C2804" s="49" t="s">
        <v>12684</v>
      </c>
      <c r="D2804" s="49"/>
      <c r="E2804" s="49"/>
      <c r="F2804" s="49"/>
      <c r="G2804" s="4" t="s">
        <v>12685</v>
      </c>
      <c r="H2804" s="8"/>
      <c r="I2804" s="9" t="s">
        <v>12401</v>
      </c>
      <c r="J2804" s="10"/>
      <c r="K2804" s="11">
        <v>40</v>
      </c>
      <c r="L2804" s="10"/>
      <c r="M2804" s="10" t="s">
        <v>47</v>
      </c>
      <c r="N2804" s="10"/>
      <c r="O2804" s="2">
        <v>5</v>
      </c>
      <c r="P2804" s="17">
        <f>137*(1-S3/100)</f>
        <v>137</v>
      </c>
      <c r="Q2804" s="18"/>
      <c r="R2804" s="10">
        <f t="shared" si="123"/>
        <v>0</v>
      </c>
      <c r="S2804" s="19">
        <f>0.144*Q2804</f>
        <v>0</v>
      </c>
      <c r="T2804" s="20">
        <f>0.00021*Q2804</f>
        <v>0</v>
      </c>
      <c r="U2804" s="21"/>
      <c r="V2804" s="22" t="s">
        <v>12686</v>
      </c>
      <c r="W2804" s="22" t="s">
        <v>49</v>
      </c>
      <c r="X2804" s="3"/>
      <c r="Y2804" s="3"/>
      <c r="Z2804" s="3" t="s">
        <v>52</v>
      </c>
      <c r="AA2804" s="3" t="s">
        <v>12687</v>
      </c>
      <c r="AB2804" s="3"/>
      <c r="AC2804" s="3" t="str">
        <f>HYPERLINK("https://knigipp.ru/api/getInfo/image/8a0d99ff-c686-11e1-81d3-5ef3fc502493")</f>
        <v>https://knigipp.ru/api/getInfo/image/8a0d99ff-c686-11e1-81d3-5ef3fc502493</v>
      </c>
      <c r="AD2804" s="32">
        <v>10</v>
      </c>
      <c r="AE2804" s="3"/>
      <c r="AF2804" s="3" t="s">
        <v>209</v>
      </c>
      <c r="AG2804" s="3"/>
      <c r="AH2804" s="3" t="s">
        <v>56</v>
      </c>
      <c r="AI2804" s="3"/>
      <c r="AJ2804" s="3" t="s">
        <v>12335</v>
      </c>
      <c r="AK2804" s="3" t="str">
        <f>HYPERLINK("https://knigipp.ru/api/getInfo/item/8a0d99ff-c686-11e1-81d3-5ef3fc502493")</f>
        <v>https://knigipp.ru/api/getInfo/item/8a0d99ff-c686-11e1-81d3-5ef3fc502493</v>
      </c>
      <c r="AL2804" s="3" t="s">
        <v>11480</v>
      </c>
    </row>
    <row r="2805" spans="1:38" ht="21" customHeight="1" outlineLevel="4" x14ac:dyDescent="0.2">
      <c r="A2805" s="39">
        <v>2210</v>
      </c>
      <c r="B2805" s="3" t="s">
        <v>12688</v>
      </c>
      <c r="C2805" s="49" t="s">
        <v>12689</v>
      </c>
      <c r="D2805" s="49"/>
      <c r="E2805" s="49"/>
      <c r="F2805" s="49"/>
      <c r="G2805" s="4" t="s">
        <v>12690</v>
      </c>
      <c r="H2805" s="8"/>
      <c r="I2805" s="9"/>
      <c r="J2805" s="10"/>
      <c r="K2805" s="11">
        <v>40</v>
      </c>
      <c r="L2805" s="10"/>
      <c r="M2805" s="10" t="s">
        <v>47</v>
      </c>
      <c r="N2805" s="10"/>
      <c r="O2805" s="2">
        <v>5</v>
      </c>
      <c r="P2805" s="17">
        <f>137*(1-S3/100)</f>
        <v>137</v>
      </c>
      <c r="Q2805" s="18"/>
      <c r="R2805" s="10">
        <f t="shared" si="123"/>
        <v>0</v>
      </c>
      <c r="S2805" s="28">
        <f>0.11*Q2805</f>
        <v>0</v>
      </c>
      <c r="T2805" s="20">
        <f>0.00039*Q2805</f>
        <v>0</v>
      </c>
      <c r="U2805" s="21"/>
      <c r="V2805" s="22" t="s">
        <v>12691</v>
      </c>
      <c r="W2805" s="22" t="s">
        <v>49</v>
      </c>
      <c r="X2805" s="3" t="s">
        <v>10056</v>
      </c>
      <c r="Y2805" s="3"/>
      <c r="Z2805" s="3" t="s">
        <v>52</v>
      </c>
      <c r="AA2805" s="3"/>
      <c r="AB2805" s="3"/>
      <c r="AC2805" s="3" t="str">
        <f>HYPERLINK("https://knigipp.ru/api/getInfo/image/cd121b81-ae4c-11ef-a267-00155d82e908")</f>
        <v>https://knigipp.ru/api/getInfo/image/cd121b81-ae4c-11ef-a267-00155d82e908</v>
      </c>
      <c r="AD2805" s="32">
        <v>10</v>
      </c>
      <c r="AE2805" s="3" t="s">
        <v>54</v>
      </c>
      <c r="AF2805" s="3" t="s">
        <v>209</v>
      </c>
      <c r="AG2805" s="3"/>
      <c r="AH2805" s="3" t="s">
        <v>56</v>
      </c>
      <c r="AI2805" s="3"/>
      <c r="AJ2805" s="3" t="s">
        <v>12335</v>
      </c>
      <c r="AK2805" s="3" t="str">
        <f>HYPERLINK("https://knigipp.ru/api/getInfo/item/cd121b81-ae4c-11ef-a267-00155d82e908")</f>
        <v>https://knigipp.ru/api/getInfo/item/cd121b81-ae4c-11ef-a267-00155d82e908</v>
      </c>
      <c r="AL2805" s="3" t="s">
        <v>11480</v>
      </c>
    </row>
    <row r="2806" spans="1:38" ht="21" customHeight="1" outlineLevel="4" x14ac:dyDescent="0.2">
      <c r="A2806" s="39">
        <v>2211</v>
      </c>
      <c r="B2806" s="3" t="s">
        <v>12692</v>
      </c>
      <c r="C2806" s="49" t="s">
        <v>12693</v>
      </c>
      <c r="D2806" s="49"/>
      <c r="E2806" s="49"/>
      <c r="F2806" s="49"/>
      <c r="G2806" s="4" t="s">
        <v>12694</v>
      </c>
      <c r="H2806" s="8"/>
      <c r="I2806" s="9"/>
      <c r="J2806" s="10"/>
      <c r="K2806" s="11">
        <v>40</v>
      </c>
      <c r="L2806" s="10"/>
      <c r="M2806" s="10" t="s">
        <v>47</v>
      </c>
      <c r="N2806" s="10"/>
      <c r="O2806" s="2">
        <v>5</v>
      </c>
      <c r="P2806" s="17">
        <f>137*(1-S3/100)</f>
        <v>137</v>
      </c>
      <c r="Q2806" s="18"/>
      <c r="R2806" s="10">
        <f t="shared" si="123"/>
        <v>0</v>
      </c>
      <c r="S2806" s="19">
        <f>0.113*Q2806</f>
        <v>0</v>
      </c>
      <c r="T2806" s="20">
        <f>0.00018*Q2806</f>
        <v>0</v>
      </c>
      <c r="U2806" s="21"/>
      <c r="V2806" s="22" t="s">
        <v>12695</v>
      </c>
      <c r="W2806" s="22" t="s">
        <v>49</v>
      </c>
      <c r="X2806" s="3"/>
      <c r="Y2806" s="3"/>
      <c r="Z2806" s="3" t="s">
        <v>52</v>
      </c>
      <c r="AA2806" s="3"/>
      <c r="AB2806" s="3"/>
      <c r="AC2806" s="3" t="str">
        <f>HYPERLINK("https://knigipp.ru/api/getInfo/image/f8666378-74f6-11ef-a265-00155d82e908")</f>
        <v>https://knigipp.ru/api/getInfo/image/f8666378-74f6-11ef-a265-00155d82e908</v>
      </c>
      <c r="AD2806" s="32">
        <v>10</v>
      </c>
      <c r="AE2806" s="3"/>
      <c r="AF2806" s="3" t="s">
        <v>209</v>
      </c>
      <c r="AG2806" s="3"/>
      <c r="AH2806" s="3" t="s">
        <v>56</v>
      </c>
      <c r="AI2806" s="3"/>
      <c r="AJ2806" s="3"/>
      <c r="AK2806" s="3" t="str">
        <f>HYPERLINK("https://knigipp.ru/api/getInfo/item/f8666378-74f6-11ef-a265-00155d82e908")</f>
        <v>https://knigipp.ru/api/getInfo/item/f8666378-74f6-11ef-a265-00155d82e908</v>
      </c>
      <c r="AL2806" s="3" t="s">
        <v>12678</v>
      </c>
    </row>
    <row r="2807" spans="1:38" ht="21" customHeight="1" outlineLevel="4" x14ac:dyDescent="0.2">
      <c r="A2807" s="39">
        <v>2212</v>
      </c>
      <c r="B2807" s="3" t="s">
        <v>12696</v>
      </c>
      <c r="C2807" s="49" t="s">
        <v>12697</v>
      </c>
      <c r="D2807" s="49"/>
      <c r="E2807" s="49"/>
      <c r="F2807" s="49"/>
      <c r="G2807" s="4" t="s">
        <v>12698</v>
      </c>
      <c r="H2807" s="8"/>
      <c r="I2807" s="9" t="s">
        <v>12505</v>
      </c>
      <c r="J2807" s="10"/>
      <c r="K2807" s="11">
        <v>40</v>
      </c>
      <c r="L2807" s="10"/>
      <c r="M2807" s="10" t="s">
        <v>47</v>
      </c>
      <c r="N2807" s="10"/>
      <c r="O2807" s="2">
        <v>5</v>
      </c>
      <c r="P2807" s="17">
        <f>137*(1-S3/100)</f>
        <v>137</v>
      </c>
      <c r="Q2807" s="18"/>
      <c r="R2807" s="10">
        <f t="shared" si="123"/>
        <v>0</v>
      </c>
      <c r="S2807" s="19">
        <f>0.135*Q2807</f>
        <v>0</v>
      </c>
      <c r="T2807" s="20">
        <f>0.00018*Q2807</f>
        <v>0</v>
      </c>
      <c r="U2807" s="21"/>
      <c r="V2807" s="22" t="s">
        <v>12699</v>
      </c>
      <c r="W2807" s="22" t="s">
        <v>49</v>
      </c>
      <c r="X2807" s="3" t="s">
        <v>9446</v>
      </c>
      <c r="Y2807" s="3"/>
      <c r="Z2807" s="3" t="s">
        <v>52</v>
      </c>
      <c r="AA2807" s="3"/>
      <c r="AB2807" s="3"/>
      <c r="AC2807" s="3" t="str">
        <f>HYPERLINK("https://knigipp.ru/api/getInfo/image/df777708-33cf-11eb-a25e-ac1f6b442184")</f>
        <v>https://knigipp.ru/api/getInfo/image/df777708-33cf-11eb-a25e-ac1f6b442184</v>
      </c>
      <c r="AD2807" s="32">
        <v>10</v>
      </c>
      <c r="AE2807" s="3"/>
      <c r="AF2807" s="3" t="s">
        <v>209</v>
      </c>
      <c r="AG2807" s="3"/>
      <c r="AH2807" s="3" t="s">
        <v>56</v>
      </c>
      <c r="AI2807" s="3"/>
      <c r="AJ2807" s="3" t="s">
        <v>12335</v>
      </c>
      <c r="AK2807" s="3" t="str">
        <f>HYPERLINK("https://knigipp.ru/api/getInfo/item/df777708-33cf-11eb-a25e-ac1f6b442184")</f>
        <v>https://knigipp.ru/api/getInfo/item/df777708-33cf-11eb-a25e-ac1f6b442184</v>
      </c>
      <c r="AL2807" s="3" t="s">
        <v>11480</v>
      </c>
    </row>
    <row r="2808" spans="1:38" ht="21" customHeight="1" outlineLevel="4" x14ac:dyDescent="0.2">
      <c r="A2808" s="39">
        <v>2213</v>
      </c>
      <c r="B2808" s="3" t="s">
        <v>12700</v>
      </c>
      <c r="C2808" s="49" t="s">
        <v>12701</v>
      </c>
      <c r="D2808" s="49"/>
      <c r="E2808" s="49"/>
      <c r="F2808" s="49"/>
      <c r="G2808" s="4" t="s">
        <v>12702</v>
      </c>
      <c r="H2808" s="8"/>
      <c r="I2808" s="9" t="s">
        <v>12401</v>
      </c>
      <c r="J2808" s="10"/>
      <c r="K2808" s="11">
        <v>40</v>
      </c>
      <c r="L2808" s="10"/>
      <c r="M2808" s="10" t="s">
        <v>47</v>
      </c>
      <c r="N2808" s="10"/>
      <c r="O2808" s="2">
        <v>5</v>
      </c>
      <c r="P2808" s="17">
        <f>137*(1-S3/100)</f>
        <v>137</v>
      </c>
      <c r="Q2808" s="18"/>
      <c r="R2808" s="10">
        <f t="shared" si="123"/>
        <v>0</v>
      </c>
      <c r="S2808" s="19">
        <f>0.144*Q2808</f>
        <v>0</v>
      </c>
      <c r="T2808" s="20">
        <f>0.00021*Q2808</f>
        <v>0</v>
      </c>
      <c r="U2808" s="21"/>
      <c r="V2808" s="22" t="s">
        <v>12703</v>
      </c>
      <c r="W2808" s="22" t="s">
        <v>49</v>
      </c>
      <c r="X2808" s="3"/>
      <c r="Y2808" s="3"/>
      <c r="Z2808" s="3" t="s">
        <v>52</v>
      </c>
      <c r="AA2808" s="3" t="s">
        <v>11490</v>
      </c>
      <c r="AB2808" s="3"/>
      <c r="AC2808" s="3" t="str">
        <f>HYPERLINK("https://knigipp.ru/api/getInfo/image/8a0d9a45-c686-11e1-81d3-5ef3fc502493")</f>
        <v>https://knigipp.ru/api/getInfo/image/8a0d9a45-c686-11e1-81d3-5ef3fc502493</v>
      </c>
      <c r="AD2808" s="32">
        <v>10</v>
      </c>
      <c r="AE2808" s="3"/>
      <c r="AF2808" s="3" t="s">
        <v>209</v>
      </c>
      <c r="AG2808" s="3"/>
      <c r="AH2808" s="3" t="s">
        <v>56</v>
      </c>
      <c r="AI2808" s="3"/>
      <c r="AJ2808" s="3" t="s">
        <v>12335</v>
      </c>
      <c r="AK2808" s="3" t="str">
        <f>HYPERLINK("https://knigipp.ru/api/getInfo/item/8a0d9a45-c686-11e1-81d3-5ef3fc502493")</f>
        <v>https://knigipp.ru/api/getInfo/item/8a0d9a45-c686-11e1-81d3-5ef3fc502493</v>
      </c>
      <c r="AL2808" s="3" t="s">
        <v>11480</v>
      </c>
    </row>
    <row r="2809" spans="1:38" ht="21" customHeight="1" outlineLevel="4" x14ac:dyDescent="0.2">
      <c r="A2809" s="39">
        <v>2214</v>
      </c>
      <c r="B2809" s="3" t="s">
        <v>12704</v>
      </c>
      <c r="C2809" s="49" t="s">
        <v>12705</v>
      </c>
      <c r="D2809" s="49"/>
      <c r="E2809" s="49"/>
      <c r="F2809" s="49"/>
      <c r="G2809" s="4" t="s">
        <v>12706</v>
      </c>
      <c r="H2809" s="8"/>
      <c r="I2809" s="9" t="s">
        <v>12505</v>
      </c>
      <c r="J2809" s="10"/>
      <c r="K2809" s="11">
        <v>40</v>
      </c>
      <c r="L2809" s="10"/>
      <c r="M2809" s="10" t="s">
        <v>47</v>
      </c>
      <c r="N2809" s="10"/>
      <c r="O2809" s="2">
        <v>5</v>
      </c>
      <c r="P2809" s="17">
        <f>137*(1-S3/100)</f>
        <v>137</v>
      </c>
      <c r="Q2809" s="18"/>
      <c r="R2809" s="10">
        <f t="shared" si="123"/>
        <v>0</v>
      </c>
      <c r="S2809" s="19">
        <f>0.144*Q2809</f>
        <v>0</v>
      </c>
      <c r="T2809" s="20">
        <f>0.00021*Q2809</f>
        <v>0</v>
      </c>
      <c r="U2809" s="21"/>
      <c r="V2809" s="22" t="s">
        <v>12707</v>
      </c>
      <c r="W2809" s="22" t="s">
        <v>49</v>
      </c>
      <c r="X2809" s="3" t="s">
        <v>12229</v>
      </c>
      <c r="Y2809" s="3"/>
      <c r="Z2809" s="3" t="s">
        <v>52</v>
      </c>
      <c r="AA2809" s="3"/>
      <c r="AB2809" s="3"/>
      <c r="AC2809" s="3" t="str">
        <f>HYPERLINK("https://knigipp.ru/api/getInfo/image/549e8c2e-33d0-11eb-a25e-ac1f6b442184")</f>
        <v>https://knigipp.ru/api/getInfo/image/549e8c2e-33d0-11eb-a25e-ac1f6b442184</v>
      </c>
      <c r="AD2809" s="32">
        <v>10</v>
      </c>
      <c r="AE2809" s="3"/>
      <c r="AF2809" s="3" t="s">
        <v>209</v>
      </c>
      <c r="AG2809" s="3"/>
      <c r="AH2809" s="3" t="s">
        <v>56</v>
      </c>
      <c r="AI2809" s="3"/>
      <c r="AJ2809" s="3" t="s">
        <v>12335</v>
      </c>
      <c r="AK2809" s="3" t="str">
        <f>HYPERLINK("https://knigipp.ru/api/getInfo/item/549e8c2e-33d0-11eb-a25e-ac1f6b442184")</f>
        <v>https://knigipp.ru/api/getInfo/item/549e8c2e-33d0-11eb-a25e-ac1f6b442184</v>
      </c>
      <c r="AL2809" s="3" t="s">
        <v>11480</v>
      </c>
    </row>
    <row r="2810" spans="1:38" ht="21" customHeight="1" outlineLevel="4" x14ac:dyDescent="0.2">
      <c r="A2810" s="39">
        <v>2215</v>
      </c>
      <c r="B2810" s="3" t="s">
        <v>12708</v>
      </c>
      <c r="C2810" s="49" t="s">
        <v>12709</v>
      </c>
      <c r="D2810" s="49"/>
      <c r="E2810" s="49"/>
      <c r="F2810" s="49"/>
      <c r="G2810" s="4" t="s">
        <v>12710</v>
      </c>
      <c r="H2810" s="8"/>
      <c r="I2810" s="9" t="s">
        <v>12546</v>
      </c>
      <c r="J2810" s="10"/>
      <c r="K2810" s="11">
        <v>40</v>
      </c>
      <c r="L2810" s="10"/>
      <c r="M2810" s="10" t="s">
        <v>47</v>
      </c>
      <c r="N2810" s="10"/>
      <c r="O2810" s="2">
        <v>5</v>
      </c>
      <c r="P2810" s="17">
        <f>137*(1-S3/100)</f>
        <v>137</v>
      </c>
      <c r="Q2810" s="18"/>
      <c r="R2810" s="10">
        <f t="shared" si="123"/>
        <v>0</v>
      </c>
      <c r="S2810" s="19">
        <f>0.144*Q2810</f>
        <v>0</v>
      </c>
      <c r="T2810" s="20">
        <f>0.00021*Q2810</f>
        <v>0</v>
      </c>
      <c r="U2810" s="21"/>
      <c r="V2810" s="22" t="s">
        <v>12711</v>
      </c>
      <c r="W2810" s="22" t="s">
        <v>49</v>
      </c>
      <c r="X2810" s="3" t="s">
        <v>10276</v>
      </c>
      <c r="Y2810" s="3"/>
      <c r="Z2810" s="3" t="s">
        <v>52</v>
      </c>
      <c r="AA2810" s="3"/>
      <c r="AB2810" s="3"/>
      <c r="AC2810" s="3" t="str">
        <f>HYPERLINK("https://knigipp.ru/api/getInfo/image/adaf4479-8e0e-11eb-a278-ac1f6b442184")</f>
        <v>https://knigipp.ru/api/getInfo/image/adaf4479-8e0e-11eb-a278-ac1f6b442184</v>
      </c>
      <c r="AD2810" s="32">
        <v>10</v>
      </c>
      <c r="AE2810" s="3"/>
      <c r="AF2810" s="3" t="s">
        <v>209</v>
      </c>
      <c r="AG2810" s="3"/>
      <c r="AH2810" s="3" t="s">
        <v>56</v>
      </c>
      <c r="AI2810" s="3"/>
      <c r="AJ2810" s="3" t="s">
        <v>12335</v>
      </c>
      <c r="AK2810" s="3" t="str">
        <f>HYPERLINK("https://knigipp.ru/api/getInfo/item/adaf4479-8e0e-11eb-a278-ac1f6b442184")</f>
        <v>https://knigipp.ru/api/getInfo/item/adaf4479-8e0e-11eb-a278-ac1f6b442184</v>
      </c>
      <c r="AL2810" s="3" t="s">
        <v>11480</v>
      </c>
    </row>
    <row r="2811" spans="1:38" ht="21" customHeight="1" outlineLevel="4" x14ac:dyDescent="0.2">
      <c r="A2811" s="39">
        <v>2216</v>
      </c>
      <c r="B2811" s="3" t="s">
        <v>12712</v>
      </c>
      <c r="C2811" s="49" t="s">
        <v>12713</v>
      </c>
      <c r="D2811" s="49"/>
      <c r="E2811" s="49"/>
      <c r="F2811" s="49"/>
      <c r="G2811" s="4" t="s">
        <v>12714</v>
      </c>
      <c r="H2811" s="8"/>
      <c r="I2811" s="9" t="s">
        <v>12344</v>
      </c>
      <c r="J2811" s="10"/>
      <c r="K2811" s="11">
        <v>40</v>
      </c>
      <c r="L2811" s="10"/>
      <c r="M2811" s="10" t="s">
        <v>47</v>
      </c>
      <c r="N2811" s="10"/>
      <c r="O2811" s="2">
        <v>5</v>
      </c>
      <c r="P2811" s="17">
        <f>137*(1-S3/100)</f>
        <v>137</v>
      </c>
      <c r="Q2811" s="18"/>
      <c r="R2811" s="10">
        <f t="shared" si="123"/>
        <v>0</v>
      </c>
      <c r="S2811" s="28">
        <f>0.11*Q2811</f>
        <v>0</v>
      </c>
      <c r="T2811" s="20">
        <f>0.00018*Q2811</f>
        <v>0</v>
      </c>
      <c r="U2811" s="21"/>
      <c r="V2811" s="22" t="s">
        <v>12715</v>
      </c>
      <c r="W2811" s="22" t="s">
        <v>49</v>
      </c>
      <c r="X2811" s="3" t="s">
        <v>207</v>
      </c>
      <c r="Y2811" s="3"/>
      <c r="Z2811" s="3" t="s">
        <v>52</v>
      </c>
      <c r="AA2811" s="3"/>
      <c r="AB2811" s="3"/>
      <c r="AC2811" s="3" t="str">
        <f>HYPERLINK("https://knigipp.ru/api/getInfo/image/a4c37262-354e-11ef-a261-00155d82e908")</f>
        <v>https://knigipp.ru/api/getInfo/image/a4c37262-354e-11ef-a261-00155d82e908</v>
      </c>
      <c r="AD2811" s="32">
        <v>10</v>
      </c>
      <c r="AE2811" s="3" t="s">
        <v>54</v>
      </c>
      <c r="AF2811" s="3" t="s">
        <v>209</v>
      </c>
      <c r="AG2811" s="3"/>
      <c r="AH2811" s="3" t="s">
        <v>56</v>
      </c>
      <c r="AI2811" s="3"/>
      <c r="AJ2811" s="3" t="s">
        <v>12335</v>
      </c>
      <c r="AK2811" s="3" t="str">
        <f>HYPERLINK("https://knigipp.ru/api/getInfo/item/a4c37262-354e-11ef-a261-00155d82e908")</f>
        <v>https://knigipp.ru/api/getInfo/item/a4c37262-354e-11ef-a261-00155d82e908</v>
      </c>
      <c r="AL2811" s="3" t="s">
        <v>11480</v>
      </c>
    </row>
    <row r="2812" spans="1:38" ht="21" customHeight="1" outlineLevel="4" x14ac:dyDescent="0.2">
      <c r="A2812" s="39">
        <v>2217</v>
      </c>
      <c r="B2812" s="3" t="s">
        <v>12716</v>
      </c>
      <c r="C2812" s="49" t="s">
        <v>12717</v>
      </c>
      <c r="D2812" s="49"/>
      <c r="E2812" s="49"/>
      <c r="F2812" s="49"/>
      <c r="G2812" s="4" t="s">
        <v>12718</v>
      </c>
      <c r="H2812" s="8"/>
      <c r="I2812" s="9" t="s">
        <v>12344</v>
      </c>
      <c r="J2812" s="10"/>
      <c r="K2812" s="11">
        <v>40</v>
      </c>
      <c r="L2812" s="10"/>
      <c r="M2812" s="10" t="s">
        <v>47</v>
      </c>
      <c r="N2812" s="10"/>
      <c r="O2812" s="2">
        <v>5</v>
      </c>
      <c r="P2812" s="17">
        <f>137*(1-S3/100)</f>
        <v>137</v>
      </c>
      <c r="Q2812" s="18"/>
      <c r="R2812" s="10">
        <f t="shared" si="123"/>
        <v>0</v>
      </c>
      <c r="S2812" s="28">
        <f>0.11*Q2812</f>
        <v>0</v>
      </c>
      <c r="T2812" s="20">
        <f>0.00018*Q2812</f>
        <v>0</v>
      </c>
      <c r="U2812" s="21"/>
      <c r="V2812" s="22" t="s">
        <v>12719</v>
      </c>
      <c r="W2812" s="22" t="s">
        <v>49</v>
      </c>
      <c r="X2812" s="3"/>
      <c r="Y2812" s="3"/>
      <c r="Z2812" s="3" t="s">
        <v>52</v>
      </c>
      <c r="AA2812" s="3"/>
      <c r="AB2812" s="3"/>
      <c r="AC2812" s="3" t="str">
        <f>HYPERLINK("https://knigipp.ru/api/getInfo/image/6f4ba90f-354e-11ef-a261-00155d82e908")</f>
        <v>https://knigipp.ru/api/getInfo/image/6f4ba90f-354e-11ef-a261-00155d82e908</v>
      </c>
      <c r="AD2812" s="32">
        <v>10</v>
      </c>
      <c r="AE2812" s="3" t="s">
        <v>54</v>
      </c>
      <c r="AF2812" s="3" t="s">
        <v>209</v>
      </c>
      <c r="AG2812" s="3"/>
      <c r="AH2812" s="3" t="s">
        <v>56</v>
      </c>
      <c r="AI2812" s="3"/>
      <c r="AJ2812" s="3" t="s">
        <v>12335</v>
      </c>
      <c r="AK2812" s="3" t="str">
        <f>HYPERLINK("https://knigipp.ru/api/getInfo/item/6f4ba90f-354e-11ef-a261-00155d82e908")</f>
        <v>https://knigipp.ru/api/getInfo/item/6f4ba90f-354e-11ef-a261-00155d82e908</v>
      </c>
      <c r="AL2812" s="3" t="s">
        <v>11480</v>
      </c>
    </row>
    <row r="2813" spans="1:38" ht="21" customHeight="1" outlineLevel="4" x14ac:dyDescent="0.2">
      <c r="A2813" s="39">
        <v>2218</v>
      </c>
      <c r="B2813" s="3" t="s">
        <v>12720</v>
      </c>
      <c r="C2813" s="49" t="s">
        <v>12721</v>
      </c>
      <c r="D2813" s="49"/>
      <c r="E2813" s="49"/>
      <c r="F2813" s="49"/>
      <c r="G2813" s="4" t="s">
        <v>12722</v>
      </c>
      <c r="H2813" s="8"/>
      <c r="I2813" s="9" t="s">
        <v>12401</v>
      </c>
      <c r="J2813" s="10"/>
      <c r="K2813" s="11">
        <v>40</v>
      </c>
      <c r="L2813" s="10"/>
      <c r="M2813" s="10" t="s">
        <v>47</v>
      </c>
      <c r="N2813" s="10"/>
      <c r="O2813" s="2">
        <v>5</v>
      </c>
      <c r="P2813" s="17">
        <f>137*(1-S3/100)</f>
        <v>137</v>
      </c>
      <c r="Q2813" s="18"/>
      <c r="R2813" s="10">
        <f t="shared" si="123"/>
        <v>0</v>
      </c>
      <c r="S2813" s="19">
        <f>0.144*Q2813</f>
        <v>0</v>
      </c>
      <c r="T2813" s="20">
        <f>0.00021*Q2813</f>
        <v>0</v>
      </c>
      <c r="U2813" s="21"/>
      <c r="V2813" s="22" t="s">
        <v>12723</v>
      </c>
      <c r="W2813" s="22" t="s">
        <v>49</v>
      </c>
      <c r="X2813" s="3"/>
      <c r="Y2813" s="3"/>
      <c r="Z2813" s="3" t="s">
        <v>52</v>
      </c>
      <c r="AA2813" s="3"/>
      <c r="AB2813" s="3"/>
      <c r="AC2813" s="3" t="str">
        <f>HYPERLINK("https://knigipp.ru/api/getInfo/image/bb07a340-eb66-11ea-a254-ac1f6b442184")</f>
        <v>https://knigipp.ru/api/getInfo/image/bb07a340-eb66-11ea-a254-ac1f6b442184</v>
      </c>
      <c r="AD2813" s="32">
        <v>10</v>
      </c>
      <c r="AE2813" s="3"/>
      <c r="AF2813" s="3" t="s">
        <v>209</v>
      </c>
      <c r="AG2813" s="3"/>
      <c r="AH2813" s="3" t="s">
        <v>56</v>
      </c>
      <c r="AI2813" s="3"/>
      <c r="AJ2813" s="3" t="s">
        <v>12335</v>
      </c>
      <c r="AK2813" s="3" t="str">
        <f>HYPERLINK("https://knigipp.ru/api/getInfo/item/bb07a340-eb66-11ea-a254-ac1f6b442184")</f>
        <v>https://knigipp.ru/api/getInfo/item/bb07a340-eb66-11ea-a254-ac1f6b442184</v>
      </c>
      <c r="AL2813" s="3" t="s">
        <v>11480</v>
      </c>
    </row>
    <row r="2814" spans="1:38" ht="21" customHeight="1" outlineLevel="4" x14ac:dyDescent="0.2">
      <c r="A2814" s="39">
        <v>2219</v>
      </c>
      <c r="B2814" s="3" t="s">
        <v>12724</v>
      </c>
      <c r="C2814" s="49" t="s">
        <v>12725</v>
      </c>
      <c r="D2814" s="49"/>
      <c r="E2814" s="49"/>
      <c r="F2814" s="49"/>
      <c r="G2814" s="4" t="s">
        <v>12726</v>
      </c>
      <c r="H2814" s="8"/>
      <c r="I2814" s="9" t="s">
        <v>12401</v>
      </c>
      <c r="J2814" s="10"/>
      <c r="K2814" s="11">
        <v>40</v>
      </c>
      <c r="L2814" s="10"/>
      <c r="M2814" s="10" t="s">
        <v>304</v>
      </c>
      <c r="N2814" s="10"/>
      <c r="O2814" s="2">
        <v>5</v>
      </c>
      <c r="P2814" s="17">
        <f>137*(1-S3/100)</f>
        <v>137</v>
      </c>
      <c r="Q2814" s="18"/>
      <c r="R2814" s="10">
        <f t="shared" si="123"/>
        <v>0</v>
      </c>
      <c r="S2814" s="19">
        <f>0.144*Q2814</f>
        <v>0</v>
      </c>
      <c r="T2814" s="20">
        <f>0.00021*Q2814</f>
        <v>0</v>
      </c>
      <c r="U2814" s="21"/>
      <c r="V2814" s="22" t="s">
        <v>12727</v>
      </c>
      <c r="W2814" s="22" t="s">
        <v>49</v>
      </c>
      <c r="X2814" s="3" t="s">
        <v>319</v>
      </c>
      <c r="Y2814" s="3"/>
      <c r="Z2814" s="3" t="s">
        <v>52</v>
      </c>
      <c r="AA2814" s="3"/>
      <c r="AB2814" s="3"/>
      <c r="AC2814" s="3" t="str">
        <f>HYPERLINK("https://knigipp.ru/api/getInfo/image/f71455b2-8e0e-11eb-a278-ac1f6b442184")</f>
        <v>https://knigipp.ru/api/getInfo/image/f71455b2-8e0e-11eb-a278-ac1f6b442184</v>
      </c>
      <c r="AD2814" s="32">
        <v>10</v>
      </c>
      <c r="AE2814" s="3"/>
      <c r="AF2814" s="3" t="s">
        <v>209</v>
      </c>
      <c r="AG2814" s="3"/>
      <c r="AH2814" s="3" t="s">
        <v>56</v>
      </c>
      <c r="AI2814" s="3"/>
      <c r="AJ2814" s="3" t="s">
        <v>12335</v>
      </c>
      <c r="AK2814" s="3" t="str">
        <f>HYPERLINK("https://knigipp.ru/api/getInfo/item/f71455b2-8e0e-11eb-a278-ac1f6b442184")</f>
        <v>https://knigipp.ru/api/getInfo/item/f71455b2-8e0e-11eb-a278-ac1f6b442184</v>
      </c>
      <c r="AL2814" s="3" t="s">
        <v>11480</v>
      </c>
    </row>
    <row r="2815" spans="1:38" ht="21" customHeight="1" outlineLevel="4" x14ac:dyDescent="0.2">
      <c r="A2815" s="39">
        <v>2220</v>
      </c>
      <c r="B2815" s="3" t="s">
        <v>12728</v>
      </c>
      <c r="C2815" s="49" t="s">
        <v>12729</v>
      </c>
      <c r="D2815" s="49"/>
      <c r="E2815" s="49"/>
      <c r="F2815" s="49"/>
      <c r="G2815" s="4" t="s">
        <v>12730</v>
      </c>
      <c r="H2815" s="8"/>
      <c r="I2815" s="9" t="s">
        <v>12344</v>
      </c>
      <c r="J2815" s="10"/>
      <c r="K2815" s="11">
        <v>40</v>
      </c>
      <c r="L2815" s="10"/>
      <c r="M2815" s="10" t="s">
        <v>47</v>
      </c>
      <c r="N2815" s="10"/>
      <c r="O2815" s="2">
        <v>5</v>
      </c>
      <c r="P2815" s="17">
        <f>137*(1-S3/100)</f>
        <v>137</v>
      </c>
      <c r="Q2815" s="18"/>
      <c r="R2815" s="10">
        <f t="shared" si="123"/>
        <v>0</v>
      </c>
      <c r="S2815" s="19">
        <f>0.109*Q2815</f>
        <v>0</v>
      </c>
      <c r="T2815" s="20">
        <f>0.00018*Q2815</f>
        <v>0</v>
      </c>
      <c r="U2815" s="21"/>
      <c r="V2815" s="22" t="s">
        <v>12731</v>
      </c>
      <c r="W2815" s="22" t="s">
        <v>49</v>
      </c>
      <c r="X2815" s="3"/>
      <c r="Y2815" s="3" t="s">
        <v>12732</v>
      </c>
      <c r="Z2815" s="3" t="s">
        <v>52</v>
      </c>
      <c r="AA2815" s="3"/>
      <c r="AB2815" s="3"/>
      <c r="AC2815" s="3" t="str">
        <f>HYPERLINK("https://knigipp.ru/api/getInfo/image/68bc2068-354f-11ef-a261-00155d82e908")</f>
        <v>https://knigipp.ru/api/getInfo/image/68bc2068-354f-11ef-a261-00155d82e908</v>
      </c>
      <c r="AD2815" s="32">
        <v>10</v>
      </c>
      <c r="AE2815" s="3"/>
      <c r="AF2815" s="3" t="s">
        <v>209</v>
      </c>
      <c r="AG2815" s="3"/>
      <c r="AH2815" s="3" t="s">
        <v>56</v>
      </c>
      <c r="AI2815" s="3"/>
      <c r="AJ2815" s="3" t="s">
        <v>12335</v>
      </c>
      <c r="AK2815" s="3" t="str">
        <f>HYPERLINK("https://knigipp.ru/api/getInfo/item/68bc2068-354f-11ef-a261-00155d82e908")</f>
        <v>https://knigipp.ru/api/getInfo/item/68bc2068-354f-11ef-a261-00155d82e908</v>
      </c>
      <c r="AL2815" s="3" t="s">
        <v>11480</v>
      </c>
    </row>
    <row r="2816" spans="1:38" ht="21" customHeight="1" outlineLevel="4" x14ac:dyDescent="0.2">
      <c r="A2816" s="39">
        <v>2221</v>
      </c>
      <c r="B2816" s="3" t="s">
        <v>12733</v>
      </c>
      <c r="C2816" s="49" t="s">
        <v>12734</v>
      </c>
      <c r="D2816" s="49"/>
      <c r="E2816" s="49"/>
      <c r="F2816" s="49"/>
      <c r="G2816" s="4" t="s">
        <v>12735</v>
      </c>
      <c r="H2816" s="8"/>
      <c r="I2816" s="9" t="s">
        <v>12505</v>
      </c>
      <c r="J2816" s="10"/>
      <c r="K2816" s="11">
        <v>40</v>
      </c>
      <c r="L2816" s="10"/>
      <c r="M2816" s="10" t="s">
        <v>47</v>
      </c>
      <c r="N2816" s="10"/>
      <c r="O2816" s="2">
        <v>5</v>
      </c>
      <c r="P2816" s="17">
        <f>137*(1-S3/100)</f>
        <v>137</v>
      </c>
      <c r="Q2816" s="18"/>
      <c r="R2816" s="10">
        <f t="shared" si="123"/>
        <v>0</v>
      </c>
      <c r="S2816" s="19">
        <f>0.144*Q2816</f>
        <v>0</v>
      </c>
      <c r="T2816" s="20">
        <f>0.00021*Q2816</f>
        <v>0</v>
      </c>
      <c r="U2816" s="21"/>
      <c r="V2816" s="22" t="s">
        <v>12736</v>
      </c>
      <c r="W2816" s="22" t="s">
        <v>49</v>
      </c>
      <c r="X2816" s="3"/>
      <c r="Y2816" s="3"/>
      <c r="Z2816" s="3" t="s">
        <v>52</v>
      </c>
      <c r="AA2816" s="3"/>
      <c r="AB2816" s="3"/>
      <c r="AC2816" s="3" t="str">
        <f>HYPERLINK("https://knigipp.ru/api/getInfo/image/7c3dd2b2-33d0-11eb-a25e-ac1f6b442184")</f>
        <v>https://knigipp.ru/api/getInfo/image/7c3dd2b2-33d0-11eb-a25e-ac1f6b442184</v>
      </c>
      <c r="AD2816" s="32">
        <v>10</v>
      </c>
      <c r="AE2816" s="3"/>
      <c r="AF2816" s="3" t="s">
        <v>209</v>
      </c>
      <c r="AG2816" s="3"/>
      <c r="AH2816" s="3" t="s">
        <v>56</v>
      </c>
      <c r="AI2816" s="3"/>
      <c r="AJ2816" s="3" t="s">
        <v>12335</v>
      </c>
      <c r="AK2816" s="3" t="str">
        <f>HYPERLINK("https://knigipp.ru/api/getInfo/item/7c3dd2b2-33d0-11eb-a25e-ac1f6b442184")</f>
        <v>https://knigipp.ru/api/getInfo/item/7c3dd2b2-33d0-11eb-a25e-ac1f6b442184</v>
      </c>
      <c r="AL2816" s="3" t="s">
        <v>11480</v>
      </c>
    </row>
    <row r="2817" spans="1:38" ht="21" customHeight="1" outlineLevel="4" x14ac:dyDescent="0.2">
      <c r="A2817" s="39">
        <v>2222</v>
      </c>
      <c r="B2817" s="3" t="s">
        <v>12737</v>
      </c>
      <c r="C2817" s="49" t="s">
        <v>12738</v>
      </c>
      <c r="D2817" s="49"/>
      <c r="E2817" s="49"/>
      <c r="F2817" s="49"/>
      <c r="G2817" s="4" t="s">
        <v>12739</v>
      </c>
      <c r="H2817" s="8"/>
      <c r="I2817" s="9" t="s">
        <v>12740</v>
      </c>
      <c r="J2817" s="10"/>
      <c r="K2817" s="11">
        <v>40</v>
      </c>
      <c r="L2817" s="10"/>
      <c r="M2817" s="10" t="s">
        <v>47</v>
      </c>
      <c r="N2817" s="10"/>
      <c r="O2817" s="2">
        <v>5</v>
      </c>
      <c r="P2817" s="17">
        <f>137*(1-S3/100)</f>
        <v>137</v>
      </c>
      <c r="Q2817" s="18"/>
      <c r="R2817" s="10">
        <f t="shared" si="123"/>
        <v>0</v>
      </c>
      <c r="S2817" s="28">
        <f>0.11*Q2817</f>
        <v>0</v>
      </c>
      <c r="T2817" s="20">
        <f>0.00022*Q2817</f>
        <v>0</v>
      </c>
      <c r="U2817" s="21"/>
      <c r="V2817" s="22" t="s">
        <v>12741</v>
      </c>
      <c r="W2817" s="22" t="s">
        <v>49</v>
      </c>
      <c r="X2817" s="3"/>
      <c r="Y2817" s="3" t="s">
        <v>12742</v>
      </c>
      <c r="Z2817" s="3" t="s">
        <v>52</v>
      </c>
      <c r="AA2817" s="3"/>
      <c r="AB2817" s="3"/>
      <c r="AC2817" s="3" t="str">
        <f>HYPERLINK("https://knigipp.ru/api/getInfo/image/caa78216-9e0d-11f0-a285-00155d82e908")</f>
        <v>https://knigipp.ru/api/getInfo/image/caa78216-9e0d-11f0-a285-00155d82e908</v>
      </c>
      <c r="AD2817" s="32">
        <v>10</v>
      </c>
      <c r="AE2817" s="3" t="s">
        <v>54</v>
      </c>
      <c r="AF2817" s="3" t="s">
        <v>209</v>
      </c>
      <c r="AG2817" s="3"/>
      <c r="AH2817" s="3" t="s">
        <v>56</v>
      </c>
      <c r="AI2817" s="3"/>
      <c r="AJ2817" s="3"/>
      <c r="AK2817" s="3" t="str">
        <f>HYPERLINK("https://knigipp.ru/api/getInfo/item/caa78216-9e0d-11f0-a285-00155d82e908")</f>
        <v>https://knigipp.ru/api/getInfo/item/caa78216-9e0d-11f0-a285-00155d82e908</v>
      </c>
      <c r="AL2817" s="3" t="s">
        <v>11480</v>
      </c>
    </row>
    <row r="2818" spans="1:38" ht="21" customHeight="1" outlineLevel="4" x14ac:dyDescent="0.2">
      <c r="A2818" s="39">
        <v>2223</v>
      </c>
      <c r="B2818" s="3" t="s">
        <v>12743</v>
      </c>
      <c r="C2818" s="49" t="s">
        <v>12744</v>
      </c>
      <c r="D2818" s="49"/>
      <c r="E2818" s="49"/>
      <c r="F2818" s="49"/>
      <c r="G2818" s="4" t="s">
        <v>12745</v>
      </c>
      <c r="H2818" s="8"/>
      <c r="I2818" s="9" t="s">
        <v>12740</v>
      </c>
      <c r="J2818" s="10"/>
      <c r="K2818" s="11">
        <v>40</v>
      </c>
      <c r="L2818" s="10"/>
      <c r="M2818" s="10" t="s">
        <v>47</v>
      </c>
      <c r="N2818" s="10"/>
      <c r="O2818" s="2">
        <v>5</v>
      </c>
      <c r="P2818" s="17">
        <f>137*(1-S3/100)</f>
        <v>137</v>
      </c>
      <c r="Q2818" s="18"/>
      <c r="R2818" s="10">
        <f t="shared" si="123"/>
        <v>0</v>
      </c>
      <c r="S2818" s="28">
        <f>0.11*Q2818</f>
        <v>0</v>
      </c>
      <c r="T2818" s="20">
        <f>0.00022*Q2818</f>
        <v>0</v>
      </c>
      <c r="U2818" s="21"/>
      <c r="V2818" s="22" t="s">
        <v>12746</v>
      </c>
      <c r="W2818" s="22" t="s">
        <v>49</v>
      </c>
      <c r="X2818" s="3"/>
      <c r="Y2818" s="3" t="s">
        <v>12747</v>
      </c>
      <c r="Z2818" s="3" t="s">
        <v>52</v>
      </c>
      <c r="AA2818" s="3"/>
      <c r="AB2818" s="3"/>
      <c r="AC2818" s="3" t="str">
        <f>HYPERLINK("https://knigipp.ru/api/getInfo/image/3bbfc69c-9e08-11f0-a285-00155d82e908")</f>
        <v>https://knigipp.ru/api/getInfo/image/3bbfc69c-9e08-11f0-a285-00155d82e908</v>
      </c>
      <c r="AD2818" s="32">
        <v>10</v>
      </c>
      <c r="AE2818" s="3" t="s">
        <v>54</v>
      </c>
      <c r="AF2818" s="3" t="s">
        <v>209</v>
      </c>
      <c r="AG2818" s="3"/>
      <c r="AH2818" s="3" t="s">
        <v>56</v>
      </c>
      <c r="AI2818" s="3"/>
      <c r="AJ2818" s="3"/>
      <c r="AK2818" s="3" t="str">
        <f>HYPERLINK("https://knigipp.ru/api/getInfo/item/3bbfc69c-9e08-11f0-a285-00155d82e908")</f>
        <v>https://knigipp.ru/api/getInfo/item/3bbfc69c-9e08-11f0-a285-00155d82e908</v>
      </c>
      <c r="AL2818" s="3" t="s">
        <v>11480</v>
      </c>
    </row>
    <row r="2819" spans="1:38" ht="21" customHeight="1" outlineLevel="4" x14ac:dyDescent="0.2">
      <c r="A2819" s="39">
        <v>2224</v>
      </c>
      <c r="B2819" s="3" t="s">
        <v>12748</v>
      </c>
      <c r="C2819" s="49" t="s">
        <v>12749</v>
      </c>
      <c r="D2819" s="49"/>
      <c r="E2819" s="49"/>
      <c r="F2819" s="49"/>
      <c r="G2819" s="4" t="s">
        <v>12750</v>
      </c>
      <c r="H2819" s="8"/>
      <c r="I2819" s="9" t="s">
        <v>12740</v>
      </c>
      <c r="J2819" s="10"/>
      <c r="K2819" s="11">
        <v>40</v>
      </c>
      <c r="L2819" s="10"/>
      <c r="M2819" s="10" t="s">
        <v>47</v>
      </c>
      <c r="N2819" s="10"/>
      <c r="O2819" s="2">
        <v>5</v>
      </c>
      <c r="P2819" s="17">
        <f>137*(1-S3/100)</f>
        <v>137</v>
      </c>
      <c r="Q2819" s="18"/>
      <c r="R2819" s="10">
        <f t="shared" si="123"/>
        <v>0</v>
      </c>
      <c r="S2819" s="19">
        <f>0.112*Q2819</f>
        <v>0</v>
      </c>
      <c r="T2819" s="20">
        <f>0.00022*Q2819</f>
        <v>0</v>
      </c>
      <c r="U2819" s="21"/>
      <c r="V2819" s="22" t="s">
        <v>12751</v>
      </c>
      <c r="W2819" s="22" t="s">
        <v>49</v>
      </c>
      <c r="X2819" s="3"/>
      <c r="Y2819" s="3" t="s">
        <v>12752</v>
      </c>
      <c r="Z2819" s="3" t="s">
        <v>52</v>
      </c>
      <c r="AA2819" s="3"/>
      <c r="AB2819" s="3"/>
      <c r="AC2819" s="3" t="str">
        <f>HYPERLINK("https://knigipp.ru/api/getInfo/image/95fd267f-9e0d-11f0-a285-00155d82e908")</f>
        <v>https://knigipp.ru/api/getInfo/image/95fd267f-9e0d-11f0-a285-00155d82e908</v>
      </c>
      <c r="AD2819" s="32">
        <v>10</v>
      </c>
      <c r="AE2819" s="3" t="s">
        <v>54</v>
      </c>
      <c r="AF2819" s="3" t="s">
        <v>209</v>
      </c>
      <c r="AG2819" s="3"/>
      <c r="AH2819" s="3" t="s">
        <v>56</v>
      </c>
      <c r="AI2819" s="3"/>
      <c r="AJ2819" s="3"/>
      <c r="AK2819" s="3" t="str">
        <f>HYPERLINK("https://knigipp.ru/api/getInfo/item/95fd267f-9e0d-11f0-a285-00155d82e908")</f>
        <v>https://knigipp.ru/api/getInfo/item/95fd267f-9e0d-11f0-a285-00155d82e908</v>
      </c>
      <c r="AL2819" s="3" t="s">
        <v>11480</v>
      </c>
    </row>
    <row r="2820" spans="1:38" ht="21" customHeight="1" outlineLevel="4" x14ac:dyDescent="0.2">
      <c r="A2820" s="39">
        <v>2225</v>
      </c>
      <c r="B2820" s="3" t="s">
        <v>12753</v>
      </c>
      <c r="C2820" s="49" t="s">
        <v>12754</v>
      </c>
      <c r="D2820" s="49"/>
      <c r="E2820" s="49"/>
      <c r="F2820" s="49"/>
      <c r="G2820" s="4" t="s">
        <v>12755</v>
      </c>
      <c r="H2820" s="8"/>
      <c r="I2820" s="9" t="s">
        <v>12740</v>
      </c>
      <c r="J2820" s="10"/>
      <c r="K2820" s="11">
        <v>40</v>
      </c>
      <c r="L2820" s="10"/>
      <c r="M2820" s="10" t="s">
        <v>47</v>
      </c>
      <c r="N2820" s="10"/>
      <c r="O2820" s="2">
        <v>5</v>
      </c>
      <c r="P2820" s="17">
        <f>137*(1-S3/100)</f>
        <v>137</v>
      </c>
      <c r="Q2820" s="18"/>
      <c r="R2820" s="10">
        <f t="shared" si="123"/>
        <v>0</v>
      </c>
      <c r="S2820" s="19">
        <f>0.112*Q2820</f>
        <v>0</v>
      </c>
      <c r="T2820" s="20">
        <f>0.00022*Q2820</f>
        <v>0</v>
      </c>
      <c r="U2820" s="21"/>
      <c r="V2820" s="22" t="s">
        <v>12756</v>
      </c>
      <c r="W2820" s="22" t="s">
        <v>49</v>
      </c>
      <c r="X2820" s="3"/>
      <c r="Y2820" s="3" t="s">
        <v>12757</v>
      </c>
      <c r="Z2820" s="3" t="s">
        <v>52</v>
      </c>
      <c r="AA2820" s="3"/>
      <c r="AB2820" s="3"/>
      <c r="AC2820" s="3" t="str">
        <f>HYPERLINK("https://knigipp.ru/api/getInfo/image/6fa38010-9e0d-11f0-a285-00155d82e908")</f>
        <v>https://knigipp.ru/api/getInfo/image/6fa38010-9e0d-11f0-a285-00155d82e908</v>
      </c>
      <c r="AD2820" s="32">
        <v>10</v>
      </c>
      <c r="AE2820" s="3" t="s">
        <v>54</v>
      </c>
      <c r="AF2820" s="3" t="s">
        <v>209</v>
      </c>
      <c r="AG2820" s="3"/>
      <c r="AH2820" s="3" t="s">
        <v>56</v>
      </c>
      <c r="AI2820" s="3"/>
      <c r="AJ2820" s="3"/>
      <c r="AK2820" s="3" t="str">
        <f>HYPERLINK("https://knigipp.ru/api/getInfo/item/6fa38010-9e0d-11f0-a285-00155d82e908")</f>
        <v>https://knigipp.ru/api/getInfo/item/6fa38010-9e0d-11f0-a285-00155d82e908</v>
      </c>
      <c r="AL2820" s="3" t="s">
        <v>11480</v>
      </c>
    </row>
    <row r="2821" spans="1:38" ht="21" customHeight="1" outlineLevel="4" x14ac:dyDescent="0.2">
      <c r="A2821" s="39">
        <v>2226</v>
      </c>
      <c r="B2821" s="3" t="s">
        <v>12758</v>
      </c>
      <c r="C2821" s="49" t="s">
        <v>12759</v>
      </c>
      <c r="D2821" s="49"/>
      <c r="E2821" s="49"/>
      <c r="F2821" s="49"/>
      <c r="G2821" s="4" t="s">
        <v>12760</v>
      </c>
      <c r="H2821" s="8"/>
      <c r="I2821" s="9" t="s">
        <v>12332</v>
      </c>
      <c r="J2821" s="10"/>
      <c r="K2821" s="11">
        <v>40</v>
      </c>
      <c r="L2821" s="10"/>
      <c r="M2821" s="10" t="s">
        <v>47</v>
      </c>
      <c r="N2821" s="10"/>
      <c r="O2821" s="2">
        <v>5</v>
      </c>
      <c r="P2821" s="17">
        <f>137*(1-S3/100)</f>
        <v>137</v>
      </c>
      <c r="Q2821" s="18"/>
      <c r="R2821" s="10">
        <f t="shared" si="123"/>
        <v>0</v>
      </c>
      <c r="S2821" s="28">
        <f>0.19*Q2821</f>
        <v>0</v>
      </c>
      <c r="T2821" s="20">
        <f>0.00028*Q2821</f>
        <v>0</v>
      </c>
      <c r="U2821" s="21"/>
      <c r="V2821" s="22" t="s">
        <v>12761</v>
      </c>
      <c r="W2821" s="22" t="s">
        <v>49</v>
      </c>
      <c r="X2821" s="3" t="s">
        <v>117</v>
      </c>
      <c r="Y2821" s="3" t="s">
        <v>12762</v>
      </c>
      <c r="Z2821" s="3" t="s">
        <v>52</v>
      </c>
      <c r="AA2821" s="3"/>
      <c r="AB2821" s="3"/>
      <c r="AC2821" s="3" t="str">
        <f>HYPERLINK("https://knigipp.ru/api/getInfo/image/196f46a0-e573-11f0-a28c-00155d82e908")</f>
        <v>https://knigipp.ru/api/getInfo/image/196f46a0-e573-11f0-a28c-00155d82e908</v>
      </c>
      <c r="AD2821" s="32">
        <v>10</v>
      </c>
      <c r="AE2821" s="3" t="s">
        <v>54</v>
      </c>
      <c r="AF2821" s="3" t="s">
        <v>209</v>
      </c>
      <c r="AG2821" s="3"/>
      <c r="AH2821" s="3" t="s">
        <v>56</v>
      </c>
      <c r="AI2821" s="3"/>
      <c r="AJ2821" s="3" t="s">
        <v>12335</v>
      </c>
      <c r="AK2821" s="3" t="str">
        <f>HYPERLINK("https://knigipp.ru/api/getInfo/item/196f46a0-e573-11f0-a28c-00155d82e908")</f>
        <v>https://knigipp.ru/api/getInfo/item/196f46a0-e573-11f0-a28c-00155d82e908</v>
      </c>
      <c r="AL2821" s="3" t="s">
        <v>11480</v>
      </c>
    </row>
    <row r="2822" spans="1:38" ht="23.1" customHeight="1" outlineLevel="3" x14ac:dyDescent="0.2">
      <c r="A2822" s="48" t="s">
        <v>12763</v>
      </c>
      <c r="B2822" s="48"/>
      <c r="C2822" s="48"/>
      <c r="D2822" s="48"/>
      <c r="E2822" s="48"/>
      <c r="F2822" s="48"/>
    </row>
    <row r="2823" spans="1:38" ht="21" customHeight="1" outlineLevel="4" x14ac:dyDescent="0.2">
      <c r="A2823" s="40">
        <v>2227</v>
      </c>
      <c r="B2823" s="6" t="s">
        <v>12764</v>
      </c>
      <c r="C2823" s="54" t="s">
        <v>12765</v>
      </c>
      <c r="D2823" s="54"/>
      <c r="E2823" s="54"/>
      <c r="F2823" s="54"/>
      <c r="G2823" s="7" t="s">
        <v>12766</v>
      </c>
      <c r="H2823" s="12"/>
      <c r="I2823" s="13" t="s">
        <v>12767</v>
      </c>
      <c r="J2823" s="14"/>
      <c r="K2823" s="15">
        <v>48</v>
      </c>
      <c r="L2823" s="14"/>
      <c r="M2823" s="14" t="s">
        <v>47</v>
      </c>
      <c r="N2823" s="14"/>
      <c r="O2823" s="5">
        <v>8</v>
      </c>
      <c r="P2823" s="23">
        <f>97*(1-S3/100)</f>
        <v>97</v>
      </c>
      <c r="Q2823" s="18"/>
      <c r="R2823" s="14">
        <f t="shared" ref="R2823:R2854" si="124">P2823*Q2823</f>
        <v>0</v>
      </c>
      <c r="S2823" s="24">
        <f>0.051*Q2823</f>
        <v>0</v>
      </c>
      <c r="T2823" s="25">
        <f>0.00005*Q2823</f>
        <v>0</v>
      </c>
      <c r="U2823" s="26" t="s">
        <v>62</v>
      </c>
      <c r="V2823" s="27" t="s">
        <v>12768</v>
      </c>
      <c r="W2823" s="27" t="s">
        <v>49</v>
      </c>
      <c r="X2823" s="6"/>
      <c r="Y2823" s="6"/>
      <c r="Z2823" s="6" t="s">
        <v>52</v>
      </c>
      <c r="AA2823" s="6"/>
      <c r="AB2823" s="6"/>
      <c r="AC2823" s="6" t="str">
        <f>HYPERLINK("https://knigipp.ru/api/getInfo/image/86996382-6e30-11f1-a29a-00155d82e908")</f>
        <v>https://knigipp.ru/api/getInfo/image/86996382-6e30-11f1-a29a-00155d82e908</v>
      </c>
      <c r="AD2823" s="33">
        <v>10</v>
      </c>
      <c r="AE2823" s="6" t="s">
        <v>54</v>
      </c>
      <c r="AF2823" s="6" t="s">
        <v>209</v>
      </c>
      <c r="AG2823" s="6"/>
      <c r="AH2823" s="6" t="s">
        <v>56</v>
      </c>
      <c r="AI2823" s="6"/>
      <c r="AJ2823" s="6"/>
      <c r="AK2823" s="6" t="str">
        <f>HYPERLINK("https://knigipp.ru/api/getInfo/item/86996382-6e30-11f1-a29a-00155d82e908")</f>
        <v>https://knigipp.ru/api/getInfo/item/86996382-6e30-11f1-a29a-00155d82e908</v>
      </c>
      <c r="AL2823" s="6" t="s">
        <v>722</v>
      </c>
    </row>
    <row r="2824" spans="1:38" ht="21" customHeight="1" outlineLevel="4" x14ac:dyDescent="0.2">
      <c r="A2824" s="40">
        <v>2228</v>
      </c>
      <c r="B2824" s="6" t="s">
        <v>12769</v>
      </c>
      <c r="C2824" s="54" t="s">
        <v>12770</v>
      </c>
      <c r="D2824" s="54"/>
      <c r="E2824" s="54"/>
      <c r="F2824" s="54"/>
      <c r="G2824" s="7" t="s">
        <v>12771</v>
      </c>
      <c r="H2824" s="12"/>
      <c r="I2824" s="13" t="s">
        <v>12767</v>
      </c>
      <c r="J2824" s="14"/>
      <c r="K2824" s="15">
        <v>48</v>
      </c>
      <c r="L2824" s="14"/>
      <c r="M2824" s="14" t="s">
        <v>47</v>
      </c>
      <c r="N2824" s="14"/>
      <c r="O2824" s="5">
        <v>8</v>
      </c>
      <c r="P2824" s="23">
        <f>97*(1-S3/100)</f>
        <v>97</v>
      </c>
      <c r="Q2824" s="18"/>
      <c r="R2824" s="14">
        <f t="shared" si="124"/>
        <v>0</v>
      </c>
      <c r="S2824" s="24">
        <f>0.048*Q2824</f>
        <v>0</v>
      </c>
      <c r="T2824" s="31">
        <f>0.0001*Q2824</f>
        <v>0</v>
      </c>
      <c r="U2824" s="26" t="s">
        <v>62</v>
      </c>
      <c r="V2824" s="27" t="s">
        <v>12772</v>
      </c>
      <c r="W2824" s="27" t="s">
        <v>49</v>
      </c>
      <c r="X2824" s="6" t="s">
        <v>117</v>
      </c>
      <c r="Y2824" s="6"/>
      <c r="Z2824" s="6" t="s">
        <v>52</v>
      </c>
      <c r="AA2824" s="6"/>
      <c r="AB2824" s="6"/>
      <c r="AC2824" s="6" t="str">
        <f>HYPERLINK("https://knigipp.ru/api/getInfo/image/b2ee3a36-6e30-11f1-a29a-00155d82e908")</f>
        <v>https://knigipp.ru/api/getInfo/image/b2ee3a36-6e30-11f1-a29a-00155d82e908</v>
      </c>
      <c r="AD2824" s="33">
        <v>10</v>
      </c>
      <c r="AE2824" s="6" t="s">
        <v>54</v>
      </c>
      <c r="AF2824" s="6" t="s">
        <v>209</v>
      </c>
      <c r="AG2824" s="6"/>
      <c r="AH2824" s="6" t="s">
        <v>56</v>
      </c>
      <c r="AI2824" s="6"/>
      <c r="AJ2824" s="6"/>
      <c r="AK2824" s="6" t="str">
        <f>HYPERLINK("https://knigipp.ru/api/getInfo/item/b2ee3a36-6e30-11f1-a29a-00155d82e908")</f>
        <v>https://knigipp.ru/api/getInfo/item/b2ee3a36-6e30-11f1-a29a-00155d82e908</v>
      </c>
      <c r="AL2824" s="6" t="s">
        <v>722</v>
      </c>
    </row>
    <row r="2825" spans="1:38" ht="21" customHeight="1" outlineLevel="4" x14ac:dyDescent="0.2">
      <c r="A2825" s="40">
        <v>2229</v>
      </c>
      <c r="B2825" s="6" t="s">
        <v>12773</v>
      </c>
      <c r="C2825" s="54" t="s">
        <v>12774</v>
      </c>
      <c r="D2825" s="54"/>
      <c r="E2825" s="54"/>
      <c r="F2825" s="54"/>
      <c r="G2825" s="7" t="s">
        <v>12775</v>
      </c>
      <c r="H2825" s="12"/>
      <c r="I2825" s="13" t="s">
        <v>12767</v>
      </c>
      <c r="J2825" s="14"/>
      <c r="K2825" s="15">
        <v>48</v>
      </c>
      <c r="L2825" s="14"/>
      <c r="M2825" s="14" t="s">
        <v>47</v>
      </c>
      <c r="N2825" s="14"/>
      <c r="O2825" s="5">
        <v>8</v>
      </c>
      <c r="P2825" s="23">
        <f>97*(1-S3/100)</f>
        <v>97</v>
      </c>
      <c r="Q2825" s="18"/>
      <c r="R2825" s="14">
        <f t="shared" si="124"/>
        <v>0</v>
      </c>
      <c r="S2825" s="24">
        <f>0.049*Q2825</f>
        <v>0</v>
      </c>
      <c r="T2825" s="31">
        <f>0.0001*Q2825</f>
        <v>0</v>
      </c>
      <c r="U2825" s="26" t="s">
        <v>62</v>
      </c>
      <c r="V2825" s="27" t="s">
        <v>12776</v>
      </c>
      <c r="W2825" s="27" t="s">
        <v>49</v>
      </c>
      <c r="X2825" s="6"/>
      <c r="Y2825" s="6"/>
      <c r="Z2825" s="6" t="s">
        <v>52</v>
      </c>
      <c r="AA2825" s="6"/>
      <c r="AB2825" s="6"/>
      <c r="AC2825" s="6" t="str">
        <f>HYPERLINK("https://knigipp.ru/api/getInfo/image/e588efb6-6e30-11f1-a29a-00155d82e908")</f>
        <v>https://knigipp.ru/api/getInfo/image/e588efb6-6e30-11f1-a29a-00155d82e908</v>
      </c>
      <c r="AD2825" s="33">
        <v>10</v>
      </c>
      <c r="AE2825" s="6" t="s">
        <v>54</v>
      </c>
      <c r="AF2825" s="6" t="s">
        <v>209</v>
      </c>
      <c r="AG2825" s="6"/>
      <c r="AH2825" s="6" t="s">
        <v>56</v>
      </c>
      <c r="AI2825" s="6"/>
      <c r="AJ2825" s="6"/>
      <c r="AK2825" s="6" t="str">
        <f>HYPERLINK("https://knigipp.ru/api/getInfo/item/e588efb6-6e30-11f1-a29a-00155d82e908")</f>
        <v>https://knigipp.ru/api/getInfo/item/e588efb6-6e30-11f1-a29a-00155d82e908</v>
      </c>
      <c r="AL2825" s="6" t="s">
        <v>722</v>
      </c>
    </row>
    <row r="2826" spans="1:38" ht="21" customHeight="1" outlineLevel="4" x14ac:dyDescent="0.2">
      <c r="A2826" s="40">
        <v>2230</v>
      </c>
      <c r="B2826" s="6" t="s">
        <v>12777</v>
      </c>
      <c r="C2826" s="54" t="s">
        <v>12778</v>
      </c>
      <c r="D2826" s="54"/>
      <c r="E2826" s="54"/>
      <c r="F2826" s="54"/>
      <c r="G2826" s="7" t="s">
        <v>12779</v>
      </c>
      <c r="H2826" s="12"/>
      <c r="I2826" s="13" t="s">
        <v>12767</v>
      </c>
      <c r="J2826" s="14"/>
      <c r="K2826" s="15">
        <v>48</v>
      </c>
      <c r="L2826" s="14"/>
      <c r="M2826" s="14" t="s">
        <v>47</v>
      </c>
      <c r="N2826" s="14"/>
      <c r="O2826" s="5">
        <v>8</v>
      </c>
      <c r="P2826" s="23">
        <f>97*(1-S3/100)</f>
        <v>97</v>
      </c>
      <c r="Q2826" s="18"/>
      <c r="R2826" s="14">
        <f t="shared" si="124"/>
        <v>0</v>
      </c>
      <c r="S2826" s="24">
        <f>0.052*Q2826</f>
        <v>0</v>
      </c>
      <c r="T2826" s="25">
        <f>0.00008*Q2826</f>
        <v>0</v>
      </c>
      <c r="U2826" s="26" t="s">
        <v>62</v>
      </c>
      <c r="V2826" s="27" t="s">
        <v>12780</v>
      </c>
      <c r="W2826" s="27" t="s">
        <v>49</v>
      </c>
      <c r="X2826" s="6"/>
      <c r="Y2826" s="6"/>
      <c r="Z2826" s="6" t="s">
        <v>52</v>
      </c>
      <c r="AA2826" s="6"/>
      <c r="AB2826" s="6"/>
      <c r="AC2826" s="6" t="str">
        <f>HYPERLINK("https://knigipp.ru/api/getInfo/image/05d00ae2-6e31-11f1-a29a-00155d82e908")</f>
        <v>https://knigipp.ru/api/getInfo/image/05d00ae2-6e31-11f1-a29a-00155d82e908</v>
      </c>
      <c r="AD2826" s="33">
        <v>10</v>
      </c>
      <c r="AE2826" s="6" t="s">
        <v>54</v>
      </c>
      <c r="AF2826" s="6" t="s">
        <v>209</v>
      </c>
      <c r="AG2826" s="6"/>
      <c r="AH2826" s="6" t="s">
        <v>56</v>
      </c>
      <c r="AI2826" s="6"/>
      <c r="AJ2826" s="6"/>
      <c r="AK2826" s="6" t="str">
        <f>HYPERLINK("https://knigipp.ru/api/getInfo/item/05d00ae2-6e31-11f1-a29a-00155d82e908")</f>
        <v>https://knigipp.ru/api/getInfo/item/05d00ae2-6e31-11f1-a29a-00155d82e908</v>
      </c>
      <c r="AL2826" s="6" t="s">
        <v>722</v>
      </c>
    </row>
    <row r="2827" spans="1:38" ht="21" customHeight="1" outlineLevel="4" x14ac:dyDescent="0.2">
      <c r="A2827" s="39">
        <v>2231</v>
      </c>
      <c r="B2827" s="3" t="s">
        <v>12781</v>
      </c>
      <c r="C2827" s="49" t="s">
        <v>12782</v>
      </c>
      <c r="D2827" s="49"/>
      <c r="E2827" s="49"/>
      <c r="F2827" s="49"/>
      <c r="G2827" s="4" t="s">
        <v>12783</v>
      </c>
      <c r="H2827" s="8"/>
      <c r="I2827" s="9" t="s">
        <v>12784</v>
      </c>
      <c r="J2827" s="10"/>
      <c r="K2827" s="11">
        <v>48</v>
      </c>
      <c r="L2827" s="10"/>
      <c r="M2827" s="10" t="s">
        <v>47</v>
      </c>
      <c r="N2827" s="10"/>
      <c r="O2827" s="2">
        <v>8</v>
      </c>
      <c r="P2827" s="17">
        <f>97*(1-S3/100)</f>
        <v>97</v>
      </c>
      <c r="Q2827" s="18"/>
      <c r="R2827" s="10">
        <f t="shared" si="124"/>
        <v>0</v>
      </c>
      <c r="S2827" s="19">
        <f>0.053*Q2827</f>
        <v>0</v>
      </c>
      <c r="T2827" s="20">
        <f>0.00007*Q2827</f>
        <v>0</v>
      </c>
      <c r="U2827" s="21"/>
      <c r="V2827" s="22" t="s">
        <v>12785</v>
      </c>
      <c r="W2827" s="22" t="s">
        <v>49</v>
      </c>
      <c r="X2827" s="3" t="s">
        <v>319</v>
      </c>
      <c r="Y2827" s="3" t="s">
        <v>12786</v>
      </c>
      <c r="Z2827" s="3" t="s">
        <v>52</v>
      </c>
      <c r="AA2827" s="3"/>
      <c r="AB2827" s="3"/>
      <c r="AC2827" s="3" t="str">
        <f>HYPERLINK("https://knigipp.ru/api/getInfo/image/646a752b-25c2-11f0-a279-00155d82e908")</f>
        <v>https://knigipp.ru/api/getInfo/image/646a752b-25c2-11f0-a279-00155d82e908</v>
      </c>
      <c r="AD2827" s="32">
        <v>10</v>
      </c>
      <c r="AE2827" s="3" t="s">
        <v>54</v>
      </c>
      <c r="AF2827" s="3" t="s">
        <v>209</v>
      </c>
      <c r="AG2827" s="3"/>
      <c r="AH2827" s="3" t="s">
        <v>56</v>
      </c>
      <c r="AI2827" s="3"/>
      <c r="AJ2827" s="3"/>
      <c r="AK2827" s="3" t="str">
        <f>HYPERLINK("https://knigipp.ru/api/getInfo/item/646a752b-25c2-11f0-a279-00155d82e908")</f>
        <v>https://knigipp.ru/api/getInfo/item/646a752b-25c2-11f0-a279-00155d82e908</v>
      </c>
      <c r="AL2827" s="3" t="s">
        <v>722</v>
      </c>
    </row>
    <row r="2828" spans="1:38" ht="21" customHeight="1" outlineLevel="4" x14ac:dyDescent="0.2">
      <c r="A2828" s="39">
        <v>2232</v>
      </c>
      <c r="B2828" s="3" t="s">
        <v>12787</v>
      </c>
      <c r="C2828" s="49" t="s">
        <v>12788</v>
      </c>
      <c r="D2828" s="49"/>
      <c r="E2828" s="49"/>
      <c r="F2828" s="49"/>
      <c r="G2828" s="4" t="s">
        <v>12789</v>
      </c>
      <c r="H2828" s="8"/>
      <c r="I2828" s="9" t="s">
        <v>12784</v>
      </c>
      <c r="J2828" s="10"/>
      <c r="K2828" s="11">
        <v>48</v>
      </c>
      <c r="L2828" s="10"/>
      <c r="M2828" s="10" t="s">
        <v>47</v>
      </c>
      <c r="N2828" s="10"/>
      <c r="O2828" s="2">
        <v>8</v>
      </c>
      <c r="P2828" s="17">
        <f>97*(1-S3/100)</f>
        <v>97</v>
      </c>
      <c r="Q2828" s="18"/>
      <c r="R2828" s="10">
        <f t="shared" si="124"/>
        <v>0</v>
      </c>
      <c r="S2828" s="19">
        <f>0.055*Q2828</f>
        <v>0</v>
      </c>
      <c r="T2828" s="20">
        <f>0.00007*Q2828</f>
        <v>0</v>
      </c>
      <c r="U2828" s="21"/>
      <c r="V2828" s="22" t="s">
        <v>12790</v>
      </c>
      <c r="W2828" s="22" t="s">
        <v>49</v>
      </c>
      <c r="X2828" s="3"/>
      <c r="Y2828" s="3" t="s">
        <v>12791</v>
      </c>
      <c r="Z2828" s="3" t="s">
        <v>52</v>
      </c>
      <c r="AA2828" s="3"/>
      <c r="AB2828" s="3"/>
      <c r="AC2828" s="3" t="str">
        <f>HYPERLINK("https://knigipp.ru/api/getInfo/image/93889b24-25c2-11f0-a279-00155d82e908")</f>
        <v>https://knigipp.ru/api/getInfo/image/93889b24-25c2-11f0-a279-00155d82e908</v>
      </c>
      <c r="AD2828" s="32">
        <v>10</v>
      </c>
      <c r="AE2828" s="3" t="s">
        <v>54</v>
      </c>
      <c r="AF2828" s="3" t="s">
        <v>209</v>
      </c>
      <c r="AG2828" s="3"/>
      <c r="AH2828" s="3" t="s">
        <v>56</v>
      </c>
      <c r="AI2828" s="3"/>
      <c r="AJ2828" s="3"/>
      <c r="AK2828" s="3" t="str">
        <f>HYPERLINK("https://knigipp.ru/api/getInfo/item/93889b24-25c2-11f0-a279-00155d82e908")</f>
        <v>https://knigipp.ru/api/getInfo/item/93889b24-25c2-11f0-a279-00155d82e908</v>
      </c>
      <c r="AL2828" s="3" t="s">
        <v>722</v>
      </c>
    </row>
    <row r="2829" spans="1:38" ht="21" customHeight="1" outlineLevel="4" x14ac:dyDescent="0.2">
      <c r="A2829" s="39">
        <v>2233</v>
      </c>
      <c r="B2829" s="3" t="s">
        <v>12792</v>
      </c>
      <c r="C2829" s="49" t="s">
        <v>12793</v>
      </c>
      <c r="D2829" s="49"/>
      <c r="E2829" s="49"/>
      <c r="F2829" s="49"/>
      <c r="G2829" s="4" t="s">
        <v>12794</v>
      </c>
      <c r="H2829" s="8"/>
      <c r="I2829" s="9" t="s">
        <v>12795</v>
      </c>
      <c r="J2829" s="10"/>
      <c r="K2829" s="11">
        <v>48</v>
      </c>
      <c r="L2829" s="10"/>
      <c r="M2829" s="10" t="s">
        <v>47</v>
      </c>
      <c r="N2829" s="10"/>
      <c r="O2829" s="2">
        <v>8</v>
      </c>
      <c r="P2829" s="17">
        <f>97*(1-S3/100)</f>
        <v>97</v>
      </c>
      <c r="Q2829" s="18"/>
      <c r="R2829" s="10">
        <f t="shared" si="124"/>
        <v>0</v>
      </c>
      <c r="S2829" s="19">
        <f>0.048*Q2829</f>
        <v>0</v>
      </c>
      <c r="T2829" s="20">
        <f>0.00009*Q2829</f>
        <v>0</v>
      </c>
      <c r="U2829" s="21"/>
      <c r="V2829" s="22" t="s">
        <v>12796</v>
      </c>
      <c r="W2829" s="22" t="s">
        <v>49</v>
      </c>
      <c r="X2829" s="3"/>
      <c r="Y2829" s="3" t="s">
        <v>12797</v>
      </c>
      <c r="Z2829" s="3" t="s">
        <v>52</v>
      </c>
      <c r="AA2829" s="3"/>
      <c r="AB2829" s="3"/>
      <c r="AC2829" s="3" t="str">
        <f>HYPERLINK("https://knigipp.ru/api/getInfo/image/a41965f3-e574-11f0-a28c-00155d82e908")</f>
        <v>https://knigipp.ru/api/getInfo/image/a41965f3-e574-11f0-a28c-00155d82e908</v>
      </c>
      <c r="AD2829" s="32">
        <v>10</v>
      </c>
      <c r="AE2829" s="3" t="s">
        <v>54</v>
      </c>
      <c r="AF2829" s="3" t="s">
        <v>209</v>
      </c>
      <c r="AG2829" s="3"/>
      <c r="AH2829" s="3" t="s">
        <v>56</v>
      </c>
      <c r="AI2829" s="3"/>
      <c r="AJ2829" s="3"/>
      <c r="AK2829" s="3" t="str">
        <f>HYPERLINK("https://knigipp.ru/api/getInfo/item/a41965f3-e574-11f0-a28c-00155d82e908")</f>
        <v>https://knigipp.ru/api/getInfo/item/a41965f3-e574-11f0-a28c-00155d82e908</v>
      </c>
      <c r="AL2829" s="3" t="s">
        <v>716</v>
      </c>
    </row>
    <row r="2830" spans="1:38" ht="21" customHeight="1" outlineLevel="4" x14ac:dyDescent="0.2">
      <c r="A2830" s="39">
        <v>2234</v>
      </c>
      <c r="B2830" s="3" t="s">
        <v>12798</v>
      </c>
      <c r="C2830" s="49" t="s">
        <v>12799</v>
      </c>
      <c r="D2830" s="49"/>
      <c r="E2830" s="49"/>
      <c r="F2830" s="49"/>
      <c r="G2830" s="4" t="s">
        <v>12800</v>
      </c>
      <c r="H2830" s="8"/>
      <c r="I2830" s="9" t="s">
        <v>12801</v>
      </c>
      <c r="J2830" s="10"/>
      <c r="K2830" s="11">
        <v>48</v>
      </c>
      <c r="L2830" s="10"/>
      <c r="M2830" s="10" t="s">
        <v>47</v>
      </c>
      <c r="N2830" s="10"/>
      <c r="O2830" s="2">
        <v>8</v>
      </c>
      <c r="P2830" s="17">
        <f>97*(1-S3/100)</f>
        <v>97</v>
      </c>
      <c r="Q2830" s="18"/>
      <c r="R2830" s="10">
        <f t="shared" si="124"/>
        <v>0</v>
      </c>
      <c r="S2830" s="19">
        <f>0.053*Q2830</f>
        <v>0</v>
      </c>
      <c r="T2830" s="20">
        <f>0.00018*Q2830</f>
        <v>0</v>
      </c>
      <c r="U2830" s="21"/>
      <c r="V2830" s="22" t="s">
        <v>12802</v>
      </c>
      <c r="W2830" s="22" t="s">
        <v>49</v>
      </c>
      <c r="X2830" s="3"/>
      <c r="Y2830" s="3" t="s">
        <v>12803</v>
      </c>
      <c r="Z2830" s="3" t="s">
        <v>52</v>
      </c>
      <c r="AA2830" s="3"/>
      <c r="AB2830" s="3"/>
      <c r="AC2830" s="3" t="str">
        <f>HYPERLINK("https://knigipp.ru/api/getInfo/image/74aa9be2-e5e4-11ee-a25a-00155d82e908")</f>
        <v>https://knigipp.ru/api/getInfo/image/74aa9be2-e5e4-11ee-a25a-00155d82e908</v>
      </c>
      <c r="AD2830" s="32">
        <v>10</v>
      </c>
      <c r="AE2830" s="3" t="s">
        <v>54</v>
      </c>
      <c r="AF2830" s="3" t="s">
        <v>209</v>
      </c>
      <c r="AG2830" s="3"/>
      <c r="AH2830" s="3" t="s">
        <v>56</v>
      </c>
      <c r="AI2830" s="3"/>
      <c r="AJ2830" s="3"/>
      <c r="AK2830" s="3" t="str">
        <f>HYPERLINK("https://knigipp.ru/api/getInfo/item/74aa9be2-e5e4-11ee-a25a-00155d82e908")</f>
        <v>https://knigipp.ru/api/getInfo/item/74aa9be2-e5e4-11ee-a25a-00155d82e908</v>
      </c>
      <c r="AL2830" s="3" t="s">
        <v>716</v>
      </c>
    </row>
    <row r="2831" spans="1:38" ht="21" customHeight="1" outlineLevel="4" x14ac:dyDescent="0.2">
      <c r="A2831" s="39">
        <v>2235</v>
      </c>
      <c r="B2831" s="3" t="s">
        <v>12804</v>
      </c>
      <c r="C2831" s="49" t="s">
        <v>12805</v>
      </c>
      <c r="D2831" s="49"/>
      <c r="E2831" s="49"/>
      <c r="F2831" s="49"/>
      <c r="G2831" s="4" t="s">
        <v>12806</v>
      </c>
      <c r="H2831" s="8"/>
      <c r="I2831" s="9" t="s">
        <v>12807</v>
      </c>
      <c r="J2831" s="10"/>
      <c r="K2831" s="11">
        <v>48</v>
      </c>
      <c r="L2831" s="10"/>
      <c r="M2831" s="10" t="s">
        <v>47</v>
      </c>
      <c r="N2831" s="10"/>
      <c r="O2831" s="2">
        <v>8</v>
      </c>
      <c r="P2831" s="17">
        <f>97*(1-S3/100)</f>
        <v>97</v>
      </c>
      <c r="Q2831" s="18"/>
      <c r="R2831" s="10">
        <f t="shared" si="124"/>
        <v>0</v>
      </c>
      <c r="S2831" s="19">
        <f>0.052*Q2831</f>
        <v>0</v>
      </c>
      <c r="T2831" s="20">
        <f>0.00015*Q2831</f>
        <v>0</v>
      </c>
      <c r="U2831" s="21"/>
      <c r="V2831" s="22" t="s">
        <v>12808</v>
      </c>
      <c r="W2831" s="22" t="s">
        <v>49</v>
      </c>
      <c r="X2831" s="3"/>
      <c r="Y2831" s="3" t="s">
        <v>12809</v>
      </c>
      <c r="Z2831" s="3" t="s">
        <v>52</v>
      </c>
      <c r="AA2831" s="3"/>
      <c r="AB2831" s="3"/>
      <c r="AC2831" s="3" t="str">
        <f>HYPERLINK("https://knigipp.ru/api/getInfo/image/16715f03-e5e5-11ee-a25a-00155d82e908")</f>
        <v>https://knigipp.ru/api/getInfo/image/16715f03-e5e5-11ee-a25a-00155d82e908</v>
      </c>
      <c r="AD2831" s="32">
        <v>10</v>
      </c>
      <c r="AE2831" s="3" t="s">
        <v>54</v>
      </c>
      <c r="AF2831" s="3" t="s">
        <v>209</v>
      </c>
      <c r="AG2831" s="3"/>
      <c r="AH2831" s="3" t="s">
        <v>56</v>
      </c>
      <c r="AI2831" s="3"/>
      <c r="AJ2831" s="3"/>
      <c r="AK2831" s="3" t="str">
        <f>HYPERLINK("https://knigipp.ru/api/getInfo/item/16715f03-e5e5-11ee-a25a-00155d82e908")</f>
        <v>https://knigipp.ru/api/getInfo/item/16715f03-e5e5-11ee-a25a-00155d82e908</v>
      </c>
      <c r="AL2831" s="3" t="s">
        <v>722</v>
      </c>
    </row>
    <row r="2832" spans="1:38" ht="21" customHeight="1" outlineLevel="4" x14ac:dyDescent="0.2">
      <c r="A2832" s="39">
        <v>2236</v>
      </c>
      <c r="B2832" s="3" t="s">
        <v>12810</v>
      </c>
      <c r="C2832" s="49" t="s">
        <v>12811</v>
      </c>
      <c r="D2832" s="49"/>
      <c r="E2832" s="49"/>
      <c r="F2832" s="49"/>
      <c r="G2832" s="4" t="s">
        <v>12812</v>
      </c>
      <c r="H2832" s="8"/>
      <c r="I2832" s="9" t="s">
        <v>12807</v>
      </c>
      <c r="J2832" s="10"/>
      <c r="K2832" s="11">
        <v>48</v>
      </c>
      <c r="L2832" s="10"/>
      <c r="M2832" s="10" t="s">
        <v>47</v>
      </c>
      <c r="N2832" s="10"/>
      <c r="O2832" s="2">
        <v>8</v>
      </c>
      <c r="P2832" s="17">
        <f>97*(1-S3/100)</f>
        <v>97</v>
      </c>
      <c r="Q2832" s="18"/>
      <c r="R2832" s="10">
        <f t="shared" si="124"/>
        <v>0</v>
      </c>
      <c r="S2832" s="19">
        <f>0.055*Q2832</f>
        <v>0</v>
      </c>
      <c r="T2832" s="20">
        <f>0.00014*Q2832</f>
        <v>0</v>
      </c>
      <c r="U2832" s="21"/>
      <c r="V2832" s="22" t="s">
        <v>12813</v>
      </c>
      <c r="W2832" s="22" t="s">
        <v>49</v>
      </c>
      <c r="X2832" s="3"/>
      <c r="Y2832" s="3" t="s">
        <v>12814</v>
      </c>
      <c r="Z2832" s="3" t="s">
        <v>52</v>
      </c>
      <c r="AA2832" s="3"/>
      <c r="AB2832" s="3"/>
      <c r="AC2832" s="3" t="str">
        <f>HYPERLINK("https://knigipp.ru/api/getInfo/image/9cb0c0b4-e5e5-11ee-a25a-00155d82e908")</f>
        <v>https://knigipp.ru/api/getInfo/image/9cb0c0b4-e5e5-11ee-a25a-00155d82e908</v>
      </c>
      <c r="AD2832" s="32">
        <v>10</v>
      </c>
      <c r="AE2832" s="3" t="s">
        <v>54</v>
      </c>
      <c r="AF2832" s="3" t="s">
        <v>209</v>
      </c>
      <c r="AG2832" s="3"/>
      <c r="AH2832" s="3" t="s">
        <v>56</v>
      </c>
      <c r="AI2832" s="3"/>
      <c r="AJ2832" s="3"/>
      <c r="AK2832" s="3" t="str">
        <f>HYPERLINK("https://knigipp.ru/api/getInfo/item/9cb0c0b4-e5e5-11ee-a25a-00155d82e908")</f>
        <v>https://knigipp.ru/api/getInfo/item/9cb0c0b4-e5e5-11ee-a25a-00155d82e908</v>
      </c>
      <c r="AL2832" s="3" t="s">
        <v>722</v>
      </c>
    </row>
    <row r="2833" spans="1:38" ht="21" customHeight="1" outlineLevel="4" x14ac:dyDescent="0.2">
      <c r="A2833" s="39">
        <v>2237</v>
      </c>
      <c r="B2833" s="3" t="s">
        <v>12815</v>
      </c>
      <c r="C2833" s="49" t="s">
        <v>12816</v>
      </c>
      <c r="D2833" s="49"/>
      <c r="E2833" s="49"/>
      <c r="F2833" s="49"/>
      <c r="G2833" s="4" t="s">
        <v>12817</v>
      </c>
      <c r="H2833" s="8"/>
      <c r="I2833" s="9" t="s">
        <v>12807</v>
      </c>
      <c r="J2833" s="10"/>
      <c r="K2833" s="11">
        <v>48</v>
      </c>
      <c r="L2833" s="10"/>
      <c r="M2833" s="10" t="s">
        <v>47</v>
      </c>
      <c r="N2833" s="10"/>
      <c r="O2833" s="2">
        <v>8</v>
      </c>
      <c r="P2833" s="17">
        <f>97*(1-S3/100)</f>
        <v>97</v>
      </c>
      <c r="Q2833" s="18"/>
      <c r="R2833" s="10">
        <f t="shared" si="124"/>
        <v>0</v>
      </c>
      <c r="S2833" s="19">
        <f>0.052*Q2833</f>
        <v>0</v>
      </c>
      <c r="T2833" s="20">
        <f>0.00015*Q2833</f>
        <v>0</v>
      </c>
      <c r="U2833" s="21"/>
      <c r="V2833" s="22" t="s">
        <v>12818</v>
      </c>
      <c r="W2833" s="22" t="s">
        <v>49</v>
      </c>
      <c r="X2833" s="3"/>
      <c r="Y2833" s="3" t="s">
        <v>12819</v>
      </c>
      <c r="Z2833" s="3" t="s">
        <v>52</v>
      </c>
      <c r="AA2833" s="3"/>
      <c r="AB2833" s="3"/>
      <c r="AC2833" s="3" t="str">
        <f>HYPERLINK("https://knigipp.ru/api/getInfo/image/3f0c1f76-e5e5-11ee-a25a-00155d82e908")</f>
        <v>https://knigipp.ru/api/getInfo/image/3f0c1f76-e5e5-11ee-a25a-00155d82e908</v>
      </c>
      <c r="AD2833" s="32">
        <v>10</v>
      </c>
      <c r="AE2833" s="3" t="s">
        <v>54</v>
      </c>
      <c r="AF2833" s="3" t="s">
        <v>209</v>
      </c>
      <c r="AG2833" s="3"/>
      <c r="AH2833" s="3" t="s">
        <v>56</v>
      </c>
      <c r="AI2833" s="3"/>
      <c r="AJ2833" s="3"/>
      <c r="AK2833" s="3" t="str">
        <f>HYPERLINK("https://knigipp.ru/api/getInfo/item/3f0c1f76-e5e5-11ee-a25a-00155d82e908")</f>
        <v>https://knigipp.ru/api/getInfo/item/3f0c1f76-e5e5-11ee-a25a-00155d82e908</v>
      </c>
      <c r="AL2833" s="3" t="s">
        <v>722</v>
      </c>
    </row>
    <row r="2834" spans="1:38" ht="21" customHeight="1" outlineLevel="4" x14ac:dyDescent="0.2">
      <c r="A2834" s="39">
        <v>2238</v>
      </c>
      <c r="B2834" s="3" t="s">
        <v>12820</v>
      </c>
      <c r="C2834" s="49" t="s">
        <v>12821</v>
      </c>
      <c r="D2834" s="49"/>
      <c r="E2834" s="49"/>
      <c r="F2834" s="49"/>
      <c r="G2834" s="4" t="s">
        <v>12822</v>
      </c>
      <c r="H2834" s="8"/>
      <c r="I2834" s="9" t="s">
        <v>12823</v>
      </c>
      <c r="J2834" s="10"/>
      <c r="K2834" s="11">
        <v>48</v>
      </c>
      <c r="L2834" s="10"/>
      <c r="M2834" s="10" t="s">
        <v>47</v>
      </c>
      <c r="N2834" s="10"/>
      <c r="O2834" s="2">
        <v>8</v>
      </c>
      <c r="P2834" s="17">
        <f>97*(1-S3/100)</f>
        <v>97</v>
      </c>
      <c r="Q2834" s="18"/>
      <c r="R2834" s="10">
        <f t="shared" si="124"/>
        <v>0</v>
      </c>
      <c r="S2834" s="19">
        <f>0.052*Q2834</f>
        <v>0</v>
      </c>
      <c r="T2834" s="20">
        <f>0.00015*Q2834</f>
        <v>0</v>
      </c>
      <c r="U2834" s="21"/>
      <c r="V2834" s="22" t="s">
        <v>12824</v>
      </c>
      <c r="W2834" s="22" t="s">
        <v>49</v>
      </c>
      <c r="X2834" s="3"/>
      <c r="Y2834" s="3"/>
      <c r="Z2834" s="3" t="s">
        <v>52</v>
      </c>
      <c r="AA2834" s="3"/>
      <c r="AB2834" s="3"/>
      <c r="AC2834" s="3" t="str">
        <f>HYPERLINK("https://knigipp.ru/api/getInfo/image/d770c334-549e-11ea-a241-ac1f6b442184")</f>
        <v>https://knigipp.ru/api/getInfo/image/d770c334-549e-11ea-a241-ac1f6b442184</v>
      </c>
      <c r="AD2834" s="32">
        <v>10</v>
      </c>
      <c r="AE2834" s="3"/>
      <c r="AF2834" s="3" t="s">
        <v>209</v>
      </c>
      <c r="AG2834" s="3"/>
      <c r="AH2834" s="3" t="s">
        <v>56</v>
      </c>
      <c r="AI2834" s="3"/>
      <c r="AJ2834" s="3"/>
      <c r="AK2834" s="3" t="str">
        <f>HYPERLINK("https://knigipp.ru/api/getInfo/item/d770c334-549e-11ea-a241-ac1f6b442184")</f>
        <v>https://knigipp.ru/api/getInfo/item/d770c334-549e-11ea-a241-ac1f6b442184</v>
      </c>
      <c r="AL2834" s="3" t="s">
        <v>722</v>
      </c>
    </row>
    <row r="2835" spans="1:38" ht="21" customHeight="1" outlineLevel="4" x14ac:dyDescent="0.2">
      <c r="A2835" s="39">
        <v>2239</v>
      </c>
      <c r="B2835" s="3" t="s">
        <v>12825</v>
      </c>
      <c r="C2835" s="49" t="s">
        <v>12826</v>
      </c>
      <c r="D2835" s="49"/>
      <c r="E2835" s="49"/>
      <c r="F2835" s="49"/>
      <c r="G2835" s="4" t="s">
        <v>12827</v>
      </c>
      <c r="H2835" s="8"/>
      <c r="I2835" s="9" t="s">
        <v>12823</v>
      </c>
      <c r="J2835" s="10"/>
      <c r="K2835" s="11">
        <v>48</v>
      </c>
      <c r="L2835" s="10"/>
      <c r="M2835" s="10" t="s">
        <v>47</v>
      </c>
      <c r="N2835" s="10"/>
      <c r="O2835" s="2">
        <v>8</v>
      </c>
      <c r="P2835" s="17">
        <f>97*(1-S3/100)</f>
        <v>97</v>
      </c>
      <c r="Q2835" s="18"/>
      <c r="R2835" s="10">
        <f t="shared" si="124"/>
        <v>0</v>
      </c>
      <c r="S2835" s="19">
        <f>0.055*Q2835</f>
        <v>0</v>
      </c>
      <c r="T2835" s="20">
        <f>0.00018*Q2835</f>
        <v>0</v>
      </c>
      <c r="U2835" s="21"/>
      <c r="V2835" s="22" t="s">
        <v>12828</v>
      </c>
      <c r="W2835" s="22" t="s">
        <v>49</v>
      </c>
      <c r="X2835" s="3"/>
      <c r="Y2835" s="3"/>
      <c r="Z2835" s="3" t="s">
        <v>52</v>
      </c>
      <c r="AA2835" s="3"/>
      <c r="AB2835" s="3"/>
      <c r="AC2835" s="3" t="str">
        <f>HYPERLINK("https://knigipp.ru/api/getInfo/image/f87adf0b-549e-11ea-a241-ac1f6b442184")</f>
        <v>https://knigipp.ru/api/getInfo/image/f87adf0b-549e-11ea-a241-ac1f6b442184</v>
      </c>
      <c r="AD2835" s="32">
        <v>10</v>
      </c>
      <c r="AE2835" s="3"/>
      <c r="AF2835" s="3" t="s">
        <v>209</v>
      </c>
      <c r="AG2835" s="3"/>
      <c r="AH2835" s="3" t="s">
        <v>56</v>
      </c>
      <c r="AI2835" s="3"/>
      <c r="AJ2835" s="3"/>
      <c r="AK2835" s="3" t="str">
        <f>HYPERLINK("https://knigipp.ru/api/getInfo/item/f87adf0b-549e-11ea-a241-ac1f6b442184")</f>
        <v>https://knigipp.ru/api/getInfo/item/f87adf0b-549e-11ea-a241-ac1f6b442184</v>
      </c>
      <c r="AL2835" s="3" t="s">
        <v>722</v>
      </c>
    </row>
    <row r="2836" spans="1:38" ht="21" customHeight="1" outlineLevel="4" x14ac:dyDescent="0.2">
      <c r="A2836" s="39">
        <v>2240</v>
      </c>
      <c r="B2836" s="3" t="s">
        <v>12829</v>
      </c>
      <c r="C2836" s="49" t="s">
        <v>12830</v>
      </c>
      <c r="D2836" s="49"/>
      <c r="E2836" s="49"/>
      <c r="F2836" s="49"/>
      <c r="G2836" s="4" t="s">
        <v>12831</v>
      </c>
      <c r="H2836" s="8"/>
      <c r="I2836" s="9" t="s">
        <v>12832</v>
      </c>
      <c r="J2836" s="10"/>
      <c r="K2836" s="11">
        <v>48</v>
      </c>
      <c r="L2836" s="10"/>
      <c r="M2836" s="10" t="s">
        <v>78</v>
      </c>
      <c r="N2836" s="10"/>
      <c r="O2836" s="2">
        <v>8</v>
      </c>
      <c r="P2836" s="17">
        <f>97*(1-S3/100)</f>
        <v>97</v>
      </c>
      <c r="Q2836" s="18"/>
      <c r="R2836" s="10">
        <f t="shared" si="124"/>
        <v>0</v>
      </c>
      <c r="S2836" s="19">
        <f>0.052*Q2836</f>
        <v>0</v>
      </c>
      <c r="T2836" s="20">
        <f>0.00014*Q2836</f>
        <v>0</v>
      </c>
      <c r="U2836" s="21"/>
      <c r="V2836" s="22" t="s">
        <v>12833</v>
      </c>
      <c r="W2836" s="22" t="s">
        <v>49</v>
      </c>
      <c r="X2836" s="3"/>
      <c r="Y2836" s="3" t="s">
        <v>12834</v>
      </c>
      <c r="Z2836" s="3" t="s">
        <v>52</v>
      </c>
      <c r="AA2836" s="3"/>
      <c r="AB2836" s="3"/>
      <c r="AC2836" s="3" t="str">
        <f>HYPERLINK("https://knigipp.ru/api/getInfo/image/e992d5bb-e5e4-11ee-a25a-00155d82e908")</f>
        <v>https://knigipp.ru/api/getInfo/image/e992d5bb-e5e4-11ee-a25a-00155d82e908</v>
      </c>
      <c r="AD2836" s="32">
        <v>10</v>
      </c>
      <c r="AE2836" s="3" t="s">
        <v>54</v>
      </c>
      <c r="AF2836" s="3" t="s">
        <v>209</v>
      </c>
      <c r="AG2836" s="3"/>
      <c r="AH2836" s="3" t="s">
        <v>56</v>
      </c>
      <c r="AI2836" s="3"/>
      <c r="AJ2836" s="3"/>
      <c r="AK2836" s="3" t="str">
        <f>HYPERLINK("https://knigipp.ru/api/getInfo/item/e992d5bb-e5e4-11ee-a25a-00155d82e908")</f>
        <v>https://knigipp.ru/api/getInfo/item/e992d5bb-e5e4-11ee-a25a-00155d82e908</v>
      </c>
      <c r="AL2836" s="3" t="s">
        <v>716</v>
      </c>
    </row>
    <row r="2837" spans="1:38" ht="21" customHeight="1" outlineLevel="4" x14ac:dyDescent="0.2">
      <c r="A2837" s="39">
        <v>2241</v>
      </c>
      <c r="B2837" s="3" t="s">
        <v>12835</v>
      </c>
      <c r="C2837" s="49" t="s">
        <v>12836</v>
      </c>
      <c r="D2837" s="49"/>
      <c r="E2837" s="49"/>
      <c r="F2837" s="49"/>
      <c r="G2837" s="4" t="s">
        <v>12837</v>
      </c>
      <c r="H2837" s="8"/>
      <c r="I2837" s="9" t="s">
        <v>12838</v>
      </c>
      <c r="J2837" s="10"/>
      <c r="K2837" s="11">
        <v>48</v>
      </c>
      <c r="L2837" s="10"/>
      <c r="M2837" s="10" t="s">
        <v>47</v>
      </c>
      <c r="N2837" s="10"/>
      <c r="O2837" s="2">
        <v>8</v>
      </c>
      <c r="P2837" s="17">
        <f>97*(1-S3/100)</f>
        <v>97</v>
      </c>
      <c r="Q2837" s="18"/>
      <c r="R2837" s="10">
        <f t="shared" si="124"/>
        <v>0</v>
      </c>
      <c r="S2837" s="19">
        <f>0.052*Q2837</f>
        <v>0</v>
      </c>
      <c r="T2837" s="20">
        <f>0.00015*Q2837</f>
        <v>0</v>
      </c>
      <c r="U2837" s="21"/>
      <c r="V2837" s="22" t="s">
        <v>12839</v>
      </c>
      <c r="W2837" s="22" t="s">
        <v>49</v>
      </c>
      <c r="X2837" s="3"/>
      <c r="Y2837" s="3" t="s">
        <v>12840</v>
      </c>
      <c r="Z2837" s="3" t="s">
        <v>52</v>
      </c>
      <c r="AA2837" s="3"/>
      <c r="AB2837" s="3"/>
      <c r="AC2837" s="3" t="str">
        <f>HYPERLINK("https://knigipp.ru/api/getInfo/image/f2ae1a04-e5e3-11ee-a25a-00155d82e908")</f>
        <v>https://knigipp.ru/api/getInfo/image/f2ae1a04-e5e3-11ee-a25a-00155d82e908</v>
      </c>
      <c r="AD2837" s="32">
        <v>10</v>
      </c>
      <c r="AE2837" s="3" t="s">
        <v>54</v>
      </c>
      <c r="AF2837" s="3" t="s">
        <v>209</v>
      </c>
      <c r="AG2837" s="3"/>
      <c r="AH2837" s="3" t="s">
        <v>56</v>
      </c>
      <c r="AI2837" s="3"/>
      <c r="AJ2837" s="3"/>
      <c r="AK2837" s="3" t="str">
        <f>HYPERLINK("https://knigipp.ru/api/getInfo/item/f2ae1a04-e5e3-11ee-a25a-00155d82e908")</f>
        <v>https://knigipp.ru/api/getInfo/item/f2ae1a04-e5e3-11ee-a25a-00155d82e908</v>
      </c>
      <c r="AL2837" s="3" t="s">
        <v>716</v>
      </c>
    </row>
    <row r="2838" spans="1:38" ht="21" customHeight="1" outlineLevel="4" x14ac:dyDescent="0.2">
      <c r="A2838" s="39">
        <v>2242</v>
      </c>
      <c r="B2838" s="3" t="s">
        <v>12841</v>
      </c>
      <c r="C2838" s="49" t="s">
        <v>12842</v>
      </c>
      <c r="D2838" s="49"/>
      <c r="E2838" s="49"/>
      <c r="F2838" s="49"/>
      <c r="G2838" s="4" t="s">
        <v>12843</v>
      </c>
      <c r="H2838" s="8"/>
      <c r="I2838" s="9" t="s">
        <v>12844</v>
      </c>
      <c r="J2838" s="10"/>
      <c r="K2838" s="11">
        <v>48</v>
      </c>
      <c r="L2838" s="10"/>
      <c r="M2838" s="10" t="s">
        <v>47</v>
      </c>
      <c r="N2838" s="10"/>
      <c r="O2838" s="2">
        <v>8</v>
      </c>
      <c r="P2838" s="17">
        <f>97*(1-S3/100)</f>
        <v>97</v>
      </c>
      <c r="Q2838" s="18"/>
      <c r="R2838" s="10">
        <f t="shared" si="124"/>
        <v>0</v>
      </c>
      <c r="S2838" s="19">
        <f>0.052*Q2838</f>
        <v>0</v>
      </c>
      <c r="T2838" s="20">
        <f>0.00015*Q2838</f>
        <v>0</v>
      </c>
      <c r="U2838" s="21"/>
      <c r="V2838" s="22" t="s">
        <v>12845</v>
      </c>
      <c r="W2838" s="22" t="s">
        <v>49</v>
      </c>
      <c r="X2838" s="3"/>
      <c r="Y2838" s="3"/>
      <c r="Z2838" s="3" t="s">
        <v>52</v>
      </c>
      <c r="AA2838" s="3"/>
      <c r="AB2838" s="3"/>
      <c r="AC2838" s="3" t="str">
        <f>HYPERLINK("https://knigipp.ru/api/getInfo/image/e9f1734e-40db-11e9-a221-ac1f6b442184")</f>
        <v>https://knigipp.ru/api/getInfo/image/e9f1734e-40db-11e9-a221-ac1f6b442184</v>
      </c>
      <c r="AD2838" s="32">
        <v>10</v>
      </c>
      <c r="AE2838" s="3"/>
      <c r="AF2838" s="3" t="s">
        <v>209</v>
      </c>
      <c r="AG2838" s="3"/>
      <c r="AH2838" s="3" t="s">
        <v>56</v>
      </c>
      <c r="AI2838" s="3"/>
      <c r="AJ2838" s="3"/>
      <c r="AK2838" s="3" t="str">
        <f>HYPERLINK("https://knigipp.ru/api/getInfo/item/e9f1734e-40db-11e9-a221-ac1f6b442184")</f>
        <v>https://knigipp.ru/api/getInfo/item/e9f1734e-40db-11e9-a221-ac1f6b442184</v>
      </c>
      <c r="AL2838" s="3" t="s">
        <v>716</v>
      </c>
    </row>
    <row r="2839" spans="1:38" ht="21" customHeight="1" outlineLevel="4" x14ac:dyDescent="0.2">
      <c r="A2839" s="39">
        <v>2243</v>
      </c>
      <c r="B2839" s="3" t="s">
        <v>12846</v>
      </c>
      <c r="C2839" s="49" t="s">
        <v>12847</v>
      </c>
      <c r="D2839" s="49"/>
      <c r="E2839" s="49"/>
      <c r="F2839" s="49"/>
      <c r="G2839" s="4" t="s">
        <v>12848</v>
      </c>
      <c r="H2839" s="8"/>
      <c r="I2839" s="9" t="s">
        <v>12844</v>
      </c>
      <c r="J2839" s="10"/>
      <c r="K2839" s="11">
        <v>48</v>
      </c>
      <c r="L2839" s="10"/>
      <c r="M2839" s="10" t="s">
        <v>47</v>
      </c>
      <c r="N2839" s="10"/>
      <c r="O2839" s="2">
        <v>8</v>
      </c>
      <c r="P2839" s="17">
        <f>97*(1-S3/100)</f>
        <v>97</v>
      </c>
      <c r="Q2839" s="18"/>
      <c r="R2839" s="10">
        <f t="shared" si="124"/>
        <v>0</v>
      </c>
      <c r="S2839" s="19">
        <f>0.052*Q2839</f>
        <v>0</v>
      </c>
      <c r="T2839" s="20">
        <f>0.00015*Q2839</f>
        <v>0</v>
      </c>
      <c r="U2839" s="21"/>
      <c r="V2839" s="22" t="s">
        <v>12849</v>
      </c>
      <c r="W2839" s="22" t="s">
        <v>49</v>
      </c>
      <c r="X2839" s="3"/>
      <c r="Y2839" s="3"/>
      <c r="Z2839" s="3" t="s">
        <v>52</v>
      </c>
      <c r="AA2839" s="3" t="s">
        <v>12850</v>
      </c>
      <c r="AB2839" s="3"/>
      <c r="AC2839" s="3" t="str">
        <f>HYPERLINK("https://knigipp.ru/api/getInfo/image/cd88b86b-e22e-11e6-a3ac-5cf3fc4a2490")</f>
        <v>https://knigipp.ru/api/getInfo/image/cd88b86b-e22e-11e6-a3ac-5cf3fc4a2490</v>
      </c>
      <c r="AD2839" s="32">
        <v>10</v>
      </c>
      <c r="AE2839" s="3"/>
      <c r="AF2839" s="3" t="s">
        <v>209</v>
      </c>
      <c r="AG2839" s="3"/>
      <c r="AH2839" s="3" t="s">
        <v>56</v>
      </c>
      <c r="AI2839" s="3"/>
      <c r="AJ2839" s="3" t="s">
        <v>12851</v>
      </c>
      <c r="AK2839" s="3" t="str">
        <f>HYPERLINK("https://knigipp.ru/api/getInfo/item/cd88b86b-e22e-11e6-a3ac-5cf3fc4a2490")</f>
        <v>https://knigipp.ru/api/getInfo/item/cd88b86b-e22e-11e6-a3ac-5cf3fc4a2490</v>
      </c>
      <c r="AL2839" s="3" t="s">
        <v>716</v>
      </c>
    </row>
    <row r="2840" spans="1:38" ht="21" customHeight="1" outlineLevel="4" x14ac:dyDescent="0.2">
      <c r="A2840" s="39">
        <v>2244</v>
      </c>
      <c r="B2840" s="3" t="s">
        <v>12852</v>
      </c>
      <c r="C2840" s="49" t="s">
        <v>12853</v>
      </c>
      <c r="D2840" s="49"/>
      <c r="E2840" s="49"/>
      <c r="F2840" s="49"/>
      <c r="G2840" s="4" t="s">
        <v>12854</v>
      </c>
      <c r="H2840" s="8"/>
      <c r="I2840" s="9" t="s">
        <v>12844</v>
      </c>
      <c r="J2840" s="10"/>
      <c r="K2840" s="11">
        <v>48</v>
      </c>
      <c r="L2840" s="10"/>
      <c r="M2840" s="10" t="s">
        <v>47</v>
      </c>
      <c r="N2840" s="10"/>
      <c r="O2840" s="2">
        <v>8</v>
      </c>
      <c r="P2840" s="17">
        <f>97*(1-S3/100)</f>
        <v>97</v>
      </c>
      <c r="Q2840" s="18"/>
      <c r="R2840" s="10">
        <f t="shared" si="124"/>
        <v>0</v>
      </c>
      <c r="S2840" s="19">
        <f>0.051*Q2840</f>
        <v>0</v>
      </c>
      <c r="T2840" s="20">
        <f>0.00017*Q2840</f>
        <v>0</v>
      </c>
      <c r="U2840" s="21"/>
      <c r="V2840" s="22" t="s">
        <v>12855</v>
      </c>
      <c r="W2840" s="22" t="s">
        <v>49</v>
      </c>
      <c r="X2840" s="3"/>
      <c r="Y2840" s="3"/>
      <c r="Z2840" s="3" t="s">
        <v>52</v>
      </c>
      <c r="AA2840" s="3" t="s">
        <v>12850</v>
      </c>
      <c r="AB2840" s="3"/>
      <c r="AC2840" s="3" t="str">
        <f>HYPERLINK("https://knigipp.ru/api/getInfo/image/c52f25ab-e22e-11e6-a3ac-5cf3fc4a2490")</f>
        <v>https://knigipp.ru/api/getInfo/image/c52f25ab-e22e-11e6-a3ac-5cf3fc4a2490</v>
      </c>
      <c r="AD2840" s="32">
        <v>10</v>
      </c>
      <c r="AE2840" s="3"/>
      <c r="AF2840" s="3" t="s">
        <v>209</v>
      </c>
      <c r="AG2840" s="3"/>
      <c r="AH2840" s="3" t="s">
        <v>56</v>
      </c>
      <c r="AI2840" s="3"/>
      <c r="AJ2840" s="3" t="s">
        <v>12851</v>
      </c>
      <c r="AK2840" s="3" t="str">
        <f>HYPERLINK("https://knigipp.ru/api/getInfo/item/c52f25ab-e22e-11e6-a3ac-5cf3fc4a2490")</f>
        <v>https://knigipp.ru/api/getInfo/item/c52f25ab-e22e-11e6-a3ac-5cf3fc4a2490</v>
      </c>
      <c r="AL2840" s="3" t="s">
        <v>716</v>
      </c>
    </row>
    <row r="2841" spans="1:38" ht="21" customHeight="1" outlineLevel="4" x14ac:dyDescent="0.2">
      <c r="A2841" s="39">
        <v>2245</v>
      </c>
      <c r="B2841" s="3" t="s">
        <v>12856</v>
      </c>
      <c r="C2841" s="49" t="s">
        <v>12857</v>
      </c>
      <c r="D2841" s="49"/>
      <c r="E2841" s="49"/>
      <c r="F2841" s="49"/>
      <c r="G2841" s="4" t="s">
        <v>12858</v>
      </c>
      <c r="H2841" s="8"/>
      <c r="I2841" s="9" t="s">
        <v>12859</v>
      </c>
      <c r="J2841" s="10"/>
      <c r="K2841" s="11">
        <v>48</v>
      </c>
      <c r="L2841" s="10"/>
      <c r="M2841" s="10" t="s">
        <v>47</v>
      </c>
      <c r="N2841" s="10"/>
      <c r="O2841" s="2">
        <v>8</v>
      </c>
      <c r="P2841" s="17">
        <f>97*(1-S3/100)</f>
        <v>97</v>
      </c>
      <c r="Q2841" s="18"/>
      <c r="R2841" s="10">
        <f t="shared" si="124"/>
        <v>0</v>
      </c>
      <c r="S2841" s="19">
        <f>0.052*Q2841</f>
        <v>0</v>
      </c>
      <c r="T2841" s="20">
        <f>0.00015*Q2841</f>
        <v>0</v>
      </c>
      <c r="U2841" s="21"/>
      <c r="V2841" s="22" t="s">
        <v>12860</v>
      </c>
      <c r="W2841" s="22" t="s">
        <v>49</v>
      </c>
      <c r="X2841" s="3"/>
      <c r="Y2841" s="3"/>
      <c r="Z2841" s="3" t="s">
        <v>52</v>
      </c>
      <c r="AA2841" s="3" t="s">
        <v>12850</v>
      </c>
      <c r="AB2841" s="3"/>
      <c r="AC2841" s="3" t="str">
        <f>HYPERLINK("https://knigipp.ru/api/getInfo/image/bc9a108b-e22e-11e6-a3ac-5cf3fc4a2490")</f>
        <v>https://knigipp.ru/api/getInfo/image/bc9a108b-e22e-11e6-a3ac-5cf3fc4a2490</v>
      </c>
      <c r="AD2841" s="32">
        <v>10</v>
      </c>
      <c r="AE2841" s="3"/>
      <c r="AF2841" s="3" t="s">
        <v>209</v>
      </c>
      <c r="AG2841" s="3"/>
      <c r="AH2841" s="3" t="s">
        <v>56</v>
      </c>
      <c r="AI2841" s="3"/>
      <c r="AJ2841" s="3" t="s">
        <v>12851</v>
      </c>
      <c r="AK2841" s="3" t="str">
        <f>HYPERLINK("https://knigipp.ru/api/getInfo/item/bc9a108b-e22e-11e6-a3ac-5cf3fc4a2490")</f>
        <v>https://knigipp.ru/api/getInfo/item/bc9a108b-e22e-11e6-a3ac-5cf3fc4a2490</v>
      </c>
      <c r="AL2841" s="3" t="s">
        <v>716</v>
      </c>
    </row>
    <row r="2842" spans="1:38" ht="21" customHeight="1" outlineLevel="4" x14ac:dyDescent="0.2">
      <c r="A2842" s="39">
        <v>2246</v>
      </c>
      <c r="B2842" s="3" t="s">
        <v>12861</v>
      </c>
      <c r="C2842" s="49" t="s">
        <v>12862</v>
      </c>
      <c r="D2842" s="49"/>
      <c r="E2842" s="49"/>
      <c r="F2842" s="49"/>
      <c r="G2842" s="4" t="s">
        <v>12863</v>
      </c>
      <c r="H2842" s="8"/>
      <c r="I2842" s="9" t="s">
        <v>12844</v>
      </c>
      <c r="J2842" s="10"/>
      <c r="K2842" s="11">
        <v>48</v>
      </c>
      <c r="L2842" s="10"/>
      <c r="M2842" s="10" t="s">
        <v>47</v>
      </c>
      <c r="N2842" s="10"/>
      <c r="O2842" s="2">
        <v>8</v>
      </c>
      <c r="P2842" s="17">
        <f>97*(1-S3/100)</f>
        <v>97</v>
      </c>
      <c r="Q2842" s="18"/>
      <c r="R2842" s="10">
        <f t="shared" si="124"/>
        <v>0</v>
      </c>
      <c r="S2842" s="19">
        <f>0.052*Q2842</f>
        <v>0</v>
      </c>
      <c r="T2842" s="20">
        <f>0.00015*Q2842</f>
        <v>0</v>
      </c>
      <c r="U2842" s="21"/>
      <c r="V2842" s="22" t="s">
        <v>12864</v>
      </c>
      <c r="W2842" s="22" t="s">
        <v>49</v>
      </c>
      <c r="X2842" s="3"/>
      <c r="Y2842" s="3"/>
      <c r="Z2842" s="3" t="s">
        <v>52</v>
      </c>
      <c r="AA2842" s="3" t="s">
        <v>12865</v>
      </c>
      <c r="AB2842" s="3"/>
      <c r="AC2842" s="3" t="str">
        <f>HYPERLINK("https://knigipp.ru/api/getInfo/image/0ba2e491-0750-11e8-951c-5cf3fc4a2490")</f>
        <v>https://knigipp.ru/api/getInfo/image/0ba2e491-0750-11e8-951c-5cf3fc4a2490</v>
      </c>
      <c r="AD2842" s="32">
        <v>10</v>
      </c>
      <c r="AE2842" s="3"/>
      <c r="AF2842" s="3" t="s">
        <v>209</v>
      </c>
      <c r="AG2842" s="3"/>
      <c r="AH2842" s="3" t="s">
        <v>56</v>
      </c>
      <c r="AI2842" s="3"/>
      <c r="AJ2842" s="3" t="s">
        <v>12851</v>
      </c>
      <c r="AK2842" s="3" t="str">
        <f>HYPERLINK("https://knigipp.ru/api/getInfo/item/0ba2e491-0750-11e8-951c-5cf3fc4a2490")</f>
        <v>https://knigipp.ru/api/getInfo/item/0ba2e491-0750-11e8-951c-5cf3fc4a2490</v>
      </c>
      <c r="AL2842" s="3" t="s">
        <v>716</v>
      </c>
    </row>
    <row r="2843" spans="1:38" ht="21" customHeight="1" outlineLevel="4" x14ac:dyDescent="0.2">
      <c r="A2843" s="39">
        <v>2247</v>
      </c>
      <c r="B2843" s="3" t="s">
        <v>12866</v>
      </c>
      <c r="C2843" s="49" t="s">
        <v>12867</v>
      </c>
      <c r="D2843" s="49"/>
      <c r="E2843" s="49"/>
      <c r="F2843" s="49"/>
      <c r="G2843" s="4" t="s">
        <v>12868</v>
      </c>
      <c r="H2843" s="8"/>
      <c r="I2843" s="9" t="s">
        <v>12838</v>
      </c>
      <c r="J2843" s="10"/>
      <c r="K2843" s="11">
        <v>48</v>
      </c>
      <c r="L2843" s="10"/>
      <c r="M2843" s="10" t="s">
        <v>47</v>
      </c>
      <c r="N2843" s="10"/>
      <c r="O2843" s="2">
        <v>8</v>
      </c>
      <c r="P2843" s="17">
        <f>97*(1-S3/100)</f>
        <v>97</v>
      </c>
      <c r="Q2843" s="18"/>
      <c r="R2843" s="10">
        <f t="shared" si="124"/>
        <v>0</v>
      </c>
      <c r="S2843" s="19">
        <f>0.052*Q2843</f>
        <v>0</v>
      </c>
      <c r="T2843" s="20">
        <f>0.00015*Q2843</f>
        <v>0</v>
      </c>
      <c r="U2843" s="21"/>
      <c r="V2843" s="22" t="s">
        <v>12869</v>
      </c>
      <c r="W2843" s="22" t="s">
        <v>49</v>
      </c>
      <c r="X2843" s="3"/>
      <c r="Y2843" s="3" t="s">
        <v>12870</v>
      </c>
      <c r="Z2843" s="3" t="s">
        <v>52</v>
      </c>
      <c r="AA2843" s="3"/>
      <c r="AB2843" s="3"/>
      <c r="AC2843" s="3" t="str">
        <f>HYPERLINK("https://knigipp.ru/api/getInfo/image/110aa5b0-e5e4-11ee-a25a-00155d82e908")</f>
        <v>https://knigipp.ru/api/getInfo/image/110aa5b0-e5e4-11ee-a25a-00155d82e908</v>
      </c>
      <c r="AD2843" s="32">
        <v>10</v>
      </c>
      <c r="AE2843" s="3" t="s">
        <v>54</v>
      </c>
      <c r="AF2843" s="3" t="s">
        <v>209</v>
      </c>
      <c r="AG2843" s="3"/>
      <c r="AH2843" s="3" t="s">
        <v>56</v>
      </c>
      <c r="AI2843" s="3"/>
      <c r="AJ2843" s="3"/>
      <c r="AK2843" s="3" t="str">
        <f>HYPERLINK("https://knigipp.ru/api/getInfo/item/110aa5b0-e5e4-11ee-a25a-00155d82e908")</f>
        <v>https://knigipp.ru/api/getInfo/item/110aa5b0-e5e4-11ee-a25a-00155d82e908</v>
      </c>
      <c r="AL2843" s="3" t="s">
        <v>716</v>
      </c>
    </row>
    <row r="2844" spans="1:38" ht="21" customHeight="1" outlineLevel="4" x14ac:dyDescent="0.2">
      <c r="A2844" s="39">
        <v>2248</v>
      </c>
      <c r="B2844" s="3" t="s">
        <v>12871</v>
      </c>
      <c r="C2844" s="49" t="s">
        <v>12872</v>
      </c>
      <c r="D2844" s="49"/>
      <c r="E2844" s="49"/>
      <c r="F2844" s="49"/>
      <c r="G2844" s="4" t="s">
        <v>12873</v>
      </c>
      <c r="H2844" s="8"/>
      <c r="I2844" s="9" t="s">
        <v>12844</v>
      </c>
      <c r="J2844" s="10"/>
      <c r="K2844" s="11">
        <v>48</v>
      </c>
      <c r="L2844" s="10"/>
      <c r="M2844" s="10" t="s">
        <v>47</v>
      </c>
      <c r="N2844" s="10"/>
      <c r="O2844" s="2">
        <v>8</v>
      </c>
      <c r="P2844" s="17">
        <f>97*(1-S3/100)</f>
        <v>97</v>
      </c>
      <c r="Q2844" s="18"/>
      <c r="R2844" s="10">
        <f t="shared" si="124"/>
        <v>0</v>
      </c>
      <c r="S2844" s="19">
        <f>0.052*Q2844</f>
        <v>0</v>
      </c>
      <c r="T2844" s="20">
        <f>0.00015*Q2844</f>
        <v>0</v>
      </c>
      <c r="U2844" s="21"/>
      <c r="V2844" s="22" t="s">
        <v>12874</v>
      </c>
      <c r="W2844" s="22" t="s">
        <v>49</v>
      </c>
      <c r="X2844" s="3"/>
      <c r="Y2844" s="3"/>
      <c r="Z2844" s="3" t="s">
        <v>52</v>
      </c>
      <c r="AA2844" s="3" t="s">
        <v>12865</v>
      </c>
      <c r="AB2844" s="3"/>
      <c r="AC2844" s="3" t="str">
        <f>HYPERLINK("https://knigipp.ru/api/getInfo/image/18f86eb9-0750-11e8-951c-5cf3fc4a2490")</f>
        <v>https://knigipp.ru/api/getInfo/image/18f86eb9-0750-11e8-951c-5cf3fc4a2490</v>
      </c>
      <c r="AD2844" s="32">
        <v>10</v>
      </c>
      <c r="AE2844" s="3"/>
      <c r="AF2844" s="3" t="s">
        <v>209</v>
      </c>
      <c r="AG2844" s="3"/>
      <c r="AH2844" s="3" t="s">
        <v>56</v>
      </c>
      <c r="AI2844" s="3"/>
      <c r="AJ2844" s="3" t="s">
        <v>12851</v>
      </c>
      <c r="AK2844" s="3" t="str">
        <f>HYPERLINK("https://knigipp.ru/api/getInfo/item/18f86eb9-0750-11e8-951c-5cf3fc4a2490")</f>
        <v>https://knigipp.ru/api/getInfo/item/18f86eb9-0750-11e8-951c-5cf3fc4a2490</v>
      </c>
      <c r="AL2844" s="3" t="s">
        <v>716</v>
      </c>
    </row>
    <row r="2845" spans="1:38" ht="21" customHeight="1" outlineLevel="4" x14ac:dyDescent="0.2">
      <c r="A2845" s="39">
        <v>2249</v>
      </c>
      <c r="B2845" s="3" t="s">
        <v>12875</v>
      </c>
      <c r="C2845" s="49" t="s">
        <v>12876</v>
      </c>
      <c r="D2845" s="49"/>
      <c r="E2845" s="49"/>
      <c r="F2845" s="49"/>
      <c r="G2845" s="4" t="s">
        <v>12877</v>
      </c>
      <c r="H2845" s="8"/>
      <c r="I2845" s="9" t="s">
        <v>12844</v>
      </c>
      <c r="J2845" s="10"/>
      <c r="K2845" s="11">
        <v>48</v>
      </c>
      <c r="L2845" s="10"/>
      <c r="M2845" s="10" t="s">
        <v>47</v>
      </c>
      <c r="N2845" s="10"/>
      <c r="O2845" s="2">
        <v>8</v>
      </c>
      <c r="P2845" s="17">
        <f>97*(1-S3/100)</f>
        <v>97</v>
      </c>
      <c r="Q2845" s="18"/>
      <c r="R2845" s="10">
        <f t="shared" si="124"/>
        <v>0</v>
      </c>
      <c r="S2845" s="19">
        <f>0.067*Q2845</f>
        <v>0</v>
      </c>
      <c r="T2845" s="20">
        <f>0.00008*Q2845</f>
        <v>0</v>
      </c>
      <c r="U2845" s="21"/>
      <c r="V2845" s="22" t="s">
        <v>12878</v>
      </c>
      <c r="W2845" s="22" t="s">
        <v>49</v>
      </c>
      <c r="X2845" s="3"/>
      <c r="Y2845" s="3"/>
      <c r="Z2845" s="3" t="s">
        <v>52</v>
      </c>
      <c r="AA2845" s="3" t="s">
        <v>12850</v>
      </c>
      <c r="AB2845" s="3"/>
      <c r="AC2845" s="3" t="str">
        <f>HYPERLINK("https://knigipp.ru/api/getInfo/image/d749bacb-e22e-11e6-a3ac-5cf3fc4a2490")</f>
        <v>https://knigipp.ru/api/getInfo/image/d749bacb-e22e-11e6-a3ac-5cf3fc4a2490</v>
      </c>
      <c r="AD2845" s="32">
        <v>10</v>
      </c>
      <c r="AE2845" s="3"/>
      <c r="AF2845" s="3" t="s">
        <v>209</v>
      </c>
      <c r="AG2845" s="3"/>
      <c r="AH2845" s="3" t="s">
        <v>56</v>
      </c>
      <c r="AI2845" s="3"/>
      <c r="AJ2845" s="3" t="s">
        <v>12851</v>
      </c>
      <c r="AK2845" s="3" t="str">
        <f>HYPERLINK("https://knigipp.ru/api/getInfo/item/d749bacb-e22e-11e6-a3ac-5cf3fc4a2490")</f>
        <v>https://knigipp.ru/api/getInfo/item/d749bacb-e22e-11e6-a3ac-5cf3fc4a2490</v>
      </c>
      <c r="AL2845" s="3" t="s">
        <v>716</v>
      </c>
    </row>
    <row r="2846" spans="1:38" ht="21" customHeight="1" outlineLevel="4" x14ac:dyDescent="0.2">
      <c r="A2846" s="39">
        <v>2250</v>
      </c>
      <c r="B2846" s="3" t="s">
        <v>12879</v>
      </c>
      <c r="C2846" s="49" t="s">
        <v>12880</v>
      </c>
      <c r="D2846" s="49"/>
      <c r="E2846" s="49"/>
      <c r="F2846" s="49"/>
      <c r="G2846" s="4" t="s">
        <v>12881</v>
      </c>
      <c r="H2846" s="8"/>
      <c r="I2846" s="9" t="s">
        <v>12838</v>
      </c>
      <c r="J2846" s="10"/>
      <c r="K2846" s="11">
        <v>48</v>
      </c>
      <c r="L2846" s="10"/>
      <c r="M2846" s="10" t="s">
        <v>47</v>
      </c>
      <c r="N2846" s="10"/>
      <c r="O2846" s="2">
        <v>8</v>
      </c>
      <c r="P2846" s="17">
        <f>97*(1-S3/100)</f>
        <v>97</v>
      </c>
      <c r="Q2846" s="18"/>
      <c r="R2846" s="10">
        <f t="shared" si="124"/>
        <v>0</v>
      </c>
      <c r="S2846" s="19">
        <f>0.052*Q2846</f>
        <v>0</v>
      </c>
      <c r="T2846" s="20">
        <f>0.00015*Q2846</f>
        <v>0</v>
      </c>
      <c r="U2846" s="21"/>
      <c r="V2846" s="22" t="s">
        <v>12882</v>
      </c>
      <c r="W2846" s="22" t="s">
        <v>49</v>
      </c>
      <c r="X2846" s="3"/>
      <c r="Y2846" s="3" t="s">
        <v>12883</v>
      </c>
      <c r="Z2846" s="3" t="s">
        <v>52</v>
      </c>
      <c r="AA2846" s="3"/>
      <c r="AB2846" s="3"/>
      <c r="AC2846" s="3" t="str">
        <f>HYPERLINK("https://knigipp.ru/api/getInfo/image/2dae1cca-e5e4-11ee-a25a-00155d82e908")</f>
        <v>https://knigipp.ru/api/getInfo/image/2dae1cca-e5e4-11ee-a25a-00155d82e908</v>
      </c>
      <c r="AD2846" s="32">
        <v>10</v>
      </c>
      <c r="AE2846" s="3" t="s">
        <v>54</v>
      </c>
      <c r="AF2846" s="3" t="s">
        <v>209</v>
      </c>
      <c r="AG2846" s="3"/>
      <c r="AH2846" s="3" t="s">
        <v>56</v>
      </c>
      <c r="AI2846" s="3"/>
      <c r="AJ2846" s="3"/>
      <c r="AK2846" s="3" t="str">
        <f>HYPERLINK("https://knigipp.ru/api/getInfo/item/2dae1cca-e5e4-11ee-a25a-00155d82e908")</f>
        <v>https://knigipp.ru/api/getInfo/item/2dae1cca-e5e4-11ee-a25a-00155d82e908</v>
      </c>
      <c r="AL2846" s="3" t="s">
        <v>716</v>
      </c>
    </row>
    <row r="2847" spans="1:38" ht="21" customHeight="1" outlineLevel="4" x14ac:dyDescent="0.2">
      <c r="A2847" s="39">
        <v>2251</v>
      </c>
      <c r="B2847" s="3" t="s">
        <v>12884</v>
      </c>
      <c r="C2847" s="49" t="s">
        <v>12885</v>
      </c>
      <c r="D2847" s="49"/>
      <c r="E2847" s="49"/>
      <c r="F2847" s="49"/>
      <c r="G2847" s="4" t="s">
        <v>12886</v>
      </c>
      <c r="H2847" s="8"/>
      <c r="I2847" s="9" t="s">
        <v>12844</v>
      </c>
      <c r="J2847" s="10"/>
      <c r="K2847" s="11">
        <v>48</v>
      </c>
      <c r="L2847" s="10"/>
      <c r="M2847" s="10" t="s">
        <v>47</v>
      </c>
      <c r="N2847" s="10"/>
      <c r="O2847" s="2">
        <v>8</v>
      </c>
      <c r="P2847" s="17">
        <f>97*(1-S3/100)</f>
        <v>97</v>
      </c>
      <c r="Q2847" s="18"/>
      <c r="R2847" s="10">
        <f t="shared" si="124"/>
        <v>0</v>
      </c>
      <c r="S2847" s="19">
        <f>0.052*Q2847</f>
        <v>0</v>
      </c>
      <c r="T2847" s="20">
        <f>0.00015*Q2847</f>
        <v>0</v>
      </c>
      <c r="U2847" s="21"/>
      <c r="V2847" s="22" t="s">
        <v>12887</v>
      </c>
      <c r="W2847" s="22" t="s">
        <v>49</v>
      </c>
      <c r="X2847" s="3"/>
      <c r="Y2847" s="3"/>
      <c r="Z2847" s="3" t="s">
        <v>52</v>
      </c>
      <c r="AA2847" s="3"/>
      <c r="AB2847" s="3"/>
      <c r="AC2847" s="3" t="str">
        <f>HYPERLINK("https://knigipp.ru/api/getInfo/image/ce450810-40db-11e9-a221-ac1f6b442184")</f>
        <v>https://knigipp.ru/api/getInfo/image/ce450810-40db-11e9-a221-ac1f6b442184</v>
      </c>
      <c r="AD2847" s="32">
        <v>10</v>
      </c>
      <c r="AE2847" s="3"/>
      <c r="AF2847" s="3" t="s">
        <v>209</v>
      </c>
      <c r="AG2847" s="3"/>
      <c r="AH2847" s="3" t="s">
        <v>56</v>
      </c>
      <c r="AI2847" s="3"/>
      <c r="AJ2847" s="3"/>
      <c r="AK2847" s="3" t="str">
        <f>HYPERLINK("https://knigipp.ru/api/getInfo/item/ce450810-40db-11e9-a221-ac1f6b442184")</f>
        <v>https://knigipp.ru/api/getInfo/item/ce450810-40db-11e9-a221-ac1f6b442184</v>
      </c>
      <c r="AL2847" s="3" t="s">
        <v>716</v>
      </c>
    </row>
    <row r="2848" spans="1:38" ht="21" customHeight="1" outlineLevel="4" x14ac:dyDescent="0.2">
      <c r="A2848" s="39">
        <v>2252</v>
      </c>
      <c r="B2848" s="3" t="s">
        <v>12888</v>
      </c>
      <c r="C2848" s="49" t="s">
        <v>12889</v>
      </c>
      <c r="D2848" s="49"/>
      <c r="E2848" s="49"/>
      <c r="F2848" s="49"/>
      <c r="G2848" s="4" t="s">
        <v>12890</v>
      </c>
      <c r="H2848" s="8"/>
      <c r="I2848" s="9" t="s">
        <v>12784</v>
      </c>
      <c r="J2848" s="10"/>
      <c r="K2848" s="11">
        <v>48</v>
      </c>
      <c r="L2848" s="10"/>
      <c r="M2848" s="10" t="s">
        <v>47</v>
      </c>
      <c r="N2848" s="10"/>
      <c r="O2848" s="2">
        <v>8</v>
      </c>
      <c r="P2848" s="17">
        <f>97*(1-S3/100)</f>
        <v>97</v>
      </c>
      <c r="Q2848" s="18"/>
      <c r="R2848" s="10">
        <f t="shared" si="124"/>
        <v>0</v>
      </c>
      <c r="S2848" s="19">
        <f>0.052*Q2848</f>
        <v>0</v>
      </c>
      <c r="T2848" s="20">
        <f>0.00015*Q2848</f>
        <v>0</v>
      </c>
      <c r="U2848" s="21"/>
      <c r="V2848" s="22" t="s">
        <v>12891</v>
      </c>
      <c r="W2848" s="22" t="s">
        <v>49</v>
      </c>
      <c r="X2848" s="3"/>
      <c r="Y2848" s="3" t="s">
        <v>12892</v>
      </c>
      <c r="Z2848" s="3" t="s">
        <v>52</v>
      </c>
      <c r="AA2848" s="3"/>
      <c r="AB2848" s="3"/>
      <c r="AC2848" s="3" t="str">
        <f>HYPERLINK("https://knigipp.ru/api/getInfo/image/2dfd6c39-25c2-11f0-a279-00155d82e908")</f>
        <v>https://knigipp.ru/api/getInfo/image/2dfd6c39-25c2-11f0-a279-00155d82e908</v>
      </c>
      <c r="AD2848" s="32">
        <v>10</v>
      </c>
      <c r="AE2848" s="3" t="s">
        <v>54</v>
      </c>
      <c r="AF2848" s="3" t="s">
        <v>209</v>
      </c>
      <c r="AG2848" s="3"/>
      <c r="AH2848" s="3" t="s">
        <v>56</v>
      </c>
      <c r="AI2848" s="3"/>
      <c r="AJ2848" s="3"/>
      <c r="AK2848" s="3" t="str">
        <f>HYPERLINK("https://knigipp.ru/api/getInfo/item/2dfd6c39-25c2-11f0-a279-00155d82e908")</f>
        <v>https://knigipp.ru/api/getInfo/item/2dfd6c39-25c2-11f0-a279-00155d82e908</v>
      </c>
      <c r="AL2848" s="3" t="s">
        <v>722</v>
      </c>
    </row>
    <row r="2849" spans="1:38" ht="21" customHeight="1" outlineLevel="4" x14ac:dyDescent="0.2">
      <c r="A2849" s="39">
        <v>2253</v>
      </c>
      <c r="B2849" s="3" t="s">
        <v>12893</v>
      </c>
      <c r="C2849" s="49" t="s">
        <v>12894</v>
      </c>
      <c r="D2849" s="49"/>
      <c r="E2849" s="49"/>
      <c r="F2849" s="49"/>
      <c r="G2849" s="4" t="s">
        <v>12895</v>
      </c>
      <c r="H2849" s="8"/>
      <c r="I2849" s="9" t="s">
        <v>12784</v>
      </c>
      <c r="J2849" s="10"/>
      <c r="K2849" s="11">
        <v>48</v>
      </c>
      <c r="L2849" s="10"/>
      <c r="M2849" s="10" t="s">
        <v>78</v>
      </c>
      <c r="N2849" s="10"/>
      <c r="O2849" s="2">
        <v>8</v>
      </c>
      <c r="P2849" s="17">
        <f>97*(1-S3/100)</f>
        <v>97</v>
      </c>
      <c r="Q2849" s="18"/>
      <c r="R2849" s="10">
        <f t="shared" si="124"/>
        <v>0</v>
      </c>
      <c r="S2849" s="19">
        <f>0.052*Q2849</f>
        <v>0</v>
      </c>
      <c r="T2849" s="20">
        <f>0.00015*Q2849</f>
        <v>0</v>
      </c>
      <c r="U2849" s="21"/>
      <c r="V2849" s="22" t="s">
        <v>12896</v>
      </c>
      <c r="W2849" s="22" t="s">
        <v>49</v>
      </c>
      <c r="X2849" s="3"/>
      <c r="Y2849" s="3" t="s">
        <v>12897</v>
      </c>
      <c r="Z2849" s="3" t="s">
        <v>52</v>
      </c>
      <c r="AA2849" s="3"/>
      <c r="AB2849" s="3"/>
      <c r="AC2849" s="3" t="str">
        <f>HYPERLINK("https://knigipp.ru/api/getInfo/image/0b122610-25c2-11f0-a279-00155d82e908")</f>
        <v>https://knigipp.ru/api/getInfo/image/0b122610-25c2-11f0-a279-00155d82e908</v>
      </c>
      <c r="AD2849" s="32">
        <v>10</v>
      </c>
      <c r="AE2849" s="3" t="s">
        <v>54</v>
      </c>
      <c r="AF2849" s="3" t="s">
        <v>209</v>
      </c>
      <c r="AG2849" s="3"/>
      <c r="AH2849" s="3" t="s">
        <v>56</v>
      </c>
      <c r="AI2849" s="3"/>
      <c r="AJ2849" s="3"/>
      <c r="AK2849" s="3" t="str">
        <f>HYPERLINK("https://knigipp.ru/api/getInfo/item/0b122610-25c2-11f0-a279-00155d82e908")</f>
        <v>https://knigipp.ru/api/getInfo/item/0b122610-25c2-11f0-a279-00155d82e908</v>
      </c>
      <c r="AL2849" s="3" t="s">
        <v>722</v>
      </c>
    </row>
    <row r="2850" spans="1:38" ht="21" customHeight="1" outlineLevel="4" x14ac:dyDescent="0.2">
      <c r="A2850" s="39">
        <v>2254</v>
      </c>
      <c r="B2850" s="3" t="s">
        <v>12898</v>
      </c>
      <c r="C2850" s="49" t="s">
        <v>12899</v>
      </c>
      <c r="D2850" s="49"/>
      <c r="E2850" s="49"/>
      <c r="F2850" s="49"/>
      <c r="G2850" s="4" t="s">
        <v>12900</v>
      </c>
      <c r="H2850" s="8"/>
      <c r="I2850" s="9" t="s">
        <v>12784</v>
      </c>
      <c r="J2850" s="10"/>
      <c r="K2850" s="11">
        <v>48</v>
      </c>
      <c r="L2850" s="10"/>
      <c r="M2850" s="10" t="s">
        <v>47</v>
      </c>
      <c r="N2850" s="10"/>
      <c r="O2850" s="2">
        <v>8</v>
      </c>
      <c r="P2850" s="17">
        <f>97*(1-S3/100)</f>
        <v>97</v>
      </c>
      <c r="Q2850" s="18"/>
      <c r="R2850" s="10">
        <f t="shared" si="124"/>
        <v>0</v>
      </c>
      <c r="S2850" s="19">
        <f>0.053*Q2850</f>
        <v>0</v>
      </c>
      <c r="T2850" s="20">
        <f>0.00007*Q2850</f>
        <v>0</v>
      </c>
      <c r="U2850" s="21"/>
      <c r="V2850" s="22" t="s">
        <v>12901</v>
      </c>
      <c r="W2850" s="22" t="s">
        <v>49</v>
      </c>
      <c r="X2850" s="3"/>
      <c r="Y2850" s="3" t="s">
        <v>12902</v>
      </c>
      <c r="Z2850" s="3" t="s">
        <v>52</v>
      </c>
      <c r="AA2850" s="3"/>
      <c r="AB2850" s="3"/>
      <c r="AC2850" s="3" t="str">
        <f>HYPERLINK("https://knigipp.ru/api/getInfo/image/bc33229f-25c2-11f0-a279-00155d82e908")</f>
        <v>https://knigipp.ru/api/getInfo/image/bc33229f-25c2-11f0-a279-00155d82e908</v>
      </c>
      <c r="AD2850" s="32">
        <v>10</v>
      </c>
      <c r="AE2850" s="3" t="s">
        <v>54</v>
      </c>
      <c r="AF2850" s="3" t="s">
        <v>209</v>
      </c>
      <c r="AG2850" s="3"/>
      <c r="AH2850" s="3" t="s">
        <v>56</v>
      </c>
      <c r="AI2850" s="3"/>
      <c r="AJ2850" s="3"/>
      <c r="AK2850" s="3" t="str">
        <f>HYPERLINK("https://knigipp.ru/api/getInfo/item/bc33229f-25c2-11f0-a279-00155d82e908")</f>
        <v>https://knigipp.ru/api/getInfo/item/bc33229f-25c2-11f0-a279-00155d82e908</v>
      </c>
      <c r="AL2850" s="3" t="s">
        <v>722</v>
      </c>
    </row>
    <row r="2851" spans="1:38" ht="21" customHeight="1" outlineLevel="4" x14ac:dyDescent="0.2">
      <c r="A2851" s="39">
        <v>2255</v>
      </c>
      <c r="B2851" s="3" t="s">
        <v>12903</v>
      </c>
      <c r="C2851" s="49" t="s">
        <v>12904</v>
      </c>
      <c r="D2851" s="49"/>
      <c r="E2851" s="49"/>
      <c r="F2851" s="49"/>
      <c r="G2851" s="4" t="s">
        <v>12905</v>
      </c>
      <c r="H2851" s="8"/>
      <c r="I2851" s="9" t="s">
        <v>12784</v>
      </c>
      <c r="J2851" s="10"/>
      <c r="K2851" s="11">
        <v>48</v>
      </c>
      <c r="L2851" s="10"/>
      <c r="M2851" s="10" t="s">
        <v>47</v>
      </c>
      <c r="N2851" s="10"/>
      <c r="O2851" s="2">
        <v>8</v>
      </c>
      <c r="P2851" s="17">
        <f>97*(1-S3/100)</f>
        <v>97</v>
      </c>
      <c r="Q2851" s="18"/>
      <c r="R2851" s="10">
        <f t="shared" si="124"/>
        <v>0</v>
      </c>
      <c r="S2851" s="19">
        <f>0.053*Q2851</f>
        <v>0</v>
      </c>
      <c r="T2851" s="20">
        <f>0.00007*Q2851</f>
        <v>0</v>
      </c>
      <c r="U2851" s="21"/>
      <c r="V2851" s="22" t="s">
        <v>12906</v>
      </c>
      <c r="W2851" s="22" t="s">
        <v>49</v>
      </c>
      <c r="X2851" s="3"/>
      <c r="Y2851" s="3" t="s">
        <v>12907</v>
      </c>
      <c r="Z2851" s="3" t="s">
        <v>52</v>
      </c>
      <c r="AA2851" s="3"/>
      <c r="AB2851" s="3"/>
      <c r="AC2851" s="3" t="str">
        <f>HYPERLINK("https://knigipp.ru/api/getInfo/image/dd59f960-25c2-11f0-a279-00155d82e908")</f>
        <v>https://knigipp.ru/api/getInfo/image/dd59f960-25c2-11f0-a279-00155d82e908</v>
      </c>
      <c r="AD2851" s="32">
        <v>10</v>
      </c>
      <c r="AE2851" s="3" t="s">
        <v>54</v>
      </c>
      <c r="AF2851" s="3" t="s">
        <v>209</v>
      </c>
      <c r="AG2851" s="3"/>
      <c r="AH2851" s="3" t="s">
        <v>56</v>
      </c>
      <c r="AI2851" s="3"/>
      <c r="AJ2851" s="3"/>
      <c r="AK2851" s="3" t="str">
        <f>HYPERLINK("https://knigipp.ru/api/getInfo/item/dd59f960-25c2-11f0-a279-00155d82e908")</f>
        <v>https://knigipp.ru/api/getInfo/item/dd59f960-25c2-11f0-a279-00155d82e908</v>
      </c>
      <c r="AL2851" s="3" t="s">
        <v>722</v>
      </c>
    </row>
    <row r="2852" spans="1:38" ht="21" customHeight="1" outlineLevel="4" x14ac:dyDescent="0.2">
      <c r="A2852" s="39">
        <v>2256</v>
      </c>
      <c r="B2852" s="3" t="s">
        <v>12908</v>
      </c>
      <c r="C2852" s="49" t="s">
        <v>12909</v>
      </c>
      <c r="D2852" s="49"/>
      <c r="E2852" s="49"/>
      <c r="F2852" s="49"/>
      <c r="G2852" s="4" t="s">
        <v>12910</v>
      </c>
      <c r="H2852" s="8"/>
      <c r="I2852" s="9" t="s">
        <v>12911</v>
      </c>
      <c r="J2852" s="10"/>
      <c r="K2852" s="11">
        <v>48</v>
      </c>
      <c r="L2852" s="10"/>
      <c r="M2852" s="10" t="s">
        <v>47</v>
      </c>
      <c r="N2852" s="10"/>
      <c r="O2852" s="2">
        <v>8</v>
      </c>
      <c r="P2852" s="17">
        <f>97*(1-S3/100)</f>
        <v>97</v>
      </c>
      <c r="Q2852" s="18"/>
      <c r="R2852" s="10">
        <f t="shared" si="124"/>
        <v>0</v>
      </c>
      <c r="S2852" s="19">
        <f>0.065*Q2852</f>
        <v>0</v>
      </c>
      <c r="T2852" s="30">
        <f>0.0001*Q2852</f>
        <v>0</v>
      </c>
      <c r="U2852" s="21"/>
      <c r="V2852" s="22" t="s">
        <v>12912</v>
      </c>
      <c r="W2852" s="22" t="s">
        <v>49</v>
      </c>
      <c r="X2852" s="3"/>
      <c r="Y2852" s="3"/>
      <c r="Z2852" s="3" t="s">
        <v>52</v>
      </c>
      <c r="AA2852" s="3"/>
      <c r="AB2852" s="3"/>
      <c r="AC2852" s="3" t="str">
        <f>HYPERLINK("https://knigipp.ru/api/getInfo/image/b472fe5b-c02a-11e9-a232-ac1f6b442184")</f>
        <v>https://knigipp.ru/api/getInfo/image/b472fe5b-c02a-11e9-a232-ac1f6b442184</v>
      </c>
      <c r="AD2852" s="32">
        <v>10</v>
      </c>
      <c r="AE2852" s="3"/>
      <c r="AF2852" s="3" t="s">
        <v>209</v>
      </c>
      <c r="AG2852" s="3"/>
      <c r="AH2852" s="3" t="s">
        <v>56</v>
      </c>
      <c r="AI2852" s="3"/>
      <c r="AJ2852" s="3" t="s">
        <v>12335</v>
      </c>
      <c r="AK2852" s="3" t="str">
        <f>HYPERLINK("https://knigipp.ru/api/getInfo/item/b472fe5b-c02a-11e9-a232-ac1f6b442184")</f>
        <v>https://knigipp.ru/api/getInfo/item/b472fe5b-c02a-11e9-a232-ac1f6b442184</v>
      </c>
      <c r="AL2852" s="3" t="s">
        <v>12913</v>
      </c>
    </row>
    <row r="2853" spans="1:38" ht="21" customHeight="1" outlineLevel="4" x14ac:dyDescent="0.2">
      <c r="A2853" s="39">
        <v>2257</v>
      </c>
      <c r="B2853" s="3" t="s">
        <v>12914</v>
      </c>
      <c r="C2853" s="49" t="s">
        <v>12915</v>
      </c>
      <c r="D2853" s="49"/>
      <c r="E2853" s="49"/>
      <c r="F2853" s="49"/>
      <c r="G2853" s="4" t="s">
        <v>12916</v>
      </c>
      <c r="H2853" s="8"/>
      <c r="I2853" s="9" t="s">
        <v>12911</v>
      </c>
      <c r="J2853" s="10"/>
      <c r="K2853" s="11">
        <v>48</v>
      </c>
      <c r="L2853" s="10"/>
      <c r="M2853" s="10" t="s">
        <v>47</v>
      </c>
      <c r="N2853" s="10"/>
      <c r="O2853" s="2">
        <v>8</v>
      </c>
      <c r="P2853" s="17">
        <f>97*(1-S3/100)</f>
        <v>97</v>
      </c>
      <c r="Q2853" s="18"/>
      <c r="R2853" s="10">
        <f t="shared" si="124"/>
        <v>0</v>
      </c>
      <c r="S2853" s="19">
        <f>0.052*Q2853</f>
        <v>0</v>
      </c>
      <c r="T2853" s="20">
        <f>0.00015*Q2853</f>
        <v>0</v>
      </c>
      <c r="U2853" s="21"/>
      <c r="V2853" s="22" t="s">
        <v>12917</v>
      </c>
      <c r="W2853" s="22" t="s">
        <v>49</v>
      </c>
      <c r="X2853" s="3" t="s">
        <v>10538</v>
      </c>
      <c r="Y2853" s="3"/>
      <c r="Z2853" s="3" t="s">
        <v>52</v>
      </c>
      <c r="AA2853" s="3"/>
      <c r="AB2853" s="3"/>
      <c r="AC2853" s="3" t="str">
        <f>HYPERLINK("https://knigipp.ru/api/getInfo/image/1656e162-c02c-11e9-a232-ac1f6b442184")</f>
        <v>https://knigipp.ru/api/getInfo/image/1656e162-c02c-11e9-a232-ac1f6b442184</v>
      </c>
      <c r="AD2853" s="32">
        <v>10</v>
      </c>
      <c r="AE2853" s="3"/>
      <c r="AF2853" s="3" t="s">
        <v>209</v>
      </c>
      <c r="AG2853" s="3"/>
      <c r="AH2853" s="3" t="s">
        <v>56</v>
      </c>
      <c r="AI2853" s="3"/>
      <c r="AJ2853" s="3" t="s">
        <v>12335</v>
      </c>
      <c r="AK2853" s="3" t="str">
        <f>HYPERLINK("https://knigipp.ru/api/getInfo/item/1656e162-c02c-11e9-a232-ac1f6b442184")</f>
        <v>https://knigipp.ru/api/getInfo/item/1656e162-c02c-11e9-a232-ac1f6b442184</v>
      </c>
      <c r="AL2853" s="3" t="s">
        <v>12913</v>
      </c>
    </row>
    <row r="2854" spans="1:38" ht="21" customHeight="1" outlineLevel="4" x14ac:dyDescent="0.2">
      <c r="A2854" s="39">
        <v>2258</v>
      </c>
      <c r="B2854" s="3" t="s">
        <v>12918</v>
      </c>
      <c r="C2854" s="49" t="s">
        <v>12919</v>
      </c>
      <c r="D2854" s="49"/>
      <c r="E2854" s="49"/>
      <c r="F2854" s="49"/>
      <c r="G2854" s="4" t="s">
        <v>12920</v>
      </c>
      <c r="H2854" s="8"/>
      <c r="I2854" s="9" t="s">
        <v>12921</v>
      </c>
      <c r="J2854" s="10"/>
      <c r="K2854" s="11">
        <v>48</v>
      </c>
      <c r="L2854" s="10"/>
      <c r="M2854" s="10" t="s">
        <v>47</v>
      </c>
      <c r="N2854" s="10"/>
      <c r="O2854" s="2">
        <v>8</v>
      </c>
      <c r="P2854" s="17">
        <f>97*(1-S3/100)</f>
        <v>97</v>
      </c>
      <c r="Q2854" s="18"/>
      <c r="R2854" s="10">
        <f t="shared" si="124"/>
        <v>0</v>
      </c>
      <c r="S2854" s="19">
        <f>0.065*Q2854</f>
        <v>0</v>
      </c>
      <c r="T2854" s="20">
        <f>0.00009*Q2854</f>
        <v>0</v>
      </c>
      <c r="U2854" s="21"/>
      <c r="V2854" s="22" t="s">
        <v>12922</v>
      </c>
      <c r="W2854" s="22" t="s">
        <v>49</v>
      </c>
      <c r="X2854" s="3"/>
      <c r="Y2854" s="3" t="s">
        <v>12923</v>
      </c>
      <c r="Z2854" s="3" t="s">
        <v>52</v>
      </c>
      <c r="AA2854" s="3"/>
      <c r="AB2854" s="3"/>
      <c r="AC2854" s="3" t="str">
        <f>HYPERLINK("https://knigipp.ru/api/getInfo/image/ffc7b6a6-55a4-11f0-a27e-00155d82e908")</f>
        <v>https://knigipp.ru/api/getInfo/image/ffc7b6a6-55a4-11f0-a27e-00155d82e908</v>
      </c>
      <c r="AD2854" s="32">
        <v>10</v>
      </c>
      <c r="AE2854" s="3" t="s">
        <v>54</v>
      </c>
      <c r="AF2854" s="3" t="s">
        <v>209</v>
      </c>
      <c r="AG2854" s="3"/>
      <c r="AH2854" s="3" t="s">
        <v>56</v>
      </c>
      <c r="AI2854" s="3"/>
      <c r="AJ2854" s="3"/>
      <c r="AK2854" s="3" t="str">
        <f>HYPERLINK("https://knigipp.ru/api/getInfo/item/ffc7b6a6-55a4-11f0-a27e-00155d82e908")</f>
        <v>https://knigipp.ru/api/getInfo/item/ffc7b6a6-55a4-11f0-a27e-00155d82e908</v>
      </c>
      <c r="AL2854" s="3" t="s">
        <v>716</v>
      </c>
    </row>
    <row r="2855" spans="1:38" ht="21" customHeight="1" outlineLevel="4" x14ac:dyDescent="0.2">
      <c r="A2855" s="39">
        <v>2259</v>
      </c>
      <c r="B2855" s="3" t="s">
        <v>12924</v>
      </c>
      <c r="C2855" s="49" t="s">
        <v>12925</v>
      </c>
      <c r="D2855" s="49"/>
      <c r="E2855" s="49"/>
      <c r="F2855" s="49"/>
      <c r="G2855" s="4" t="s">
        <v>12926</v>
      </c>
      <c r="H2855" s="8"/>
      <c r="I2855" s="9" t="s">
        <v>12927</v>
      </c>
      <c r="J2855" s="10"/>
      <c r="K2855" s="11">
        <v>48</v>
      </c>
      <c r="L2855" s="10"/>
      <c r="M2855" s="10" t="s">
        <v>304</v>
      </c>
      <c r="N2855" s="10"/>
      <c r="O2855" s="2">
        <v>8</v>
      </c>
      <c r="P2855" s="17">
        <f>97*(1-S3/100)</f>
        <v>97</v>
      </c>
      <c r="Q2855" s="18"/>
      <c r="R2855" s="10">
        <f t="shared" ref="R2855:R2886" si="125">P2855*Q2855</f>
        <v>0</v>
      </c>
      <c r="S2855" s="19">
        <f>0.052*Q2855</f>
        <v>0</v>
      </c>
      <c r="T2855" s="20">
        <f>0.00015*Q2855</f>
        <v>0</v>
      </c>
      <c r="U2855" s="21"/>
      <c r="V2855" s="22" t="s">
        <v>12928</v>
      </c>
      <c r="W2855" s="22" t="s">
        <v>49</v>
      </c>
      <c r="X2855" s="3"/>
      <c r="Y2855" s="3"/>
      <c r="Z2855" s="3" t="s">
        <v>52</v>
      </c>
      <c r="AA2855" s="3" t="s">
        <v>10029</v>
      </c>
      <c r="AB2855" s="3"/>
      <c r="AC2855" s="3" t="str">
        <f>HYPERLINK("https://knigipp.ru/api/getInfo/image/8a0d9a8f-c686-11e1-81d3-5ef3fc502493")</f>
        <v>https://knigipp.ru/api/getInfo/image/8a0d9a8f-c686-11e1-81d3-5ef3fc502493</v>
      </c>
      <c r="AD2855" s="32">
        <v>10</v>
      </c>
      <c r="AE2855" s="3"/>
      <c r="AF2855" s="3" t="s">
        <v>209</v>
      </c>
      <c r="AG2855" s="3"/>
      <c r="AH2855" s="3" t="s">
        <v>56</v>
      </c>
      <c r="AI2855" s="3"/>
      <c r="AJ2855" s="3" t="s">
        <v>12335</v>
      </c>
      <c r="AK2855" s="3" t="str">
        <f>HYPERLINK("https://knigipp.ru/api/getInfo/item/8a0d9a8f-c686-11e1-81d3-5ef3fc502493")</f>
        <v>https://knigipp.ru/api/getInfo/item/8a0d9a8f-c686-11e1-81d3-5ef3fc502493</v>
      </c>
      <c r="AL2855" s="3" t="s">
        <v>12913</v>
      </c>
    </row>
    <row r="2856" spans="1:38" ht="21" customHeight="1" outlineLevel="4" x14ac:dyDescent="0.2">
      <c r="A2856" s="39">
        <v>2260</v>
      </c>
      <c r="B2856" s="3" t="s">
        <v>12929</v>
      </c>
      <c r="C2856" s="49" t="s">
        <v>12930</v>
      </c>
      <c r="D2856" s="49"/>
      <c r="E2856" s="49"/>
      <c r="F2856" s="49"/>
      <c r="G2856" s="4" t="s">
        <v>12931</v>
      </c>
      <c r="H2856" s="8"/>
      <c r="I2856" s="9" t="s">
        <v>12932</v>
      </c>
      <c r="J2856" s="10"/>
      <c r="K2856" s="11">
        <v>48</v>
      </c>
      <c r="L2856" s="10"/>
      <c r="M2856" s="10" t="s">
        <v>47</v>
      </c>
      <c r="N2856" s="10"/>
      <c r="O2856" s="2">
        <v>8</v>
      </c>
      <c r="P2856" s="17">
        <f>97*(1-S3/100)</f>
        <v>97</v>
      </c>
      <c r="Q2856" s="18"/>
      <c r="R2856" s="10">
        <f t="shared" si="125"/>
        <v>0</v>
      </c>
      <c r="S2856" s="19">
        <f>0.066*Q2856</f>
        <v>0</v>
      </c>
      <c r="T2856" s="20">
        <f>0.00007*Q2856</f>
        <v>0</v>
      </c>
      <c r="U2856" s="21"/>
      <c r="V2856" s="22" t="s">
        <v>12933</v>
      </c>
      <c r="W2856" s="22" t="s">
        <v>49</v>
      </c>
      <c r="X2856" s="3" t="s">
        <v>281</v>
      </c>
      <c r="Y2856" s="3" t="s">
        <v>12934</v>
      </c>
      <c r="Z2856" s="3" t="s">
        <v>52</v>
      </c>
      <c r="AA2856" s="3"/>
      <c r="AB2856" s="3"/>
      <c r="AC2856" s="3" t="str">
        <f>HYPERLINK("https://knigipp.ru/api/getInfo/image/2cbe1a87-e578-11f0-a28c-00155d82e908")</f>
        <v>https://knigipp.ru/api/getInfo/image/2cbe1a87-e578-11f0-a28c-00155d82e908</v>
      </c>
      <c r="AD2856" s="32">
        <v>10</v>
      </c>
      <c r="AE2856" s="3" t="s">
        <v>54</v>
      </c>
      <c r="AF2856" s="3" t="s">
        <v>209</v>
      </c>
      <c r="AG2856" s="3"/>
      <c r="AH2856" s="3" t="s">
        <v>56</v>
      </c>
      <c r="AI2856" s="3"/>
      <c r="AJ2856" s="3"/>
      <c r="AK2856" s="3" t="str">
        <f>HYPERLINK("https://knigipp.ru/api/getInfo/item/2cbe1a87-e578-11f0-a28c-00155d82e908")</f>
        <v>https://knigipp.ru/api/getInfo/item/2cbe1a87-e578-11f0-a28c-00155d82e908</v>
      </c>
      <c r="AL2856" s="3" t="s">
        <v>716</v>
      </c>
    </row>
    <row r="2857" spans="1:38" ht="21" customHeight="1" outlineLevel="4" x14ac:dyDescent="0.2">
      <c r="A2857" s="39">
        <v>2261</v>
      </c>
      <c r="B2857" s="3" t="s">
        <v>12935</v>
      </c>
      <c r="C2857" s="49" t="s">
        <v>12936</v>
      </c>
      <c r="D2857" s="49"/>
      <c r="E2857" s="49"/>
      <c r="F2857" s="49"/>
      <c r="G2857" s="4" t="s">
        <v>12937</v>
      </c>
      <c r="H2857" s="8"/>
      <c r="I2857" s="9" t="s">
        <v>12938</v>
      </c>
      <c r="J2857" s="10"/>
      <c r="K2857" s="11">
        <v>48</v>
      </c>
      <c r="L2857" s="10"/>
      <c r="M2857" s="10" t="s">
        <v>47</v>
      </c>
      <c r="N2857" s="10"/>
      <c r="O2857" s="2">
        <v>8</v>
      </c>
      <c r="P2857" s="17">
        <f>97*(1-S3/100)</f>
        <v>97</v>
      </c>
      <c r="Q2857" s="18"/>
      <c r="R2857" s="10">
        <f t="shared" si="125"/>
        <v>0</v>
      </c>
      <c r="S2857" s="19">
        <f>0.052*Q2857</f>
        <v>0</v>
      </c>
      <c r="T2857" s="20">
        <f>0.00015*Q2857</f>
        <v>0</v>
      </c>
      <c r="U2857" s="21"/>
      <c r="V2857" s="22" t="s">
        <v>12939</v>
      </c>
      <c r="W2857" s="22" t="s">
        <v>49</v>
      </c>
      <c r="X2857" s="3" t="s">
        <v>12940</v>
      </c>
      <c r="Y2857" s="3"/>
      <c r="Z2857" s="3" t="s">
        <v>52</v>
      </c>
      <c r="AA2857" s="3"/>
      <c r="AB2857" s="3"/>
      <c r="AC2857" s="3" t="str">
        <f>HYPERLINK("https://knigipp.ru/api/getInfo/image/3d6be5a6-db8e-11ee-a25a-00155d82e908")</f>
        <v>https://knigipp.ru/api/getInfo/image/3d6be5a6-db8e-11ee-a25a-00155d82e908</v>
      </c>
      <c r="AD2857" s="32">
        <v>10</v>
      </c>
      <c r="AE2857" s="3" t="s">
        <v>54</v>
      </c>
      <c r="AF2857" s="3" t="s">
        <v>209</v>
      </c>
      <c r="AG2857" s="3"/>
      <c r="AH2857" s="3" t="s">
        <v>56</v>
      </c>
      <c r="AI2857" s="3"/>
      <c r="AJ2857" s="3" t="s">
        <v>12335</v>
      </c>
      <c r="AK2857" s="3" t="str">
        <f>HYPERLINK("https://knigipp.ru/api/getInfo/item/3d6be5a6-db8e-11ee-a25a-00155d82e908")</f>
        <v>https://knigipp.ru/api/getInfo/item/3d6be5a6-db8e-11ee-a25a-00155d82e908</v>
      </c>
      <c r="AL2857" s="3" t="s">
        <v>12913</v>
      </c>
    </row>
    <row r="2858" spans="1:38" ht="21" customHeight="1" outlineLevel="4" x14ac:dyDescent="0.2">
      <c r="A2858" s="39">
        <v>2262</v>
      </c>
      <c r="B2858" s="3" t="s">
        <v>12941</v>
      </c>
      <c r="C2858" s="49" t="s">
        <v>12942</v>
      </c>
      <c r="D2858" s="49"/>
      <c r="E2858" s="49"/>
      <c r="F2858" s="49"/>
      <c r="G2858" s="4" t="s">
        <v>12943</v>
      </c>
      <c r="H2858" s="8"/>
      <c r="I2858" s="9" t="s">
        <v>12944</v>
      </c>
      <c r="J2858" s="10"/>
      <c r="K2858" s="11">
        <v>48</v>
      </c>
      <c r="L2858" s="10"/>
      <c r="M2858" s="10" t="s">
        <v>47</v>
      </c>
      <c r="N2858" s="10"/>
      <c r="O2858" s="2">
        <v>8</v>
      </c>
      <c r="P2858" s="17">
        <f>97*(1-S3/100)</f>
        <v>97</v>
      </c>
      <c r="Q2858" s="18"/>
      <c r="R2858" s="10">
        <f t="shared" si="125"/>
        <v>0</v>
      </c>
      <c r="S2858" s="19">
        <f>0.052*Q2858</f>
        <v>0</v>
      </c>
      <c r="T2858" s="20">
        <f>0.00015*Q2858</f>
        <v>0</v>
      </c>
      <c r="U2858" s="21"/>
      <c r="V2858" s="22" t="s">
        <v>12945</v>
      </c>
      <c r="W2858" s="22" t="s">
        <v>49</v>
      </c>
      <c r="X2858" s="3" t="s">
        <v>319</v>
      </c>
      <c r="Y2858" s="3"/>
      <c r="Z2858" s="3" t="s">
        <v>52</v>
      </c>
      <c r="AA2858" s="3"/>
      <c r="AB2858" s="3"/>
      <c r="AC2858" s="3" t="str">
        <f>HYPERLINK("https://knigipp.ru/api/getInfo/image/482357ef-99b1-11e9-a227-ac1f6b442184")</f>
        <v>https://knigipp.ru/api/getInfo/image/482357ef-99b1-11e9-a227-ac1f6b442184</v>
      </c>
      <c r="AD2858" s="32">
        <v>10</v>
      </c>
      <c r="AE2858" s="3"/>
      <c r="AF2858" s="3" t="s">
        <v>209</v>
      </c>
      <c r="AG2858" s="3"/>
      <c r="AH2858" s="3" t="s">
        <v>56</v>
      </c>
      <c r="AI2858" s="3"/>
      <c r="AJ2858" s="3" t="s">
        <v>12335</v>
      </c>
      <c r="AK2858" s="3" t="str">
        <f>HYPERLINK("https://knigipp.ru/api/getInfo/item/482357ef-99b1-11e9-a227-ac1f6b442184")</f>
        <v>https://knigipp.ru/api/getInfo/item/482357ef-99b1-11e9-a227-ac1f6b442184</v>
      </c>
      <c r="AL2858" s="3" t="s">
        <v>12913</v>
      </c>
    </row>
    <row r="2859" spans="1:38" ht="21" customHeight="1" outlineLevel="4" x14ac:dyDescent="0.2">
      <c r="A2859" s="39">
        <v>2263</v>
      </c>
      <c r="B2859" s="3" t="s">
        <v>12946</v>
      </c>
      <c r="C2859" s="49" t="s">
        <v>12947</v>
      </c>
      <c r="D2859" s="49"/>
      <c r="E2859" s="49"/>
      <c r="F2859" s="49"/>
      <c r="G2859" s="4" t="s">
        <v>12948</v>
      </c>
      <c r="H2859" s="8"/>
      <c r="I2859" s="9" t="s">
        <v>12949</v>
      </c>
      <c r="J2859" s="10"/>
      <c r="K2859" s="11">
        <v>48</v>
      </c>
      <c r="L2859" s="10"/>
      <c r="M2859" s="10" t="s">
        <v>47</v>
      </c>
      <c r="N2859" s="10"/>
      <c r="O2859" s="2">
        <v>8</v>
      </c>
      <c r="P2859" s="17">
        <f>97*(1-S3/100)</f>
        <v>97</v>
      </c>
      <c r="Q2859" s="18"/>
      <c r="R2859" s="10">
        <f t="shared" si="125"/>
        <v>0</v>
      </c>
      <c r="S2859" s="19">
        <f>0.066*Q2859</f>
        <v>0</v>
      </c>
      <c r="T2859" s="30">
        <f>0.0001*Q2859</f>
        <v>0</v>
      </c>
      <c r="U2859" s="21"/>
      <c r="V2859" s="22" t="s">
        <v>12950</v>
      </c>
      <c r="W2859" s="22" t="s">
        <v>49</v>
      </c>
      <c r="X2859" s="3" t="s">
        <v>12951</v>
      </c>
      <c r="Y2859" s="3"/>
      <c r="Z2859" s="3" t="s">
        <v>52</v>
      </c>
      <c r="AA2859" s="3"/>
      <c r="AB2859" s="3"/>
      <c r="AC2859" s="3" t="str">
        <f>HYPERLINK("https://knigipp.ru/api/getInfo/image/eaa89fd7-99b1-11e9-a227-ac1f6b442184")</f>
        <v>https://knigipp.ru/api/getInfo/image/eaa89fd7-99b1-11e9-a227-ac1f6b442184</v>
      </c>
      <c r="AD2859" s="32">
        <v>10</v>
      </c>
      <c r="AE2859" s="3"/>
      <c r="AF2859" s="3" t="s">
        <v>209</v>
      </c>
      <c r="AG2859" s="3"/>
      <c r="AH2859" s="3" t="s">
        <v>56</v>
      </c>
      <c r="AI2859" s="3"/>
      <c r="AJ2859" s="3" t="s">
        <v>12335</v>
      </c>
      <c r="AK2859" s="3" t="str">
        <f>HYPERLINK("https://knigipp.ru/api/getInfo/item/eaa89fd7-99b1-11e9-a227-ac1f6b442184")</f>
        <v>https://knigipp.ru/api/getInfo/item/eaa89fd7-99b1-11e9-a227-ac1f6b442184</v>
      </c>
      <c r="AL2859" s="3" t="s">
        <v>12913</v>
      </c>
    </row>
    <row r="2860" spans="1:38" ht="21" customHeight="1" outlineLevel="4" x14ac:dyDescent="0.2">
      <c r="A2860" s="39">
        <v>2264</v>
      </c>
      <c r="B2860" s="3" t="s">
        <v>12952</v>
      </c>
      <c r="C2860" s="49" t="s">
        <v>12953</v>
      </c>
      <c r="D2860" s="49"/>
      <c r="E2860" s="49"/>
      <c r="F2860" s="49"/>
      <c r="G2860" s="4" t="s">
        <v>12954</v>
      </c>
      <c r="H2860" s="8"/>
      <c r="I2860" s="9" t="s">
        <v>12911</v>
      </c>
      <c r="J2860" s="10"/>
      <c r="K2860" s="11">
        <v>48</v>
      </c>
      <c r="L2860" s="10"/>
      <c r="M2860" s="10" t="s">
        <v>47</v>
      </c>
      <c r="N2860" s="10"/>
      <c r="O2860" s="2">
        <v>8</v>
      </c>
      <c r="P2860" s="17">
        <f>97*(1-S3/100)</f>
        <v>97</v>
      </c>
      <c r="Q2860" s="18"/>
      <c r="R2860" s="10">
        <f t="shared" si="125"/>
        <v>0</v>
      </c>
      <c r="S2860" s="19">
        <f>0.052*Q2860</f>
        <v>0</v>
      </c>
      <c r="T2860" s="20">
        <f>0.00015*Q2860</f>
        <v>0</v>
      </c>
      <c r="U2860" s="21"/>
      <c r="V2860" s="22" t="s">
        <v>12955</v>
      </c>
      <c r="W2860" s="22" t="s">
        <v>49</v>
      </c>
      <c r="X2860" s="3" t="s">
        <v>12940</v>
      </c>
      <c r="Y2860" s="3"/>
      <c r="Z2860" s="3" t="s">
        <v>52</v>
      </c>
      <c r="AA2860" s="3"/>
      <c r="AB2860" s="3"/>
      <c r="AC2860" s="3" t="str">
        <f>HYPERLINK("https://knigipp.ru/api/getInfo/image/f52e258f-db8c-11ee-a25a-00155d82e908")</f>
        <v>https://knigipp.ru/api/getInfo/image/f52e258f-db8c-11ee-a25a-00155d82e908</v>
      </c>
      <c r="AD2860" s="32">
        <v>10</v>
      </c>
      <c r="AE2860" s="3"/>
      <c r="AF2860" s="3" t="s">
        <v>209</v>
      </c>
      <c r="AG2860" s="3"/>
      <c r="AH2860" s="3" t="s">
        <v>56</v>
      </c>
      <c r="AI2860" s="3"/>
      <c r="AJ2860" s="3" t="s">
        <v>12335</v>
      </c>
      <c r="AK2860" s="3" t="str">
        <f>HYPERLINK("https://knigipp.ru/api/getInfo/item/f52e258f-db8c-11ee-a25a-00155d82e908")</f>
        <v>https://knigipp.ru/api/getInfo/item/f52e258f-db8c-11ee-a25a-00155d82e908</v>
      </c>
      <c r="AL2860" s="3" t="s">
        <v>12913</v>
      </c>
    </row>
    <row r="2861" spans="1:38" ht="21" customHeight="1" outlineLevel="4" x14ac:dyDescent="0.2">
      <c r="A2861" s="39">
        <v>2265</v>
      </c>
      <c r="B2861" s="3" t="s">
        <v>12956</v>
      </c>
      <c r="C2861" s="49" t="s">
        <v>12957</v>
      </c>
      <c r="D2861" s="49"/>
      <c r="E2861" s="49"/>
      <c r="F2861" s="49"/>
      <c r="G2861" s="4" t="s">
        <v>12958</v>
      </c>
      <c r="H2861" s="8"/>
      <c r="I2861" s="9" t="s">
        <v>12911</v>
      </c>
      <c r="J2861" s="10"/>
      <c r="K2861" s="11">
        <v>48</v>
      </c>
      <c r="L2861" s="10"/>
      <c r="M2861" s="10" t="s">
        <v>47</v>
      </c>
      <c r="N2861" s="10"/>
      <c r="O2861" s="2">
        <v>8</v>
      </c>
      <c r="P2861" s="17">
        <f>97*(1-S3/100)</f>
        <v>97</v>
      </c>
      <c r="Q2861" s="18"/>
      <c r="R2861" s="10">
        <f t="shared" si="125"/>
        <v>0</v>
      </c>
      <c r="S2861" s="19">
        <f>0.052*Q2861</f>
        <v>0</v>
      </c>
      <c r="T2861" s="20">
        <f>0.00015*Q2861</f>
        <v>0</v>
      </c>
      <c r="U2861" s="21"/>
      <c r="V2861" s="22" t="s">
        <v>12959</v>
      </c>
      <c r="W2861" s="22" t="s">
        <v>49</v>
      </c>
      <c r="X2861" s="3"/>
      <c r="Y2861" s="3"/>
      <c r="Z2861" s="3" t="s">
        <v>52</v>
      </c>
      <c r="AA2861" s="3"/>
      <c r="AB2861" s="3"/>
      <c r="AC2861" s="3" t="str">
        <f>HYPERLINK("https://knigipp.ru/api/getInfo/image/a09abec4-f572-11e9-a235-ac1f6b442184")</f>
        <v>https://knigipp.ru/api/getInfo/image/a09abec4-f572-11e9-a235-ac1f6b442184</v>
      </c>
      <c r="AD2861" s="32">
        <v>10</v>
      </c>
      <c r="AE2861" s="3"/>
      <c r="AF2861" s="3" t="s">
        <v>209</v>
      </c>
      <c r="AG2861" s="3"/>
      <c r="AH2861" s="3" t="s">
        <v>56</v>
      </c>
      <c r="AI2861" s="3"/>
      <c r="AJ2861" s="3" t="s">
        <v>12335</v>
      </c>
      <c r="AK2861" s="3" t="str">
        <f>HYPERLINK("https://knigipp.ru/api/getInfo/item/a09abec4-f572-11e9-a235-ac1f6b442184")</f>
        <v>https://knigipp.ru/api/getInfo/item/a09abec4-f572-11e9-a235-ac1f6b442184</v>
      </c>
      <c r="AL2861" s="3" t="s">
        <v>12913</v>
      </c>
    </row>
    <row r="2862" spans="1:38" ht="21" customHeight="1" outlineLevel="4" x14ac:dyDescent="0.2">
      <c r="A2862" s="39">
        <v>2266</v>
      </c>
      <c r="B2862" s="3" t="s">
        <v>12960</v>
      </c>
      <c r="C2862" s="49" t="s">
        <v>12961</v>
      </c>
      <c r="D2862" s="49"/>
      <c r="E2862" s="49"/>
      <c r="F2862" s="49"/>
      <c r="G2862" s="4" t="s">
        <v>12962</v>
      </c>
      <c r="H2862" s="8"/>
      <c r="I2862" s="9" t="s">
        <v>12921</v>
      </c>
      <c r="J2862" s="10"/>
      <c r="K2862" s="11">
        <v>48</v>
      </c>
      <c r="L2862" s="10"/>
      <c r="M2862" s="10" t="s">
        <v>47</v>
      </c>
      <c r="N2862" s="10"/>
      <c r="O2862" s="2">
        <v>8</v>
      </c>
      <c r="P2862" s="17">
        <f>97*(1-S3/100)</f>
        <v>97</v>
      </c>
      <c r="Q2862" s="18"/>
      <c r="R2862" s="10">
        <f t="shared" si="125"/>
        <v>0</v>
      </c>
      <c r="S2862" s="19">
        <f>0.065*Q2862</f>
        <v>0</v>
      </c>
      <c r="T2862" s="20">
        <f>0.00009*Q2862</f>
        <v>0</v>
      </c>
      <c r="U2862" s="21"/>
      <c r="V2862" s="22" t="s">
        <v>12963</v>
      </c>
      <c r="W2862" s="22" t="s">
        <v>49</v>
      </c>
      <c r="X2862" s="3"/>
      <c r="Y2862" s="3" t="s">
        <v>12964</v>
      </c>
      <c r="Z2862" s="3" t="s">
        <v>52</v>
      </c>
      <c r="AA2862" s="3"/>
      <c r="AB2862" s="3"/>
      <c r="AC2862" s="3" t="str">
        <f>HYPERLINK("https://knigipp.ru/api/getInfo/image/4e41445a-55a5-11f0-a27e-00155d82e908")</f>
        <v>https://knigipp.ru/api/getInfo/image/4e41445a-55a5-11f0-a27e-00155d82e908</v>
      </c>
      <c r="AD2862" s="32">
        <v>10</v>
      </c>
      <c r="AE2862" s="3" t="s">
        <v>54</v>
      </c>
      <c r="AF2862" s="3" t="s">
        <v>209</v>
      </c>
      <c r="AG2862" s="3"/>
      <c r="AH2862" s="3" t="s">
        <v>56</v>
      </c>
      <c r="AI2862" s="3"/>
      <c r="AJ2862" s="3"/>
      <c r="AK2862" s="3" t="str">
        <f>HYPERLINK("https://knigipp.ru/api/getInfo/item/4e41445a-55a5-11f0-a27e-00155d82e908")</f>
        <v>https://knigipp.ru/api/getInfo/item/4e41445a-55a5-11f0-a27e-00155d82e908</v>
      </c>
      <c r="AL2862" s="3" t="s">
        <v>716</v>
      </c>
    </row>
    <row r="2863" spans="1:38" ht="21" customHeight="1" outlineLevel="4" x14ac:dyDescent="0.2">
      <c r="A2863" s="39">
        <v>2267</v>
      </c>
      <c r="B2863" s="3" t="s">
        <v>12965</v>
      </c>
      <c r="C2863" s="49" t="s">
        <v>12966</v>
      </c>
      <c r="D2863" s="49"/>
      <c r="E2863" s="49"/>
      <c r="F2863" s="49"/>
      <c r="G2863" s="4" t="s">
        <v>12967</v>
      </c>
      <c r="H2863" s="8"/>
      <c r="I2863" s="9" t="s">
        <v>12968</v>
      </c>
      <c r="J2863" s="10"/>
      <c r="K2863" s="11">
        <v>48</v>
      </c>
      <c r="L2863" s="10"/>
      <c r="M2863" s="10" t="s">
        <v>47</v>
      </c>
      <c r="N2863" s="10"/>
      <c r="O2863" s="2">
        <v>8</v>
      </c>
      <c r="P2863" s="17">
        <f>97*(1-S3/100)</f>
        <v>97</v>
      </c>
      <c r="Q2863" s="18"/>
      <c r="R2863" s="10">
        <f t="shared" si="125"/>
        <v>0</v>
      </c>
      <c r="S2863" s="19">
        <f>0.053*Q2863</f>
        <v>0</v>
      </c>
      <c r="T2863" s="20">
        <f>0.00009*Q2863</f>
        <v>0</v>
      </c>
      <c r="U2863" s="21"/>
      <c r="V2863" s="22" t="s">
        <v>12969</v>
      </c>
      <c r="W2863" s="22" t="s">
        <v>49</v>
      </c>
      <c r="X2863" s="3"/>
      <c r="Y2863" s="3" t="s">
        <v>12970</v>
      </c>
      <c r="Z2863" s="3" t="s">
        <v>52</v>
      </c>
      <c r="AA2863" s="3"/>
      <c r="AB2863" s="3"/>
      <c r="AC2863" s="3" t="str">
        <f>HYPERLINK("https://knigipp.ru/api/getInfo/image/772f5f84-bbde-11f0-a288-00155d82e908")</f>
        <v>https://knigipp.ru/api/getInfo/image/772f5f84-bbde-11f0-a288-00155d82e908</v>
      </c>
      <c r="AD2863" s="32">
        <v>10</v>
      </c>
      <c r="AE2863" s="3" t="s">
        <v>54</v>
      </c>
      <c r="AF2863" s="3" t="s">
        <v>209</v>
      </c>
      <c r="AG2863" s="3"/>
      <c r="AH2863" s="3" t="s">
        <v>56</v>
      </c>
      <c r="AI2863" s="3"/>
      <c r="AJ2863" s="3" t="s">
        <v>12335</v>
      </c>
      <c r="AK2863" s="3" t="str">
        <f>HYPERLINK("https://knigipp.ru/api/getInfo/item/772f5f84-bbde-11f0-a288-00155d82e908")</f>
        <v>https://knigipp.ru/api/getInfo/item/772f5f84-bbde-11f0-a288-00155d82e908</v>
      </c>
      <c r="AL2863" s="3" t="s">
        <v>12913</v>
      </c>
    </row>
    <row r="2864" spans="1:38" ht="21" customHeight="1" outlineLevel="4" x14ac:dyDescent="0.2">
      <c r="A2864" s="39">
        <v>2268</v>
      </c>
      <c r="B2864" s="3" t="s">
        <v>12971</v>
      </c>
      <c r="C2864" s="49" t="s">
        <v>12972</v>
      </c>
      <c r="D2864" s="49"/>
      <c r="E2864" s="49"/>
      <c r="F2864" s="49"/>
      <c r="G2864" s="4" t="s">
        <v>12973</v>
      </c>
      <c r="H2864" s="8"/>
      <c r="I2864" s="9" t="s">
        <v>12911</v>
      </c>
      <c r="J2864" s="10"/>
      <c r="K2864" s="11">
        <v>48</v>
      </c>
      <c r="L2864" s="10"/>
      <c r="M2864" s="10" t="s">
        <v>47</v>
      </c>
      <c r="N2864" s="10"/>
      <c r="O2864" s="2">
        <v>8</v>
      </c>
      <c r="P2864" s="17">
        <f>97*(1-S3/100)</f>
        <v>97</v>
      </c>
      <c r="Q2864" s="18"/>
      <c r="R2864" s="10">
        <f t="shared" si="125"/>
        <v>0</v>
      </c>
      <c r="S2864" s="19">
        <f>0.052*Q2864</f>
        <v>0</v>
      </c>
      <c r="T2864" s="20">
        <f>0.00015*Q2864</f>
        <v>0</v>
      </c>
      <c r="U2864" s="21"/>
      <c r="V2864" s="22" t="s">
        <v>12974</v>
      </c>
      <c r="W2864" s="22" t="s">
        <v>49</v>
      </c>
      <c r="X2864" s="3"/>
      <c r="Y2864" s="3"/>
      <c r="Z2864" s="3" t="s">
        <v>52</v>
      </c>
      <c r="AA2864" s="3"/>
      <c r="AB2864" s="3"/>
      <c r="AC2864" s="3" t="str">
        <f>HYPERLINK("https://knigipp.ru/api/getInfo/image/e3f5224f-f572-11e9-a235-ac1f6b442184")</f>
        <v>https://knigipp.ru/api/getInfo/image/e3f5224f-f572-11e9-a235-ac1f6b442184</v>
      </c>
      <c r="AD2864" s="32">
        <v>10</v>
      </c>
      <c r="AE2864" s="3"/>
      <c r="AF2864" s="3" t="s">
        <v>209</v>
      </c>
      <c r="AG2864" s="3"/>
      <c r="AH2864" s="3" t="s">
        <v>56</v>
      </c>
      <c r="AI2864" s="3"/>
      <c r="AJ2864" s="3" t="s">
        <v>12335</v>
      </c>
      <c r="AK2864" s="3" t="str">
        <f>HYPERLINK("https://knigipp.ru/api/getInfo/item/e3f5224f-f572-11e9-a235-ac1f6b442184")</f>
        <v>https://knigipp.ru/api/getInfo/item/e3f5224f-f572-11e9-a235-ac1f6b442184</v>
      </c>
      <c r="AL2864" s="3" t="s">
        <v>12913</v>
      </c>
    </row>
    <row r="2865" spans="1:38" ht="21" customHeight="1" outlineLevel="4" x14ac:dyDescent="0.2">
      <c r="A2865" s="39">
        <v>2269</v>
      </c>
      <c r="B2865" s="3" t="s">
        <v>12975</v>
      </c>
      <c r="C2865" s="49" t="s">
        <v>12976</v>
      </c>
      <c r="D2865" s="49"/>
      <c r="E2865" s="49"/>
      <c r="F2865" s="49"/>
      <c r="G2865" s="4" t="s">
        <v>12977</v>
      </c>
      <c r="H2865" s="8"/>
      <c r="I2865" s="9" t="s">
        <v>12911</v>
      </c>
      <c r="J2865" s="10"/>
      <c r="K2865" s="11">
        <v>48</v>
      </c>
      <c r="L2865" s="10"/>
      <c r="M2865" s="10" t="s">
        <v>47</v>
      </c>
      <c r="N2865" s="10"/>
      <c r="O2865" s="2">
        <v>8</v>
      </c>
      <c r="P2865" s="17">
        <f>97*(1-S3/100)</f>
        <v>97</v>
      </c>
      <c r="Q2865" s="18"/>
      <c r="R2865" s="10">
        <f t="shared" si="125"/>
        <v>0</v>
      </c>
      <c r="S2865" s="19">
        <f>0.052*Q2865</f>
        <v>0</v>
      </c>
      <c r="T2865" s="20">
        <f>0.00015*Q2865</f>
        <v>0</v>
      </c>
      <c r="U2865" s="21"/>
      <c r="V2865" s="22" t="s">
        <v>12978</v>
      </c>
      <c r="W2865" s="22" t="s">
        <v>49</v>
      </c>
      <c r="X2865" s="3" t="s">
        <v>12940</v>
      </c>
      <c r="Y2865" s="3"/>
      <c r="Z2865" s="3" t="s">
        <v>52</v>
      </c>
      <c r="AA2865" s="3"/>
      <c r="AB2865" s="3"/>
      <c r="AC2865" s="3" t="str">
        <f>HYPERLINK("https://knigipp.ru/api/getInfo/image/5d375cc8-db8e-11ee-a25a-00155d82e908")</f>
        <v>https://knigipp.ru/api/getInfo/image/5d375cc8-db8e-11ee-a25a-00155d82e908</v>
      </c>
      <c r="AD2865" s="32">
        <v>10</v>
      </c>
      <c r="AE2865" s="3" t="s">
        <v>54</v>
      </c>
      <c r="AF2865" s="3" t="s">
        <v>209</v>
      </c>
      <c r="AG2865" s="3"/>
      <c r="AH2865" s="3" t="s">
        <v>56</v>
      </c>
      <c r="AI2865" s="3"/>
      <c r="AJ2865" s="3" t="s">
        <v>12335</v>
      </c>
      <c r="AK2865" s="3" t="str">
        <f>HYPERLINK("https://knigipp.ru/api/getInfo/item/5d375cc8-db8e-11ee-a25a-00155d82e908")</f>
        <v>https://knigipp.ru/api/getInfo/item/5d375cc8-db8e-11ee-a25a-00155d82e908</v>
      </c>
      <c r="AL2865" s="3" t="s">
        <v>12913</v>
      </c>
    </row>
    <row r="2866" spans="1:38" ht="21" customHeight="1" outlineLevel="4" x14ac:dyDescent="0.2">
      <c r="A2866" s="39">
        <v>2270</v>
      </c>
      <c r="B2866" s="3" t="s">
        <v>12979</v>
      </c>
      <c r="C2866" s="49" t="s">
        <v>12980</v>
      </c>
      <c r="D2866" s="49"/>
      <c r="E2866" s="49"/>
      <c r="F2866" s="49"/>
      <c r="G2866" s="4" t="s">
        <v>12981</v>
      </c>
      <c r="H2866" s="8"/>
      <c r="I2866" s="9" t="s">
        <v>12911</v>
      </c>
      <c r="J2866" s="10"/>
      <c r="K2866" s="11">
        <v>48</v>
      </c>
      <c r="L2866" s="10"/>
      <c r="M2866" s="10" t="s">
        <v>47</v>
      </c>
      <c r="N2866" s="10"/>
      <c r="O2866" s="2">
        <v>8</v>
      </c>
      <c r="P2866" s="17">
        <f>97*(1-S3/100)</f>
        <v>97</v>
      </c>
      <c r="Q2866" s="18"/>
      <c r="R2866" s="10">
        <f t="shared" si="125"/>
        <v>0</v>
      </c>
      <c r="S2866" s="19">
        <f>0.054*Q2866</f>
        <v>0</v>
      </c>
      <c r="T2866" s="20">
        <f>0.00038*Q2866</f>
        <v>0</v>
      </c>
      <c r="U2866" s="21"/>
      <c r="V2866" s="22" t="s">
        <v>12982</v>
      </c>
      <c r="W2866" s="22" t="s">
        <v>49</v>
      </c>
      <c r="X2866" s="3" t="s">
        <v>12940</v>
      </c>
      <c r="Y2866" s="3"/>
      <c r="Z2866" s="3" t="s">
        <v>52</v>
      </c>
      <c r="AA2866" s="3"/>
      <c r="AB2866" s="3"/>
      <c r="AC2866" s="3" t="str">
        <f>HYPERLINK("https://knigipp.ru/api/getInfo/image/5d206bf9-db8d-11ee-a25a-00155d82e908")</f>
        <v>https://knigipp.ru/api/getInfo/image/5d206bf9-db8d-11ee-a25a-00155d82e908</v>
      </c>
      <c r="AD2866" s="32">
        <v>10</v>
      </c>
      <c r="AE2866" s="3" t="s">
        <v>54</v>
      </c>
      <c r="AF2866" s="3" t="s">
        <v>209</v>
      </c>
      <c r="AG2866" s="3"/>
      <c r="AH2866" s="3" t="s">
        <v>56</v>
      </c>
      <c r="AI2866" s="3"/>
      <c r="AJ2866" s="3" t="s">
        <v>12335</v>
      </c>
      <c r="AK2866" s="3" t="str">
        <f>HYPERLINK("https://knigipp.ru/api/getInfo/item/5d206bf9-db8d-11ee-a25a-00155d82e908")</f>
        <v>https://knigipp.ru/api/getInfo/item/5d206bf9-db8d-11ee-a25a-00155d82e908</v>
      </c>
      <c r="AL2866" s="3" t="s">
        <v>12913</v>
      </c>
    </row>
    <row r="2867" spans="1:38" ht="21" customHeight="1" outlineLevel="4" x14ac:dyDescent="0.2">
      <c r="A2867" s="39">
        <v>2271</v>
      </c>
      <c r="B2867" s="3" t="s">
        <v>12983</v>
      </c>
      <c r="C2867" s="49" t="s">
        <v>12984</v>
      </c>
      <c r="D2867" s="49"/>
      <c r="E2867" s="49"/>
      <c r="F2867" s="49"/>
      <c r="G2867" s="4" t="s">
        <v>12985</v>
      </c>
      <c r="H2867" s="8"/>
      <c r="I2867" s="9" t="s">
        <v>12986</v>
      </c>
      <c r="J2867" s="10"/>
      <c r="K2867" s="11">
        <v>48</v>
      </c>
      <c r="L2867" s="10"/>
      <c r="M2867" s="10" t="s">
        <v>47</v>
      </c>
      <c r="N2867" s="10"/>
      <c r="O2867" s="2">
        <v>8</v>
      </c>
      <c r="P2867" s="17">
        <f>97*(1-S3/100)</f>
        <v>97</v>
      </c>
      <c r="Q2867" s="18"/>
      <c r="R2867" s="10">
        <f t="shared" si="125"/>
        <v>0</v>
      </c>
      <c r="S2867" s="19">
        <f>0.049*Q2867</f>
        <v>0</v>
      </c>
      <c r="T2867" s="20">
        <f>0.00004*Q2867</f>
        <v>0</v>
      </c>
      <c r="U2867" s="21"/>
      <c r="V2867" s="22" t="s">
        <v>12987</v>
      </c>
      <c r="W2867" s="22" t="s">
        <v>49</v>
      </c>
      <c r="X2867" s="3" t="s">
        <v>12988</v>
      </c>
      <c r="Y2867" s="3" t="s">
        <v>12989</v>
      </c>
      <c r="Z2867" s="3" t="s">
        <v>52</v>
      </c>
      <c r="AA2867" s="3"/>
      <c r="AB2867" s="3"/>
      <c r="AC2867" s="3" t="str">
        <f>HYPERLINK("https://knigipp.ru/api/getInfo/image/6b89eddf-e579-11f0-a28c-00155d82e908")</f>
        <v>https://knigipp.ru/api/getInfo/image/6b89eddf-e579-11f0-a28c-00155d82e908</v>
      </c>
      <c r="AD2867" s="32">
        <v>10</v>
      </c>
      <c r="AE2867" s="3" t="s">
        <v>54</v>
      </c>
      <c r="AF2867" s="3" t="s">
        <v>209</v>
      </c>
      <c r="AG2867" s="3"/>
      <c r="AH2867" s="3" t="s">
        <v>56</v>
      </c>
      <c r="AI2867" s="3"/>
      <c r="AJ2867" s="3"/>
      <c r="AK2867" s="3" t="str">
        <f>HYPERLINK("https://knigipp.ru/api/getInfo/item/6b89eddf-e579-11f0-a28c-00155d82e908")</f>
        <v>https://knigipp.ru/api/getInfo/item/6b89eddf-e579-11f0-a28c-00155d82e908</v>
      </c>
      <c r="AL2867" s="3" t="s">
        <v>716</v>
      </c>
    </row>
    <row r="2868" spans="1:38" ht="21" customHeight="1" outlineLevel="4" x14ac:dyDescent="0.2">
      <c r="A2868" s="39">
        <v>2272</v>
      </c>
      <c r="B2868" s="3" t="s">
        <v>12990</v>
      </c>
      <c r="C2868" s="49" t="s">
        <v>12991</v>
      </c>
      <c r="D2868" s="49"/>
      <c r="E2868" s="49"/>
      <c r="F2868" s="49"/>
      <c r="G2868" s="4" t="s">
        <v>12992</v>
      </c>
      <c r="H2868" s="8"/>
      <c r="I2868" s="9" t="s">
        <v>12968</v>
      </c>
      <c r="J2868" s="10"/>
      <c r="K2868" s="11">
        <v>48</v>
      </c>
      <c r="L2868" s="10"/>
      <c r="M2868" s="10" t="s">
        <v>47</v>
      </c>
      <c r="N2868" s="10"/>
      <c r="O2868" s="2">
        <v>8</v>
      </c>
      <c r="P2868" s="17">
        <f>97*(1-S3/100)</f>
        <v>97</v>
      </c>
      <c r="Q2868" s="18"/>
      <c r="R2868" s="10">
        <f t="shared" si="125"/>
        <v>0</v>
      </c>
      <c r="S2868" s="19">
        <f>0.055*Q2868</f>
        <v>0</v>
      </c>
      <c r="T2868" s="20">
        <f>0.00012*Q2868</f>
        <v>0</v>
      </c>
      <c r="U2868" s="21"/>
      <c r="V2868" s="22" t="s">
        <v>12993</v>
      </c>
      <c r="W2868" s="22" t="s">
        <v>49</v>
      </c>
      <c r="X2868" s="3"/>
      <c r="Y2868" s="3" t="s">
        <v>12994</v>
      </c>
      <c r="Z2868" s="3" t="s">
        <v>52</v>
      </c>
      <c r="AA2868" s="3"/>
      <c r="AB2868" s="3"/>
      <c r="AC2868" s="3" t="str">
        <f>HYPERLINK("https://knigipp.ru/api/getInfo/image/0301d8b5-bbdf-11f0-a288-00155d82e908")</f>
        <v>https://knigipp.ru/api/getInfo/image/0301d8b5-bbdf-11f0-a288-00155d82e908</v>
      </c>
      <c r="AD2868" s="32">
        <v>10</v>
      </c>
      <c r="AE2868" s="3" t="s">
        <v>54</v>
      </c>
      <c r="AF2868" s="3" t="s">
        <v>209</v>
      </c>
      <c r="AG2868" s="3"/>
      <c r="AH2868" s="3" t="s">
        <v>56</v>
      </c>
      <c r="AI2868" s="3"/>
      <c r="AJ2868" s="3" t="s">
        <v>12335</v>
      </c>
      <c r="AK2868" s="3" t="str">
        <f>HYPERLINK("https://knigipp.ru/api/getInfo/item/0301d8b5-bbdf-11f0-a288-00155d82e908")</f>
        <v>https://knigipp.ru/api/getInfo/item/0301d8b5-bbdf-11f0-a288-00155d82e908</v>
      </c>
      <c r="AL2868" s="3" t="s">
        <v>12913</v>
      </c>
    </row>
    <row r="2869" spans="1:38" ht="21" customHeight="1" outlineLevel="4" x14ac:dyDescent="0.2">
      <c r="A2869" s="39">
        <v>2273</v>
      </c>
      <c r="B2869" s="3" t="s">
        <v>12995</v>
      </c>
      <c r="C2869" s="49" t="s">
        <v>12996</v>
      </c>
      <c r="D2869" s="49"/>
      <c r="E2869" s="49"/>
      <c r="F2869" s="49"/>
      <c r="G2869" s="4" t="s">
        <v>12997</v>
      </c>
      <c r="H2869" s="8"/>
      <c r="I2869" s="9" t="s">
        <v>12911</v>
      </c>
      <c r="J2869" s="10"/>
      <c r="K2869" s="11">
        <v>48</v>
      </c>
      <c r="L2869" s="10"/>
      <c r="M2869" s="10" t="s">
        <v>47</v>
      </c>
      <c r="N2869" s="10"/>
      <c r="O2869" s="2">
        <v>8</v>
      </c>
      <c r="P2869" s="17">
        <f>97*(1-S3/100)</f>
        <v>97</v>
      </c>
      <c r="Q2869" s="18"/>
      <c r="R2869" s="10">
        <f t="shared" si="125"/>
        <v>0</v>
      </c>
      <c r="S2869" s="19">
        <f>0.052*Q2869</f>
        <v>0</v>
      </c>
      <c r="T2869" s="20">
        <f>0.00015*Q2869</f>
        <v>0</v>
      </c>
      <c r="U2869" s="21"/>
      <c r="V2869" s="22" t="s">
        <v>12998</v>
      </c>
      <c r="W2869" s="22" t="s">
        <v>49</v>
      </c>
      <c r="X2869" s="3" t="s">
        <v>12940</v>
      </c>
      <c r="Y2869" s="3"/>
      <c r="Z2869" s="3" t="s">
        <v>52</v>
      </c>
      <c r="AA2869" s="3"/>
      <c r="AB2869" s="3"/>
      <c r="AC2869" s="3" t="str">
        <f>HYPERLINK("https://knigipp.ru/api/getInfo/image/5cdf6b2b-db8c-11ee-a25a-00155d82e908")</f>
        <v>https://knigipp.ru/api/getInfo/image/5cdf6b2b-db8c-11ee-a25a-00155d82e908</v>
      </c>
      <c r="AD2869" s="32">
        <v>10</v>
      </c>
      <c r="AE2869" s="3" t="s">
        <v>54</v>
      </c>
      <c r="AF2869" s="3" t="s">
        <v>209</v>
      </c>
      <c r="AG2869" s="3"/>
      <c r="AH2869" s="3" t="s">
        <v>56</v>
      </c>
      <c r="AI2869" s="3"/>
      <c r="AJ2869" s="3" t="s">
        <v>12335</v>
      </c>
      <c r="AK2869" s="3" t="str">
        <f>HYPERLINK("https://knigipp.ru/api/getInfo/item/5cdf6b2b-db8c-11ee-a25a-00155d82e908")</f>
        <v>https://knigipp.ru/api/getInfo/item/5cdf6b2b-db8c-11ee-a25a-00155d82e908</v>
      </c>
      <c r="AL2869" s="3" t="s">
        <v>12913</v>
      </c>
    </row>
    <row r="2870" spans="1:38" ht="21" customHeight="1" outlineLevel="4" x14ac:dyDescent="0.2">
      <c r="A2870" s="39">
        <v>2274</v>
      </c>
      <c r="B2870" s="3" t="s">
        <v>12999</v>
      </c>
      <c r="C2870" s="49" t="s">
        <v>13000</v>
      </c>
      <c r="D2870" s="49"/>
      <c r="E2870" s="49"/>
      <c r="F2870" s="49"/>
      <c r="G2870" s="4" t="s">
        <v>13001</v>
      </c>
      <c r="H2870" s="8"/>
      <c r="I2870" s="9" t="s">
        <v>13002</v>
      </c>
      <c r="J2870" s="10"/>
      <c r="K2870" s="11">
        <v>48</v>
      </c>
      <c r="L2870" s="10"/>
      <c r="M2870" s="10" t="s">
        <v>304</v>
      </c>
      <c r="N2870" s="10"/>
      <c r="O2870" s="2">
        <v>8</v>
      </c>
      <c r="P2870" s="17">
        <f>97*(1-S3/100)</f>
        <v>97</v>
      </c>
      <c r="Q2870" s="18"/>
      <c r="R2870" s="10">
        <f t="shared" si="125"/>
        <v>0</v>
      </c>
      <c r="S2870" s="19">
        <f>0.066*Q2870</f>
        <v>0</v>
      </c>
      <c r="T2870" s="30">
        <f>0.0001*Q2870</f>
        <v>0</v>
      </c>
      <c r="U2870" s="21"/>
      <c r="V2870" s="22" t="s">
        <v>13003</v>
      </c>
      <c r="W2870" s="22" t="s">
        <v>49</v>
      </c>
      <c r="X2870" s="3"/>
      <c r="Y2870" s="3"/>
      <c r="Z2870" s="3" t="s">
        <v>13004</v>
      </c>
      <c r="AA2870" s="3"/>
      <c r="AB2870" s="3"/>
      <c r="AC2870" s="3" t="str">
        <f>HYPERLINK("https://knigipp.ru/api/getInfo/image/322b8fbe-2308-11e9-a21c-ac1f6b442184")</f>
        <v>https://knigipp.ru/api/getInfo/image/322b8fbe-2308-11e9-a21c-ac1f6b442184</v>
      </c>
      <c r="AD2870" s="32">
        <v>10</v>
      </c>
      <c r="AE2870" s="3"/>
      <c r="AF2870" s="3" t="s">
        <v>209</v>
      </c>
      <c r="AG2870" s="3"/>
      <c r="AH2870" s="3" t="s">
        <v>56</v>
      </c>
      <c r="AI2870" s="3"/>
      <c r="AJ2870" s="3"/>
      <c r="AK2870" s="3" t="str">
        <f>HYPERLINK("https://knigipp.ru/api/getInfo/item/322b8fbe-2308-11e9-a21c-ac1f6b442184")</f>
        <v>https://knigipp.ru/api/getInfo/item/322b8fbe-2308-11e9-a21c-ac1f6b442184</v>
      </c>
      <c r="AL2870" s="3" t="s">
        <v>12913</v>
      </c>
    </row>
    <row r="2871" spans="1:38" ht="21" customHeight="1" outlineLevel="4" x14ac:dyDescent="0.2">
      <c r="A2871" s="39">
        <v>2275</v>
      </c>
      <c r="B2871" s="3" t="s">
        <v>13005</v>
      </c>
      <c r="C2871" s="49" t="s">
        <v>13006</v>
      </c>
      <c r="D2871" s="49"/>
      <c r="E2871" s="49"/>
      <c r="F2871" s="49"/>
      <c r="G2871" s="4" t="s">
        <v>13007</v>
      </c>
      <c r="H2871" s="8"/>
      <c r="I2871" s="9" t="s">
        <v>12911</v>
      </c>
      <c r="J2871" s="10"/>
      <c r="K2871" s="11">
        <v>48</v>
      </c>
      <c r="L2871" s="10"/>
      <c r="M2871" s="10" t="s">
        <v>47</v>
      </c>
      <c r="N2871" s="10"/>
      <c r="O2871" s="2">
        <v>8</v>
      </c>
      <c r="P2871" s="17">
        <f>97*(1-S3/100)</f>
        <v>97</v>
      </c>
      <c r="Q2871" s="18"/>
      <c r="R2871" s="10">
        <f t="shared" si="125"/>
        <v>0</v>
      </c>
      <c r="S2871" s="19">
        <f>0.054*Q2871</f>
        <v>0</v>
      </c>
      <c r="T2871" s="20">
        <f>0.00017*Q2871</f>
        <v>0</v>
      </c>
      <c r="U2871" s="21"/>
      <c r="V2871" s="22" t="s">
        <v>13008</v>
      </c>
      <c r="W2871" s="22" t="s">
        <v>49</v>
      </c>
      <c r="X2871" s="3" t="s">
        <v>12940</v>
      </c>
      <c r="Y2871" s="3"/>
      <c r="Z2871" s="3" t="s">
        <v>52</v>
      </c>
      <c r="AA2871" s="3"/>
      <c r="AB2871" s="3"/>
      <c r="AC2871" s="3" t="str">
        <f>HYPERLINK("https://knigipp.ru/api/getInfo/image/9ccb7593-db8d-11ee-a25a-00155d82e908")</f>
        <v>https://knigipp.ru/api/getInfo/image/9ccb7593-db8d-11ee-a25a-00155d82e908</v>
      </c>
      <c r="AD2871" s="32">
        <v>10</v>
      </c>
      <c r="AE2871" s="3" t="s">
        <v>54</v>
      </c>
      <c r="AF2871" s="3" t="s">
        <v>209</v>
      </c>
      <c r="AG2871" s="3"/>
      <c r="AH2871" s="3" t="s">
        <v>56</v>
      </c>
      <c r="AI2871" s="3"/>
      <c r="AJ2871" s="3" t="s">
        <v>12335</v>
      </c>
      <c r="AK2871" s="3" t="str">
        <f>HYPERLINK("https://knigipp.ru/api/getInfo/item/9ccb7593-db8d-11ee-a25a-00155d82e908")</f>
        <v>https://knigipp.ru/api/getInfo/item/9ccb7593-db8d-11ee-a25a-00155d82e908</v>
      </c>
      <c r="AL2871" s="3" t="s">
        <v>12913</v>
      </c>
    </row>
    <row r="2872" spans="1:38" ht="21" customHeight="1" outlineLevel="4" x14ac:dyDescent="0.2">
      <c r="A2872" s="39">
        <v>2276</v>
      </c>
      <c r="B2872" s="3" t="s">
        <v>13009</v>
      </c>
      <c r="C2872" s="49" t="s">
        <v>13010</v>
      </c>
      <c r="D2872" s="49"/>
      <c r="E2872" s="49"/>
      <c r="F2872" s="49"/>
      <c r="G2872" s="4" t="s">
        <v>13011</v>
      </c>
      <c r="H2872" s="8"/>
      <c r="I2872" s="9" t="s">
        <v>13012</v>
      </c>
      <c r="J2872" s="10"/>
      <c r="K2872" s="11">
        <v>48</v>
      </c>
      <c r="L2872" s="10"/>
      <c r="M2872" s="10" t="s">
        <v>78</v>
      </c>
      <c r="N2872" s="10"/>
      <c r="O2872" s="2">
        <v>8</v>
      </c>
      <c r="P2872" s="17">
        <f>97*(1-S3/100)</f>
        <v>97</v>
      </c>
      <c r="Q2872" s="18"/>
      <c r="R2872" s="10">
        <f t="shared" si="125"/>
        <v>0</v>
      </c>
      <c r="S2872" s="19">
        <f>0.065*Q2872</f>
        <v>0</v>
      </c>
      <c r="T2872" s="30">
        <f>0.0001*Q2872</f>
        <v>0</v>
      </c>
      <c r="U2872" s="21"/>
      <c r="V2872" s="22" t="s">
        <v>13013</v>
      </c>
      <c r="W2872" s="22" t="s">
        <v>49</v>
      </c>
      <c r="X2872" s="3" t="s">
        <v>12031</v>
      </c>
      <c r="Y2872" s="3"/>
      <c r="Z2872" s="3" t="s">
        <v>52</v>
      </c>
      <c r="AA2872" s="3"/>
      <c r="AB2872" s="3"/>
      <c r="AC2872" s="3" t="str">
        <f>HYPERLINK("https://knigipp.ru/api/getInfo/image/c3cb31fe-264f-11ea-a239-ac1f6b442184")</f>
        <v>https://knigipp.ru/api/getInfo/image/c3cb31fe-264f-11ea-a239-ac1f6b442184</v>
      </c>
      <c r="AD2872" s="32">
        <v>10</v>
      </c>
      <c r="AE2872" s="3"/>
      <c r="AF2872" s="3" t="s">
        <v>209</v>
      </c>
      <c r="AG2872" s="3"/>
      <c r="AH2872" s="3" t="s">
        <v>56</v>
      </c>
      <c r="AI2872" s="3"/>
      <c r="AJ2872" s="3"/>
      <c r="AK2872" s="3" t="str">
        <f>HYPERLINK("https://knigipp.ru/api/getInfo/item/c3cb31fe-264f-11ea-a239-ac1f6b442184")</f>
        <v>https://knigipp.ru/api/getInfo/item/c3cb31fe-264f-11ea-a239-ac1f6b442184</v>
      </c>
      <c r="AL2872" s="3" t="s">
        <v>12913</v>
      </c>
    </row>
    <row r="2873" spans="1:38" ht="21" customHeight="1" outlineLevel="4" x14ac:dyDescent="0.2">
      <c r="A2873" s="39">
        <v>2277</v>
      </c>
      <c r="B2873" s="3" t="s">
        <v>13014</v>
      </c>
      <c r="C2873" s="49" t="s">
        <v>13015</v>
      </c>
      <c r="D2873" s="49"/>
      <c r="E2873" s="49"/>
      <c r="F2873" s="49"/>
      <c r="G2873" s="4" t="s">
        <v>13016</v>
      </c>
      <c r="H2873" s="8"/>
      <c r="I2873" s="9" t="s">
        <v>12932</v>
      </c>
      <c r="J2873" s="10"/>
      <c r="K2873" s="11">
        <v>48</v>
      </c>
      <c r="L2873" s="10"/>
      <c r="M2873" s="10" t="s">
        <v>47</v>
      </c>
      <c r="N2873" s="10"/>
      <c r="O2873" s="2">
        <v>8</v>
      </c>
      <c r="P2873" s="17">
        <f>97*(1-S3/100)</f>
        <v>97</v>
      </c>
      <c r="Q2873" s="18"/>
      <c r="R2873" s="10">
        <f t="shared" si="125"/>
        <v>0</v>
      </c>
      <c r="S2873" s="19">
        <f>0.066*Q2873</f>
        <v>0</v>
      </c>
      <c r="T2873" s="20">
        <f>0.00007*Q2873</f>
        <v>0</v>
      </c>
      <c r="U2873" s="21"/>
      <c r="V2873" s="22" t="s">
        <v>13017</v>
      </c>
      <c r="W2873" s="22" t="s">
        <v>49</v>
      </c>
      <c r="X2873" s="3" t="s">
        <v>281</v>
      </c>
      <c r="Y2873" s="3" t="s">
        <v>13018</v>
      </c>
      <c r="Z2873" s="3" t="s">
        <v>52</v>
      </c>
      <c r="AA2873" s="3"/>
      <c r="AB2873" s="3"/>
      <c r="AC2873" s="3" t="str">
        <f>HYPERLINK("https://knigipp.ru/api/getInfo/image/60a6ea28-e578-11f0-a28c-00155d82e908")</f>
        <v>https://knigipp.ru/api/getInfo/image/60a6ea28-e578-11f0-a28c-00155d82e908</v>
      </c>
      <c r="AD2873" s="32">
        <v>10</v>
      </c>
      <c r="AE2873" s="3" t="s">
        <v>54</v>
      </c>
      <c r="AF2873" s="3" t="s">
        <v>209</v>
      </c>
      <c r="AG2873" s="3"/>
      <c r="AH2873" s="3" t="s">
        <v>56</v>
      </c>
      <c r="AI2873" s="3"/>
      <c r="AJ2873" s="3"/>
      <c r="AK2873" s="3" t="str">
        <f>HYPERLINK("https://knigipp.ru/api/getInfo/item/60a6ea28-e578-11f0-a28c-00155d82e908")</f>
        <v>https://knigipp.ru/api/getInfo/item/60a6ea28-e578-11f0-a28c-00155d82e908</v>
      </c>
      <c r="AL2873" s="3" t="s">
        <v>716</v>
      </c>
    </row>
    <row r="2874" spans="1:38" ht="21" customHeight="1" outlineLevel="4" x14ac:dyDescent="0.2">
      <c r="A2874" s="39">
        <v>2278</v>
      </c>
      <c r="B2874" s="3" t="s">
        <v>13019</v>
      </c>
      <c r="C2874" s="49" t="s">
        <v>13020</v>
      </c>
      <c r="D2874" s="49"/>
      <c r="E2874" s="49"/>
      <c r="F2874" s="49"/>
      <c r="G2874" s="4" t="s">
        <v>13021</v>
      </c>
      <c r="H2874" s="8"/>
      <c r="I2874" s="9" t="s">
        <v>12986</v>
      </c>
      <c r="J2874" s="10"/>
      <c r="K2874" s="11">
        <v>48</v>
      </c>
      <c r="L2874" s="10"/>
      <c r="M2874" s="10" t="s">
        <v>47</v>
      </c>
      <c r="N2874" s="10"/>
      <c r="O2874" s="2">
        <v>8</v>
      </c>
      <c r="P2874" s="17">
        <f>97*(1-S3/100)</f>
        <v>97</v>
      </c>
      <c r="Q2874" s="18"/>
      <c r="R2874" s="10">
        <f t="shared" si="125"/>
        <v>0</v>
      </c>
      <c r="S2874" s="19">
        <f>0.066*Q2874</f>
        <v>0</v>
      </c>
      <c r="T2874" s="20">
        <f>0.00007*Q2874</f>
        <v>0</v>
      </c>
      <c r="U2874" s="21"/>
      <c r="V2874" s="22" t="s">
        <v>13022</v>
      </c>
      <c r="W2874" s="22" t="s">
        <v>49</v>
      </c>
      <c r="X2874" s="3" t="s">
        <v>281</v>
      </c>
      <c r="Y2874" s="3" t="s">
        <v>13023</v>
      </c>
      <c r="Z2874" s="3" t="s">
        <v>52</v>
      </c>
      <c r="AA2874" s="3"/>
      <c r="AB2874" s="3"/>
      <c r="AC2874" s="3" t="str">
        <f>HYPERLINK("https://knigipp.ru/api/getInfo/image/a5a142a4-e578-11f0-a28c-00155d82e908")</f>
        <v>https://knigipp.ru/api/getInfo/image/a5a142a4-e578-11f0-a28c-00155d82e908</v>
      </c>
      <c r="AD2874" s="32">
        <v>10</v>
      </c>
      <c r="AE2874" s="3" t="s">
        <v>54</v>
      </c>
      <c r="AF2874" s="3" t="s">
        <v>209</v>
      </c>
      <c r="AG2874" s="3"/>
      <c r="AH2874" s="3" t="s">
        <v>56</v>
      </c>
      <c r="AI2874" s="3"/>
      <c r="AJ2874" s="3"/>
      <c r="AK2874" s="3" t="str">
        <f>HYPERLINK("https://knigipp.ru/api/getInfo/item/a5a142a4-e578-11f0-a28c-00155d82e908")</f>
        <v>https://knigipp.ru/api/getInfo/item/a5a142a4-e578-11f0-a28c-00155d82e908</v>
      </c>
      <c r="AL2874" s="3" t="s">
        <v>716</v>
      </c>
    </row>
    <row r="2875" spans="1:38" ht="21" customHeight="1" outlineLevel="4" x14ac:dyDescent="0.2">
      <c r="A2875" s="39">
        <v>2279</v>
      </c>
      <c r="B2875" s="3" t="s">
        <v>13024</v>
      </c>
      <c r="C2875" s="49" t="s">
        <v>13025</v>
      </c>
      <c r="D2875" s="49"/>
      <c r="E2875" s="49"/>
      <c r="F2875" s="49"/>
      <c r="G2875" s="4" t="s">
        <v>13026</v>
      </c>
      <c r="H2875" s="8"/>
      <c r="I2875" s="9" t="s">
        <v>13027</v>
      </c>
      <c r="J2875" s="10"/>
      <c r="K2875" s="11">
        <v>48</v>
      </c>
      <c r="L2875" s="10"/>
      <c r="M2875" s="10" t="s">
        <v>78</v>
      </c>
      <c r="N2875" s="10"/>
      <c r="O2875" s="2">
        <v>8</v>
      </c>
      <c r="P2875" s="17">
        <f>97*(1-S3/100)</f>
        <v>97</v>
      </c>
      <c r="Q2875" s="18"/>
      <c r="R2875" s="10">
        <f t="shared" si="125"/>
        <v>0</v>
      </c>
      <c r="S2875" s="19">
        <f>0.052*Q2875</f>
        <v>0</v>
      </c>
      <c r="T2875" s="20">
        <f>0.00015*Q2875</f>
        <v>0</v>
      </c>
      <c r="U2875" s="21"/>
      <c r="V2875" s="22" t="s">
        <v>13028</v>
      </c>
      <c r="W2875" s="22" t="s">
        <v>49</v>
      </c>
      <c r="X2875" s="3"/>
      <c r="Y2875" s="3" t="s">
        <v>13029</v>
      </c>
      <c r="Z2875" s="3" t="s">
        <v>52</v>
      </c>
      <c r="AA2875" s="3"/>
      <c r="AB2875" s="3"/>
      <c r="AC2875" s="3" t="str">
        <f>HYPERLINK("https://knigipp.ru/api/getInfo/image/9a396e91-3d5b-11f0-a27c-00155d82e908")</f>
        <v>https://knigipp.ru/api/getInfo/image/9a396e91-3d5b-11f0-a27c-00155d82e908</v>
      </c>
      <c r="AD2875" s="32">
        <v>10</v>
      </c>
      <c r="AE2875" s="3" t="s">
        <v>54</v>
      </c>
      <c r="AF2875" s="3" t="s">
        <v>209</v>
      </c>
      <c r="AG2875" s="3"/>
      <c r="AH2875" s="3" t="s">
        <v>56</v>
      </c>
      <c r="AI2875" s="3"/>
      <c r="AJ2875" s="3"/>
      <c r="AK2875" s="3" t="str">
        <f>HYPERLINK("https://knigipp.ru/api/getInfo/item/9a396e91-3d5b-11f0-a27c-00155d82e908")</f>
        <v>https://knigipp.ru/api/getInfo/item/9a396e91-3d5b-11f0-a27c-00155d82e908</v>
      </c>
      <c r="AL2875" s="3" t="s">
        <v>722</v>
      </c>
    </row>
    <row r="2876" spans="1:38" ht="21" customHeight="1" outlineLevel="4" x14ac:dyDescent="0.2">
      <c r="A2876" s="39">
        <v>2280</v>
      </c>
      <c r="B2876" s="3" t="s">
        <v>13030</v>
      </c>
      <c r="C2876" s="49" t="s">
        <v>13031</v>
      </c>
      <c r="D2876" s="49"/>
      <c r="E2876" s="49"/>
      <c r="F2876" s="49"/>
      <c r="G2876" s="4" t="s">
        <v>13032</v>
      </c>
      <c r="H2876" s="8"/>
      <c r="I2876" s="9" t="s">
        <v>13033</v>
      </c>
      <c r="J2876" s="10"/>
      <c r="K2876" s="11">
        <v>48</v>
      </c>
      <c r="L2876" s="10"/>
      <c r="M2876" s="10" t="s">
        <v>78</v>
      </c>
      <c r="N2876" s="10"/>
      <c r="O2876" s="2">
        <v>8</v>
      </c>
      <c r="P2876" s="17">
        <f>97*(1-S3/100)</f>
        <v>97</v>
      </c>
      <c r="Q2876" s="18"/>
      <c r="R2876" s="10">
        <f t="shared" si="125"/>
        <v>0</v>
      </c>
      <c r="S2876" s="19">
        <f>0.054*Q2876</f>
        <v>0</v>
      </c>
      <c r="T2876" s="30">
        <f>0.0001*Q2876</f>
        <v>0</v>
      </c>
      <c r="U2876" s="21"/>
      <c r="V2876" s="22" t="s">
        <v>13034</v>
      </c>
      <c r="W2876" s="22" t="s">
        <v>49</v>
      </c>
      <c r="X2876" s="3" t="s">
        <v>207</v>
      </c>
      <c r="Y2876" s="3" t="s">
        <v>13035</v>
      </c>
      <c r="Z2876" s="3" t="s">
        <v>52</v>
      </c>
      <c r="AA2876" s="3"/>
      <c r="AB2876" s="3"/>
      <c r="AC2876" s="3" t="str">
        <f>HYPERLINK("https://knigipp.ru/api/getInfo/image/4e2dfa17-25c1-11f0-a279-00155d82e908")</f>
        <v>https://knigipp.ru/api/getInfo/image/4e2dfa17-25c1-11f0-a279-00155d82e908</v>
      </c>
      <c r="AD2876" s="32">
        <v>10</v>
      </c>
      <c r="AE2876" s="3" t="s">
        <v>54</v>
      </c>
      <c r="AF2876" s="3" t="s">
        <v>209</v>
      </c>
      <c r="AG2876" s="3"/>
      <c r="AH2876" s="3" t="s">
        <v>56</v>
      </c>
      <c r="AI2876" s="3"/>
      <c r="AJ2876" s="3"/>
      <c r="AK2876" s="3" t="str">
        <f>HYPERLINK("https://knigipp.ru/api/getInfo/item/4e2dfa17-25c1-11f0-a279-00155d82e908")</f>
        <v>https://knigipp.ru/api/getInfo/item/4e2dfa17-25c1-11f0-a279-00155d82e908</v>
      </c>
      <c r="AL2876" s="3" t="s">
        <v>716</v>
      </c>
    </row>
    <row r="2877" spans="1:38" ht="21" customHeight="1" outlineLevel="4" x14ac:dyDescent="0.2">
      <c r="A2877" s="39">
        <v>2281</v>
      </c>
      <c r="B2877" s="3" t="s">
        <v>13036</v>
      </c>
      <c r="C2877" s="49" t="s">
        <v>13037</v>
      </c>
      <c r="D2877" s="49"/>
      <c r="E2877" s="49"/>
      <c r="F2877" s="49"/>
      <c r="G2877" s="4" t="s">
        <v>13038</v>
      </c>
      <c r="H2877" s="8"/>
      <c r="I2877" s="9" t="s">
        <v>12986</v>
      </c>
      <c r="J2877" s="10"/>
      <c r="K2877" s="11">
        <v>48</v>
      </c>
      <c r="L2877" s="10"/>
      <c r="M2877" s="10" t="s">
        <v>47</v>
      </c>
      <c r="N2877" s="10"/>
      <c r="O2877" s="2">
        <v>8</v>
      </c>
      <c r="P2877" s="17">
        <f>97*(1-S3/100)</f>
        <v>97</v>
      </c>
      <c r="Q2877" s="18"/>
      <c r="R2877" s="10">
        <f t="shared" si="125"/>
        <v>0</v>
      </c>
      <c r="S2877" s="19">
        <f>0.049*Q2877</f>
        <v>0</v>
      </c>
      <c r="T2877" s="20">
        <f>0.00016*Q2877</f>
        <v>0</v>
      </c>
      <c r="U2877" s="21"/>
      <c r="V2877" s="22" t="s">
        <v>13039</v>
      </c>
      <c r="W2877" s="22" t="s">
        <v>49</v>
      </c>
      <c r="X2877" s="3" t="s">
        <v>281</v>
      </c>
      <c r="Y2877" s="3" t="s">
        <v>13040</v>
      </c>
      <c r="Z2877" s="3" t="s">
        <v>52</v>
      </c>
      <c r="AA2877" s="3"/>
      <c r="AB2877" s="3"/>
      <c r="AC2877" s="3" t="str">
        <f>HYPERLINK("https://knigipp.ru/api/getInfo/image/44507942-e579-11f0-a28c-00155d82e908")</f>
        <v>https://knigipp.ru/api/getInfo/image/44507942-e579-11f0-a28c-00155d82e908</v>
      </c>
      <c r="AD2877" s="32">
        <v>10</v>
      </c>
      <c r="AE2877" s="3" t="s">
        <v>54</v>
      </c>
      <c r="AF2877" s="3" t="s">
        <v>209</v>
      </c>
      <c r="AG2877" s="3"/>
      <c r="AH2877" s="3" t="s">
        <v>56</v>
      </c>
      <c r="AI2877" s="3"/>
      <c r="AJ2877" s="3"/>
      <c r="AK2877" s="3" t="str">
        <f>HYPERLINK("https://knigipp.ru/api/getInfo/item/44507942-e579-11f0-a28c-00155d82e908")</f>
        <v>https://knigipp.ru/api/getInfo/item/44507942-e579-11f0-a28c-00155d82e908</v>
      </c>
      <c r="AL2877" s="3" t="s">
        <v>716</v>
      </c>
    </row>
    <row r="2878" spans="1:38" ht="21" customHeight="1" outlineLevel="4" x14ac:dyDescent="0.2">
      <c r="A2878" s="39">
        <v>2282</v>
      </c>
      <c r="B2878" s="3" t="s">
        <v>13041</v>
      </c>
      <c r="C2878" s="49" t="s">
        <v>13042</v>
      </c>
      <c r="D2878" s="49"/>
      <c r="E2878" s="49"/>
      <c r="F2878" s="49"/>
      <c r="G2878" s="4" t="s">
        <v>13043</v>
      </c>
      <c r="H2878" s="8"/>
      <c r="I2878" s="9" t="s">
        <v>12911</v>
      </c>
      <c r="J2878" s="10"/>
      <c r="K2878" s="11">
        <v>48</v>
      </c>
      <c r="L2878" s="10"/>
      <c r="M2878" s="10" t="s">
        <v>47</v>
      </c>
      <c r="N2878" s="10"/>
      <c r="O2878" s="2">
        <v>8</v>
      </c>
      <c r="P2878" s="17">
        <f>97*(1-S3/100)</f>
        <v>97</v>
      </c>
      <c r="Q2878" s="18"/>
      <c r="R2878" s="10">
        <f t="shared" si="125"/>
        <v>0</v>
      </c>
      <c r="S2878" s="19">
        <f>0.052*Q2878</f>
        <v>0</v>
      </c>
      <c r="T2878" s="20">
        <f>0.00015*Q2878</f>
        <v>0</v>
      </c>
      <c r="U2878" s="21"/>
      <c r="V2878" s="22" t="s">
        <v>13044</v>
      </c>
      <c r="W2878" s="22" t="s">
        <v>49</v>
      </c>
      <c r="X2878" s="3" t="s">
        <v>12940</v>
      </c>
      <c r="Y2878" s="3"/>
      <c r="Z2878" s="3" t="s">
        <v>52</v>
      </c>
      <c r="AA2878" s="3"/>
      <c r="AB2878" s="3"/>
      <c r="AC2878" s="3" t="str">
        <f>HYPERLINK("https://knigipp.ru/api/getInfo/image/7b9286e7-db8c-11ee-a25a-00155d82e908")</f>
        <v>https://knigipp.ru/api/getInfo/image/7b9286e7-db8c-11ee-a25a-00155d82e908</v>
      </c>
      <c r="AD2878" s="32">
        <v>10</v>
      </c>
      <c r="AE2878" s="3" t="s">
        <v>54</v>
      </c>
      <c r="AF2878" s="3" t="s">
        <v>209</v>
      </c>
      <c r="AG2878" s="3"/>
      <c r="AH2878" s="3" t="s">
        <v>56</v>
      </c>
      <c r="AI2878" s="3"/>
      <c r="AJ2878" s="3" t="s">
        <v>12335</v>
      </c>
      <c r="AK2878" s="3" t="str">
        <f>HYPERLINK("https://knigipp.ru/api/getInfo/item/7b9286e7-db8c-11ee-a25a-00155d82e908")</f>
        <v>https://knigipp.ru/api/getInfo/item/7b9286e7-db8c-11ee-a25a-00155d82e908</v>
      </c>
      <c r="AL2878" s="3" t="s">
        <v>12913</v>
      </c>
    </row>
    <row r="2879" spans="1:38" ht="21" customHeight="1" outlineLevel="4" x14ac:dyDescent="0.2">
      <c r="A2879" s="39">
        <v>2283</v>
      </c>
      <c r="B2879" s="3" t="s">
        <v>13045</v>
      </c>
      <c r="C2879" s="49" t="s">
        <v>13046</v>
      </c>
      <c r="D2879" s="49"/>
      <c r="E2879" s="49"/>
      <c r="F2879" s="49"/>
      <c r="G2879" s="4" t="s">
        <v>13047</v>
      </c>
      <c r="H2879" s="8"/>
      <c r="I2879" s="9" t="s">
        <v>12932</v>
      </c>
      <c r="J2879" s="10"/>
      <c r="K2879" s="11">
        <v>48</v>
      </c>
      <c r="L2879" s="10"/>
      <c r="M2879" s="10" t="s">
        <v>47</v>
      </c>
      <c r="N2879" s="10"/>
      <c r="O2879" s="2">
        <v>8</v>
      </c>
      <c r="P2879" s="17">
        <f>97*(1-S3/100)</f>
        <v>97</v>
      </c>
      <c r="Q2879" s="18"/>
      <c r="R2879" s="10">
        <f t="shared" si="125"/>
        <v>0</v>
      </c>
      <c r="S2879" s="19">
        <f>0.066*Q2879</f>
        <v>0</v>
      </c>
      <c r="T2879" s="20">
        <f>0.00007*Q2879</f>
        <v>0</v>
      </c>
      <c r="U2879" s="21"/>
      <c r="V2879" s="22" t="s">
        <v>13048</v>
      </c>
      <c r="W2879" s="22" t="s">
        <v>49</v>
      </c>
      <c r="X2879" s="3" t="s">
        <v>5716</v>
      </c>
      <c r="Y2879" s="3" t="s">
        <v>13049</v>
      </c>
      <c r="Z2879" s="3" t="s">
        <v>52</v>
      </c>
      <c r="AA2879" s="3"/>
      <c r="AB2879" s="3"/>
      <c r="AC2879" s="3" t="str">
        <f>HYPERLINK("https://knigipp.ru/api/getInfo/image/1927d81f-e579-11f0-a28c-00155d82e908")</f>
        <v>https://knigipp.ru/api/getInfo/image/1927d81f-e579-11f0-a28c-00155d82e908</v>
      </c>
      <c r="AD2879" s="32">
        <v>10</v>
      </c>
      <c r="AE2879" s="3" t="s">
        <v>54</v>
      </c>
      <c r="AF2879" s="3" t="s">
        <v>209</v>
      </c>
      <c r="AG2879" s="3"/>
      <c r="AH2879" s="3" t="s">
        <v>56</v>
      </c>
      <c r="AI2879" s="3"/>
      <c r="AJ2879" s="3"/>
      <c r="AK2879" s="3" t="str">
        <f>HYPERLINK("https://knigipp.ru/api/getInfo/item/1927d81f-e579-11f0-a28c-00155d82e908")</f>
        <v>https://knigipp.ru/api/getInfo/item/1927d81f-e579-11f0-a28c-00155d82e908</v>
      </c>
      <c r="AL2879" s="3" t="s">
        <v>716</v>
      </c>
    </row>
    <row r="2880" spans="1:38" ht="21" customHeight="1" outlineLevel="4" x14ac:dyDescent="0.2">
      <c r="A2880" s="39">
        <v>2284</v>
      </c>
      <c r="B2880" s="3" t="s">
        <v>13050</v>
      </c>
      <c r="C2880" s="49" t="s">
        <v>13051</v>
      </c>
      <c r="D2880" s="49"/>
      <c r="E2880" s="49"/>
      <c r="F2880" s="49"/>
      <c r="G2880" s="4" t="s">
        <v>13052</v>
      </c>
      <c r="H2880" s="8"/>
      <c r="I2880" s="9" t="s">
        <v>12921</v>
      </c>
      <c r="J2880" s="10"/>
      <c r="K2880" s="11">
        <v>48</v>
      </c>
      <c r="L2880" s="10"/>
      <c r="M2880" s="10" t="s">
        <v>47</v>
      </c>
      <c r="N2880" s="10"/>
      <c r="O2880" s="2">
        <v>8</v>
      </c>
      <c r="P2880" s="17">
        <f>97*(1-S3/100)</f>
        <v>97</v>
      </c>
      <c r="Q2880" s="18"/>
      <c r="R2880" s="10">
        <f t="shared" si="125"/>
        <v>0</v>
      </c>
      <c r="S2880" s="19">
        <f>0.065*Q2880</f>
        <v>0</v>
      </c>
      <c r="T2880" s="20">
        <f>0.00009*Q2880</f>
        <v>0</v>
      </c>
      <c r="U2880" s="21"/>
      <c r="V2880" s="22" t="s">
        <v>13053</v>
      </c>
      <c r="W2880" s="22" t="s">
        <v>49</v>
      </c>
      <c r="X2880" s="3"/>
      <c r="Y2880" s="3" t="s">
        <v>13054</v>
      </c>
      <c r="Z2880" s="3" t="s">
        <v>52</v>
      </c>
      <c r="AA2880" s="3"/>
      <c r="AB2880" s="3"/>
      <c r="AC2880" s="3" t="str">
        <f>HYPERLINK("https://knigipp.ru/api/getInfo/image/22d6147e-55a5-11f0-a27e-00155d82e908")</f>
        <v>https://knigipp.ru/api/getInfo/image/22d6147e-55a5-11f0-a27e-00155d82e908</v>
      </c>
      <c r="AD2880" s="32">
        <v>10</v>
      </c>
      <c r="AE2880" s="3" t="s">
        <v>54</v>
      </c>
      <c r="AF2880" s="3" t="s">
        <v>209</v>
      </c>
      <c r="AG2880" s="3"/>
      <c r="AH2880" s="3" t="s">
        <v>56</v>
      </c>
      <c r="AI2880" s="3"/>
      <c r="AJ2880" s="3"/>
      <c r="AK2880" s="3" t="str">
        <f>HYPERLINK("https://knigipp.ru/api/getInfo/item/22d6147e-55a5-11f0-a27e-00155d82e908")</f>
        <v>https://knigipp.ru/api/getInfo/item/22d6147e-55a5-11f0-a27e-00155d82e908</v>
      </c>
      <c r="AL2880" s="3" t="s">
        <v>716</v>
      </c>
    </row>
    <row r="2881" spans="1:38" ht="21" customHeight="1" outlineLevel="4" x14ac:dyDescent="0.2">
      <c r="A2881" s="39">
        <v>2285</v>
      </c>
      <c r="B2881" s="3" t="s">
        <v>13055</v>
      </c>
      <c r="C2881" s="49" t="s">
        <v>13056</v>
      </c>
      <c r="D2881" s="49"/>
      <c r="E2881" s="49"/>
      <c r="F2881" s="49"/>
      <c r="G2881" s="4" t="s">
        <v>13057</v>
      </c>
      <c r="H2881" s="8"/>
      <c r="I2881" s="9" t="s">
        <v>12911</v>
      </c>
      <c r="J2881" s="10"/>
      <c r="K2881" s="11">
        <v>48</v>
      </c>
      <c r="L2881" s="10"/>
      <c r="M2881" s="10" t="s">
        <v>47</v>
      </c>
      <c r="N2881" s="10"/>
      <c r="O2881" s="2">
        <v>8</v>
      </c>
      <c r="P2881" s="17">
        <f>97*(1-S3/100)</f>
        <v>97</v>
      </c>
      <c r="Q2881" s="18"/>
      <c r="R2881" s="10">
        <f t="shared" si="125"/>
        <v>0</v>
      </c>
      <c r="S2881" s="19">
        <f>0.056*Q2881</f>
        <v>0</v>
      </c>
      <c r="T2881" s="20">
        <f>0.00017*Q2881</f>
        <v>0</v>
      </c>
      <c r="U2881" s="21"/>
      <c r="V2881" s="22" t="s">
        <v>13058</v>
      </c>
      <c r="W2881" s="22" t="s">
        <v>49</v>
      </c>
      <c r="X2881" s="3" t="s">
        <v>12940</v>
      </c>
      <c r="Y2881" s="3"/>
      <c r="Z2881" s="3" t="s">
        <v>52</v>
      </c>
      <c r="AA2881" s="3"/>
      <c r="AB2881" s="3"/>
      <c r="AC2881" s="3" t="str">
        <f>HYPERLINK("https://knigipp.ru/api/getInfo/image/0f53d768-db8e-11ee-a25a-00155d82e908")</f>
        <v>https://knigipp.ru/api/getInfo/image/0f53d768-db8e-11ee-a25a-00155d82e908</v>
      </c>
      <c r="AD2881" s="32">
        <v>10</v>
      </c>
      <c r="AE2881" s="3" t="s">
        <v>54</v>
      </c>
      <c r="AF2881" s="3" t="s">
        <v>209</v>
      </c>
      <c r="AG2881" s="3"/>
      <c r="AH2881" s="3" t="s">
        <v>56</v>
      </c>
      <c r="AI2881" s="3"/>
      <c r="AJ2881" s="3" t="s">
        <v>12335</v>
      </c>
      <c r="AK2881" s="3" t="str">
        <f>HYPERLINK("https://knigipp.ru/api/getInfo/item/0f53d768-db8e-11ee-a25a-00155d82e908")</f>
        <v>https://knigipp.ru/api/getInfo/item/0f53d768-db8e-11ee-a25a-00155d82e908</v>
      </c>
      <c r="AL2881" s="3" t="s">
        <v>12913</v>
      </c>
    </row>
    <row r="2882" spans="1:38" ht="21" customHeight="1" outlineLevel="4" x14ac:dyDescent="0.2">
      <c r="A2882" s="39">
        <v>2286</v>
      </c>
      <c r="B2882" s="3" t="s">
        <v>13059</v>
      </c>
      <c r="C2882" s="49" t="s">
        <v>13060</v>
      </c>
      <c r="D2882" s="49"/>
      <c r="E2882" s="49"/>
      <c r="F2882" s="49"/>
      <c r="G2882" s="4" t="s">
        <v>13061</v>
      </c>
      <c r="H2882" s="8"/>
      <c r="I2882" s="9" t="s">
        <v>12968</v>
      </c>
      <c r="J2882" s="10"/>
      <c r="K2882" s="11">
        <v>48</v>
      </c>
      <c r="L2882" s="10"/>
      <c r="M2882" s="10" t="s">
        <v>47</v>
      </c>
      <c r="N2882" s="10"/>
      <c r="O2882" s="2">
        <v>8</v>
      </c>
      <c r="P2882" s="17">
        <f>97*(1-S3/100)</f>
        <v>97</v>
      </c>
      <c r="Q2882" s="18"/>
      <c r="R2882" s="10">
        <f t="shared" si="125"/>
        <v>0</v>
      </c>
      <c r="S2882" s="19">
        <f>0.059*Q2882</f>
        <v>0</v>
      </c>
      <c r="T2882" s="20">
        <f>0.00009*Q2882</f>
        <v>0</v>
      </c>
      <c r="U2882" s="21"/>
      <c r="V2882" s="22" t="s">
        <v>13062</v>
      </c>
      <c r="W2882" s="22" t="s">
        <v>49</v>
      </c>
      <c r="X2882" s="3"/>
      <c r="Y2882" s="3" t="s">
        <v>13063</v>
      </c>
      <c r="Z2882" s="3" t="s">
        <v>52</v>
      </c>
      <c r="AA2882" s="3"/>
      <c r="AB2882" s="3"/>
      <c r="AC2882" s="3" t="str">
        <f>HYPERLINK("https://knigipp.ru/api/getInfo/image/d7b52cd5-bbde-11f0-a288-00155d82e908")</f>
        <v>https://knigipp.ru/api/getInfo/image/d7b52cd5-bbde-11f0-a288-00155d82e908</v>
      </c>
      <c r="AD2882" s="32">
        <v>10</v>
      </c>
      <c r="AE2882" s="3" t="s">
        <v>54</v>
      </c>
      <c r="AF2882" s="3" t="s">
        <v>209</v>
      </c>
      <c r="AG2882" s="3"/>
      <c r="AH2882" s="3" t="s">
        <v>56</v>
      </c>
      <c r="AI2882" s="3"/>
      <c r="AJ2882" s="3" t="s">
        <v>12335</v>
      </c>
      <c r="AK2882" s="3" t="str">
        <f>HYPERLINK("https://knigipp.ru/api/getInfo/item/d7b52cd5-bbde-11f0-a288-00155d82e908")</f>
        <v>https://knigipp.ru/api/getInfo/item/d7b52cd5-bbde-11f0-a288-00155d82e908</v>
      </c>
      <c r="AL2882" s="3" t="s">
        <v>12913</v>
      </c>
    </row>
    <row r="2883" spans="1:38" ht="21" customHeight="1" outlineLevel="4" x14ac:dyDescent="0.2">
      <c r="A2883" s="39">
        <v>2287</v>
      </c>
      <c r="B2883" s="3" t="s">
        <v>13064</v>
      </c>
      <c r="C2883" s="49" t="s">
        <v>13065</v>
      </c>
      <c r="D2883" s="49"/>
      <c r="E2883" s="49"/>
      <c r="F2883" s="49"/>
      <c r="G2883" s="4" t="s">
        <v>13066</v>
      </c>
      <c r="H2883" s="8"/>
      <c r="I2883" s="9" t="s">
        <v>12968</v>
      </c>
      <c r="J2883" s="10"/>
      <c r="K2883" s="11">
        <v>48</v>
      </c>
      <c r="L2883" s="10"/>
      <c r="M2883" s="10" t="s">
        <v>47</v>
      </c>
      <c r="N2883" s="10"/>
      <c r="O2883" s="2">
        <v>8</v>
      </c>
      <c r="P2883" s="17">
        <f>97*(1-S3/100)</f>
        <v>97</v>
      </c>
      <c r="Q2883" s="18"/>
      <c r="R2883" s="10">
        <f t="shared" si="125"/>
        <v>0</v>
      </c>
      <c r="S2883" s="19">
        <f>0.059*Q2883</f>
        <v>0</v>
      </c>
      <c r="T2883" s="20">
        <f>0.00009*Q2883</f>
        <v>0</v>
      </c>
      <c r="U2883" s="21"/>
      <c r="V2883" s="22" t="s">
        <v>13067</v>
      </c>
      <c r="W2883" s="22" t="s">
        <v>49</v>
      </c>
      <c r="X2883" s="3"/>
      <c r="Y2883" s="3" t="s">
        <v>13068</v>
      </c>
      <c r="Z2883" s="3" t="s">
        <v>52</v>
      </c>
      <c r="AA2883" s="3"/>
      <c r="AB2883" s="3"/>
      <c r="AC2883" s="3" t="str">
        <f>HYPERLINK("https://knigipp.ru/api/getInfo/image/a743f633-bbde-11f0-a288-00155d82e908")</f>
        <v>https://knigipp.ru/api/getInfo/image/a743f633-bbde-11f0-a288-00155d82e908</v>
      </c>
      <c r="AD2883" s="32">
        <v>10</v>
      </c>
      <c r="AE2883" s="3" t="s">
        <v>54</v>
      </c>
      <c r="AF2883" s="3" t="s">
        <v>209</v>
      </c>
      <c r="AG2883" s="3"/>
      <c r="AH2883" s="3" t="s">
        <v>56</v>
      </c>
      <c r="AI2883" s="3"/>
      <c r="AJ2883" s="3" t="s">
        <v>12335</v>
      </c>
      <c r="AK2883" s="3" t="str">
        <f>HYPERLINK("https://knigipp.ru/api/getInfo/item/a743f633-bbde-11f0-a288-00155d82e908")</f>
        <v>https://knigipp.ru/api/getInfo/item/a743f633-bbde-11f0-a288-00155d82e908</v>
      </c>
      <c r="AL2883" s="3" t="s">
        <v>12913</v>
      </c>
    </row>
    <row r="2884" spans="1:38" ht="21" customHeight="1" outlineLevel="4" x14ac:dyDescent="0.2">
      <c r="A2884" s="39">
        <v>2288</v>
      </c>
      <c r="B2884" s="3" t="s">
        <v>13069</v>
      </c>
      <c r="C2884" s="49" t="s">
        <v>13070</v>
      </c>
      <c r="D2884" s="49"/>
      <c r="E2884" s="49"/>
      <c r="F2884" s="49"/>
      <c r="G2884" s="4" t="s">
        <v>13071</v>
      </c>
      <c r="H2884" s="8"/>
      <c r="I2884" s="9" t="s">
        <v>13072</v>
      </c>
      <c r="J2884" s="10"/>
      <c r="K2884" s="11">
        <v>48</v>
      </c>
      <c r="L2884" s="10"/>
      <c r="M2884" s="10" t="s">
        <v>78</v>
      </c>
      <c r="N2884" s="10"/>
      <c r="O2884" s="2">
        <v>8</v>
      </c>
      <c r="P2884" s="17">
        <f>97*(1-S3/100)</f>
        <v>97</v>
      </c>
      <c r="Q2884" s="18"/>
      <c r="R2884" s="10">
        <f t="shared" si="125"/>
        <v>0</v>
      </c>
      <c r="S2884" s="19">
        <f>0.052*Q2884</f>
        <v>0</v>
      </c>
      <c r="T2884" s="20">
        <f>0.00015*Q2884</f>
        <v>0</v>
      </c>
      <c r="U2884" s="21"/>
      <c r="V2884" s="22" t="s">
        <v>13073</v>
      </c>
      <c r="W2884" s="22" t="s">
        <v>49</v>
      </c>
      <c r="X2884" s="3" t="s">
        <v>117</v>
      </c>
      <c r="Y2884" s="3" t="s">
        <v>13074</v>
      </c>
      <c r="Z2884" s="3" t="s">
        <v>52</v>
      </c>
      <c r="AA2884" s="3"/>
      <c r="AB2884" s="3"/>
      <c r="AC2884" s="3" t="str">
        <f>HYPERLINK("https://knigipp.ru/api/getInfo/image/98d9d9ed-25c1-11f0-a279-00155d82e908")</f>
        <v>https://knigipp.ru/api/getInfo/image/98d9d9ed-25c1-11f0-a279-00155d82e908</v>
      </c>
      <c r="AD2884" s="32">
        <v>10</v>
      </c>
      <c r="AE2884" s="3" t="s">
        <v>54</v>
      </c>
      <c r="AF2884" s="3" t="s">
        <v>209</v>
      </c>
      <c r="AG2884" s="3"/>
      <c r="AH2884" s="3" t="s">
        <v>56</v>
      </c>
      <c r="AI2884" s="3"/>
      <c r="AJ2884" s="3"/>
      <c r="AK2884" s="3" t="str">
        <f>HYPERLINK("https://knigipp.ru/api/getInfo/item/98d9d9ed-25c1-11f0-a279-00155d82e908")</f>
        <v>https://knigipp.ru/api/getInfo/item/98d9d9ed-25c1-11f0-a279-00155d82e908</v>
      </c>
      <c r="AL2884" s="3" t="s">
        <v>716</v>
      </c>
    </row>
    <row r="2885" spans="1:38" ht="21" customHeight="1" outlineLevel="4" x14ac:dyDescent="0.2">
      <c r="A2885" s="39">
        <v>2289</v>
      </c>
      <c r="B2885" s="3" t="s">
        <v>13075</v>
      </c>
      <c r="C2885" s="49" t="s">
        <v>13076</v>
      </c>
      <c r="D2885" s="49"/>
      <c r="E2885" s="49"/>
      <c r="F2885" s="49"/>
      <c r="G2885" s="4" t="s">
        <v>13077</v>
      </c>
      <c r="H2885" s="8"/>
      <c r="I2885" s="9" t="s">
        <v>12986</v>
      </c>
      <c r="J2885" s="10"/>
      <c r="K2885" s="11">
        <v>48</v>
      </c>
      <c r="L2885" s="10"/>
      <c r="M2885" s="10" t="s">
        <v>47</v>
      </c>
      <c r="N2885" s="10"/>
      <c r="O2885" s="2">
        <v>8</v>
      </c>
      <c r="P2885" s="17">
        <f>97*(1-S3/100)</f>
        <v>97</v>
      </c>
      <c r="Q2885" s="18"/>
      <c r="R2885" s="10">
        <f t="shared" si="125"/>
        <v>0</v>
      </c>
      <c r="S2885" s="19">
        <f>0.049*Q2885</f>
        <v>0</v>
      </c>
      <c r="T2885" s="20">
        <f>0.00036*Q2885</f>
        <v>0</v>
      </c>
      <c r="U2885" s="21"/>
      <c r="V2885" s="22" t="s">
        <v>13078</v>
      </c>
      <c r="W2885" s="22" t="s">
        <v>49</v>
      </c>
      <c r="X2885" s="3" t="s">
        <v>281</v>
      </c>
      <c r="Y2885" s="3" t="s">
        <v>13079</v>
      </c>
      <c r="Z2885" s="3" t="s">
        <v>52</v>
      </c>
      <c r="AA2885" s="3"/>
      <c r="AB2885" s="3"/>
      <c r="AC2885" s="3" t="str">
        <f>HYPERLINK("https://knigipp.ru/api/getInfo/image/e4b8076f-e578-11f0-a28c-00155d82e908")</f>
        <v>https://knigipp.ru/api/getInfo/image/e4b8076f-e578-11f0-a28c-00155d82e908</v>
      </c>
      <c r="AD2885" s="32">
        <v>10</v>
      </c>
      <c r="AE2885" s="3" t="s">
        <v>54</v>
      </c>
      <c r="AF2885" s="3" t="s">
        <v>209</v>
      </c>
      <c r="AG2885" s="3"/>
      <c r="AH2885" s="3" t="s">
        <v>56</v>
      </c>
      <c r="AI2885" s="3"/>
      <c r="AJ2885" s="3"/>
      <c r="AK2885" s="3" t="str">
        <f>HYPERLINK("https://knigipp.ru/api/getInfo/item/e4b8076f-e578-11f0-a28c-00155d82e908")</f>
        <v>https://knigipp.ru/api/getInfo/item/e4b8076f-e578-11f0-a28c-00155d82e908</v>
      </c>
      <c r="AL2885" s="3" t="s">
        <v>716</v>
      </c>
    </row>
    <row r="2886" spans="1:38" ht="21" customHeight="1" outlineLevel="4" x14ac:dyDescent="0.2">
      <c r="A2886" s="39">
        <v>2290</v>
      </c>
      <c r="B2886" s="3" t="s">
        <v>13080</v>
      </c>
      <c r="C2886" s="49" t="s">
        <v>13081</v>
      </c>
      <c r="D2886" s="49"/>
      <c r="E2886" s="49"/>
      <c r="F2886" s="49"/>
      <c r="G2886" s="4" t="s">
        <v>13082</v>
      </c>
      <c r="H2886" s="8"/>
      <c r="I2886" s="9" t="s">
        <v>13083</v>
      </c>
      <c r="J2886" s="10"/>
      <c r="K2886" s="11">
        <v>48</v>
      </c>
      <c r="L2886" s="10"/>
      <c r="M2886" s="10" t="s">
        <v>78</v>
      </c>
      <c r="N2886" s="10"/>
      <c r="O2886" s="2">
        <v>8</v>
      </c>
      <c r="P2886" s="17">
        <f>97*(1-S3/100)</f>
        <v>97</v>
      </c>
      <c r="Q2886" s="18"/>
      <c r="R2886" s="10">
        <f t="shared" si="125"/>
        <v>0</v>
      </c>
      <c r="S2886" s="19">
        <f>0.052*Q2886</f>
        <v>0</v>
      </c>
      <c r="T2886" s="20">
        <f>0.00015*Q2886</f>
        <v>0</v>
      </c>
      <c r="U2886" s="21"/>
      <c r="V2886" s="22" t="s">
        <v>13084</v>
      </c>
      <c r="W2886" s="22" t="s">
        <v>49</v>
      </c>
      <c r="X2886" s="3" t="s">
        <v>117</v>
      </c>
      <c r="Y2886" s="3" t="s">
        <v>13085</v>
      </c>
      <c r="Z2886" s="3" t="s">
        <v>52</v>
      </c>
      <c r="AA2886" s="3"/>
      <c r="AB2886" s="3"/>
      <c r="AC2886" s="3" t="str">
        <f>HYPERLINK("https://knigipp.ru/api/getInfo/image/b84fa51f-25c1-11f0-a279-00155d82e908")</f>
        <v>https://knigipp.ru/api/getInfo/image/b84fa51f-25c1-11f0-a279-00155d82e908</v>
      </c>
      <c r="AD2886" s="32">
        <v>10</v>
      </c>
      <c r="AE2886" s="3" t="s">
        <v>54</v>
      </c>
      <c r="AF2886" s="3" t="s">
        <v>209</v>
      </c>
      <c r="AG2886" s="3"/>
      <c r="AH2886" s="3" t="s">
        <v>56</v>
      </c>
      <c r="AI2886" s="3"/>
      <c r="AJ2886" s="3"/>
      <c r="AK2886" s="3" t="str">
        <f>HYPERLINK("https://knigipp.ru/api/getInfo/item/b84fa51f-25c1-11f0-a279-00155d82e908")</f>
        <v>https://knigipp.ru/api/getInfo/item/b84fa51f-25c1-11f0-a279-00155d82e908</v>
      </c>
      <c r="AL2886" s="3" t="s">
        <v>716</v>
      </c>
    </row>
    <row r="2887" spans="1:38" ht="21" customHeight="1" outlineLevel="4" x14ac:dyDescent="0.2">
      <c r="A2887" s="39">
        <v>2291</v>
      </c>
      <c r="B2887" s="3" t="s">
        <v>13086</v>
      </c>
      <c r="C2887" s="49" t="s">
        <v>13087</v>
      </c>
      <c r="D2887" s="49"/>
      <c r="E2887" s="49"/>
      <c r="F2887" s="49"/>
      <c r="G2887" s="4" t="s">
        <v>13088</v>
      </c>
      <c r="H2887" s="8"/>
      <c r="I2887" s="9" t="s">
        <v>12795</v>
      </c>
      <c r="J2887" s="10"/>
      <c r="K2887" s="11">
        <v>48</v>
      </c>
      <c r="L2887" s="10"/>
      <c r="M2887" s="10" t="s">
        <v>47</v>
      </c>
      <c r="N2887" s="10"/>
      <c r="O2887" s="2">
        <v>8</v>
      </c>
      <c r="P2887" s="17">
        <f>97*(1-S3/100)</f>
        <v>97</v>
      </c>
      <c r="Q2887" s="18"/>
      <c r="R2887" s="10">
        <f>P2887*Q2887</f>
        <v>0</v>
      </c>
      <c r="S2887" s="19">
        <f>0.048*Q2887</f>
        <v>0</v>
      </c>
      <c r="T2887" s="20">
        <f>0.00009*Q2887</f>
        <v>0</v>
      </c>
      <c r="U2887" s="21"/>
      <c r="V2887" s="22" t="s">
        <v>13089</v>
      </c>
      <c r="W2887" s="22" t="s">
        <v>49</v>
      </c>
      <c r="X2887" s="3"/>
      <c r="Y2887" s="3" t="s">
        <v>13090</v>
      </c>
      <c r="Z2887" s="3" t="s">
        <v>52</v>
      </c>
      <c r="AA2887" s="3"/>
      <c r="AB2887" s="3"/>
      <c r="AC2887" s="3" t="str">
        <f>HYPERLINK("https://knigipp.ru/api/getInfo/image/023057ee-d999-11f0-a28c-00155d82e908")</f>
        <v>https://knigipp.ru/api/getInfo/image/023057ee-d999-11f0-a28c-00155d82e908</v>
      </c>
      <c r="AD2887" s="32">
        <v>8</v>
      </c>
      <c r="AE2887" s="3"/>
      <c r="AF2887" s="3" t="s">
        <v>209</v>
      </c>
      <c r="AG2887" s="3"/>
      <c r="AH2887" s="3" t="s">
        <v>56</v>
      </c>
      <c r="AI2887" s="3"/>
      <c r="AJ2887" s="3"/>
      <c r="AK2887" s="3" t="str">
        <f>HYPERLINK("https://knigipp.ru/api/getInfo/item/023057ee-d999-11f0-a28c-00155d82e908")</f>
        <v>https://knigipp.ru/api/getInfo/item/023057ee-d999-11f0-a28c-00155d82e908</v>
      </c>
      <c r="AL2887" s="3" t="s">
        <v>716</v>
      </c>
    </row>
    <row r="2888" spans="1:38" ht="23.1" customHeight="1" outlineLevel="3" x14ac:dyDescent="0.2">
      <c r="A2888" s="48" t="s">
        <v>13091</v>
      </c>
      <c r="B2888" s="48"/>
      <c r="C2888" s="48"/>
      <c r="D2888" s="48"/>
      <c r="E2888" s="48"/>
      <c r="F2888" s="48"/>
    </row>
    <row r="2889" spans="1:38" ht="21" customHeight="1" outlineLevel="4" x14ac:dyDescent="0.2">
      <c r="A2889" s="39">
        <v>2292</v>
      </c>
      <c r="B2889" s="3" t="s">
        <v>13092</v>
      </c>
      <c r="C2889" s="49" t="s">
        <v>13093</v>
      </c>
      <c r="D2889" s="49"/>
      <c r="E2889" s="49"/>
      <c r="F2889" s="49"/>
      <c r="G2889" s="4" t="s">
        <v>13094</v>
      </c>
      <c r="H2889" s="8"/>
      <c r="I2889" s="9" t="s">
        <v>13095</v>
      </c>
      <c r="J2889" s="10"/>
      <c r="K2889" s="11">
        <v>10</v>
      </c>
      <c r="L2889" s="10"/>
      <c r="M2889" s="10" t="s">
        <v>47</v>
      </c>
      <c r="N2889" s="10"/>
      <c r="O2889" s="2">
        <v>2</v>
      </c>
      <c r="P2889" s="17">
        <f>377*(1-S3/100)</f>
        <v>377</v>
      </c>
      <c r="Q2889" s="18"/>
      <c r="R2889" s="10">
        <f>P2889*Q2889</f>
        <v>0</v>
      </c>
      <c r="S2889" s="19">
        <f>0.127*Q2889</f>
        <v>0</v>
      </c>
      <c r="T2889" s="20">
        <f>0.00052*Q2889</f>
        <v>0</v>
      </c>
      <c r="U2889" s="21"/>
      <c r="V2889" s="22" t="s">
        <v>13096</v>
      </c>
      <c r="W2889" s="22" t="s">
        <v>49</v>
      </c>
      <c r="X2889" s="3"/>
      <c r="Y2889" s="3" t="s">
        <v>13097</v>
      </c>
      <c r="Z2889" s="3" t="s">
        <v>52</v>
      </c>
      <c r="AA2889" s="3"/>
      <c r="AB2889" s="3"/>
      <c r="AC2889" s="3" t="str">
        <f>HYPERLINK("https://knigipp.ru/api/getInfo/image/2b35cecf-ae50-11ef-a267-00155d82e908")</f>
        <v>https://knigipp.ru/api/getInfo/image/2b35cecf-ae50-11ef-a267-00155d82e908</v>
      </c>
      <c r="AD2889" s="32">
        <v>10</v>
      </c>
      <c r="AE2889" s="3" t="s">
        <v>54</v>
      </c>
      <c r="AF2889" s="3" t="s">
        <v>209</v>
      </c>
      <c r="AG2889" s="3"/>
      <c r="AH2889" s="3" t="s">
        <v>56</v>
      </c>
      <c r="AI2889" s="3"/>
      <c r="AJ2889" s="3"/>
      <c r="AK2889" s="3" t="str">
        <f>HYPERLINK("https://knigipp.ru/api/getInfo/item/2b35cecf-ae50-11ef-a267-00155d82e908")</f>
        <v>https://knigipp.ru/api/getInfo/item/2b35cecf-ae50-11ef-a267-00155d82e908</v>
      </c>
      <c r="AL2889" s="3" t="s">
        <v>3341</v>
      </c>
    </row>
    <row r="2890" spans="1:38" ht="21" customHeight="1" outlineLevel="4" x14ac:dyDescent="0.2">
      <c r="A2890" s="39">
        <v>2293</v>
      </c>
      <c r="B2890" s="3" t="s">
        <v>13098</v>
      </c>
      <c r="C2890" s="49" t="s">
        <v>13099</v>
      </c>
      <c r="D2890" s="49"/>
      <c r="E2890" s="49"/>
      <c r="F2890" s="49"/>
      <c r="G2890" s="4" t="s">
        <v>13100</v>
      </c>
      <c r="H2890" s="8"/>
      <c r="I2890" s="9" t="s">
        <v>13095</v>
      </c>
      <c r="J2890" s="10"/>
      <c r="K2890" s="11">
        <v>10</v>
      </c>
      <c r="L2890" s="10"/>
      <c r="M2890" s="10" t="s">
        <v>47</v>
      </c>
      <c r="N2890" s="10"/>
      <c r="O2890" s="2">
        <v>2</v>
      </c>
      <c r="P2890" s="17">
        <f>377*(1-S3/100)</f>
        <v>377</v>
      </c>
      <c r="Q2890" s="18"/>
      <c r="R2890" s="10">
        <f>P2890*Q2890</f>
        <v>0</v>
      </c>
      <c r="S2890" s="19">
        <f>0.126*Q2890</f>
        <v>0</v>
      </c>
      <c r="T2890" s="20">
        <f>0.00022*Q2890</f>
        <v>0</v>
      </c>
      <c r="U2890" s="21"/>
      <c r="V2890" s="22" t="s">
        <v>13101</v>
      </c>
      <c r="W2890" s="22" t="s">
        <v>49</v>
      </c>
      <c r="X2890" s="3"/>
      <c r="Y2890" s="3" t="s">
        <v>13102</v>
      </c>
      <c r="Z2890" s="3" t="s">
        <v>52</v>
      </c>
      <c r="AA2890" s="3"/>
      <c r="AB2890" s="3"/>
      <c r="AC2890" s="3" t="str">
        <f>HYPERLINK("https://knigipp.ru/api/getInfo/image/f3e73d3f-ae4f-11ef-a267-00155d82e908")</f>
        <v>https://knigipp.ru/api/getInfo/image/f3e73d3f-ae4f-11ef-a267-00155d82e908</v>
      </c>
      <c r="AD2890" s="32">
        <v>10</v>
      </c>
      <c r="AE2890" s="3" t="s">
        <v>54</v>
      </c>
      <c r="AF2890" s="3" t="s">
        <v>209</v>
      </c>
      <c r="AG2890" s="3"/>
      <c r="AH2890" s="3" t="s">
        <v>56</v>
      </c>
      <c r="AI2890" s="3"/>
      <c r="AJ2890" s="3"/>
      <c r="AK2890" s="3" t="str">
        <f>HYPERLINK("https://knigipp.ru/api/getInfo/item/f3e73d3f-ae4f-11ef-a267-00155d82e908")</f>
        <v>https://knigipp.ru/api/getInfo/item/f3e73d3f-ae4f-11ef-a267-00155d82e908</v>
      </c>
      <c r="AL2890" s="3" t="s">
        <v>3341</v>
      </c>
    </row>
    <row r="2891" spans="1:38" ht="21" customHeight="1" outlineLevel="4" x14ac:dyDescent="0.2">
      <c r="A2891" s="39">
        <v>2294</v>
      </c>
      <c r="B2891" s="3" t="s">
        <v>13103</v>
      </c>
      <c r="C2891" s="49" t="s">
        <v>13104</v>
      </c>
      <c r="D2891" s="49"/>
      <c r="E2891" s="49"/>
      <c r="F2891" s="49"/>
      <c r="G2891" s="4" t="s">
        <v>13105</v>
      </c>
      <c r="H2891" s="8"/>
      <c r="I2891" s="9" t="s">
        <v>13095</v>
      </c>
      <c r="J2891" s="10"/>
      <c r="K2891" s="11">
        <v>10</v>
      </c>
      <c r="L2891" s="10"/>
      <c r="M2891" s="10" t="s">
        <v>78</v>
      </c>
      <c r="N2891" s="10"/>
      <c r="O2891" s="2">
        <v>2</v>
      </c>
      <c r="P2891" s="17">
        <f>377*(1-S3/100)</f>
        <v>377</v>
      </c>
      <c r="Q2891" s="18"/>
      <c r="R2891" s="10">
        <f>P2891*Q2891</f>
        <v>0</v>
      </c>
      <c r="S2891" s="19">
        <f>0.128*Q2891</f>
        <v>0</v>
      </c>
      <c r="T2891" s="30">
        <f>0.0007*Q2891</f>
        <v>0</v>
      </c>
      <c r="U2891" s="21"/>
      <c r="V2891" s="22" t="s">
        <v>13106</v>
      </c>
      <c r="W2891" s="22" t="s">
        <v>49</v>
      </c>
      <c r="X2891" s="3"/>
      <c r="Y2891" s="3" t="s">
        <v>13107</v>
      </c>
      <c r="Z2891" s="3" t="s">
        <v>52</v>
      </c>
      <c r="AA2891" s="3"/>
      <c r="AB2891" s="3"/>
      <c r="AC2891" s="3" t="str">
        <f>HYPERLINK("https://knigipp.ru/api/getInfo/image/8bc4fba1-ae50-11ef-a267-00155d82e908")</f>
        <v>https://knigipp.ru/api/getInfo/image/8bc4fba1-ae50-11ef-a267-00155d82e908</v>
      </c>
      <c r="AD2891" s="32">
        <v>10</v>
      </c>
      <c r="AE2891" s="3" t="s">
        <v>54</v>
      </c>
      <c r="AF2891" s="3" t="s">
        <v>209</v>
      </c>
      <c r="AG2891" s="3"/>
      <c r="AH2891" s="3" t="s">
        <v>56</v>
      </c>
      <c r="AI2891" s="3"/>
      <c r="AJ2891" s="3"/>
      <c r="AK2891" s="3" t="str">
        <f>HYPERLINK("https://knigipp.ru/api/getInfo/item/8bc4fba1-ae50-11ef-a267-00155d82e908")</f>
        <v>https://knigipp.ru/api/getInfo/item/8bc4fba1-ae50-11ef-a267-00155d82e908</v>
      </c>
      <c r="AL2891" s="3" t="s">
        <v>3341</v>
      </c>
    </row>
    <row r="2892" spans="1:38" ht="21" customHeight="1" outlineLevel="4" x14ac:dyDescent="0.2">
      <c r="A2892" s="39">
        <v>2295</v>
      </c>
      <c r="B2892" s="3" t="s">
        <v>13108</v>
      </c>
      <c r="C2892" s="49" t="s">
        <v>13109</v>
      </c>
      <c r="D2892" s="49"/>
      <c r="E2892" s="49"/>
      <c r="F2892" s="49"/>
      <c r="G2892" s="4" t="s">
        <v>13110</v>
      </c>
      <c r="H2892" s="8"/>
      <c r="I2892" s="9" t="s">
        <v>13095</v>
      </c>
      <c r="J2892" s="10"/>
      <c r="K2892" s="11">
        <v>10</v>
      </c>
      <c r="L2892" s="10"/>
      <c r="M2892" s="10" t="s">
        <v>47</v>
      </c>
      <c r="N2892" s="10"/>
      <c r="O2892" s="2">
        <v>2</v>
      </c>
      <c r="P2892" s="17">
        <f>377*(1-S3/100)</f>
        <v>377</v>
      </c>
      <c r="Q2892" s="18"/>
      <c r="R2892" s="10">
        <f>P2892*Q2892</f>
        <v>0</v>
      </c>
      <c r="S2892" s="19">
        <f>0.129*Q2892</f>
        <v>0</v>
      </c>
      <c r="T2892" s="20">
        <f>0.00058*Q2892</f>
        <v>0</v>
      </c>
      <c r="U2892" s="21"/>
      <c r="V2892" s="22" t="s">
        <v>13111</v>
      </c>
      <c r="W2892" s="22" t="s">
        <v>49</v>
      </c>
      <c r="X2892" s="3"/>
      <c r="Y2892" s="3" t="s">
        <v>13112</v>
      </c>
      <c r="Z2892" s="3" t="s">
        <v>52</v>
      </c>
      <c r="AA2892" s="3"/>
      <c r="AB2892" s="3"/>
      <c r="AC2892" s="3" t="str">
        <f>HYPERLINK("https://knigipp.ru/api/getInfo/image/601de9aa-ae50-11ef-a267-00155d82e908")</f>
        <v>https://knigipp.ru/api/getInfo/image/601de9aa-ae50-11ef-a267-00155d82e908</v>
      </c>
      <c r="AD2892" s="32">
        <v>10</v>
      </c>
      <c r="AE2892" s="3" t="s">
        <v>54</v>
      </c>
      <c r="AF2892" s="3" t="s">
        <v>209</v>
      </c>
      <c r="AG2892" s="3"/>
      <c r="AH2892" s="3" t="s">
        <v>56</v>
      </c>
      <c r="AI2892" s="3"/>
      <c r="AJ2892" s="3"/>
      <c r="AK2892" s="3" t="str">
        <f>HYPERLINK("https://knigipp.ru/api/getInfo/item/601de9aa-ae50-11ef-a267-00155d82e908")</f>
        <v>https://knigipp.ru/api/getInfo/item/601de9aa-ae50-11ef-a267-00155d82e908</v>
      </c>
      <c r="AL2892" s="3" t="s">
        <v>3341</v>
      </c>
    </row>
    <row r="2893" spans="1:38" ht="23.1" customHeight="1" outlineLevel="3" x14ac:dyDescent="0.2">
      <c r="A2893" s="48" t="s">
        <v>13113</v>
      </c>
      <c r="B2893" s="48"/>
      <c r="C2893" s="48"/>
      <c r="D2893" s="48"/>
      <c r="E2893" s="48"/>
      <c r="F2893" s="48"/>
    </row>
    <row r="2894" spans="1:38" ht="21" customHeight="1" outlineLevel="4" x14ac:dyDescent="0.2">
      <c r="A2894" s="39">
        <v>2296</v>
      </c>
      <c r="B2894" s="3" t="s">
        <v>13114</v>
      </c>
      <c r="C2894" s="49" t="s">
        <v>13115</v>
      </c>
      <c r="D2894" s="49"/>
      <c r="E2894" s="49"/>
      <c r="F2894" s="49"/>
      <c r="G2894" s="4" t="s">
        <v>13116</v>
      </c>
      <c r="H2894" s="8"/>
      <c r="I2894" s="9" t="s">
        <v>13117</v>
      </c>
      <c r="J2894" s="10"/>
      <c r="K2894" s="11">
        <v>40</v>
      </c>
      <c r="L2894" s="10"/>
      <c r="M2894" s="10" t="s">
        <v>47</v>
      </c>
      <c r="N2894" s="10"/>
      <c r="O2894" s="2">
        <v>5</v>
      </c>
      <c r="P2894" s="17">
        <f>117*(1-S3/100)</f>
        <v>117</v>
      </c>
      <c r="Q2894" s="18"/>
      <c r="R2894" s="10">
        <f>P2894*Q2894</f>
        <v>0</v>
      </c>
      <c r="S2894" s="19">
        <f>0.064*Q2894</f>
        <v>0</v>
      </c>
      <c r="T2894" s="20">
        <f>0.00018*Q2894</f>
        <v>0</v>
      </c>
      <c r="U2894" s="21"/>
      <c r="V2894" s="22" t="s">
        <v>13118</v>
      </c>
      <c r="W2894" s="22" t="s">
        <v>49</v>
      </c>
      <c r="X2894" s="3" t="s">
        <v>207</v>
      </c>
      <c r="Y2894" s="3" t="s">
        <v>13119</v>
      </c>
      <c r="Z2894" s="3" t="s">
        <v>52</v>
      </c>
      <c r="AA2894" s="3" t="s">
        <v>13120</v>
      </c>
      <c r="AB2894" s="3"/>
      <c r="AC2894" s="3" t="str">
        <f>HYPERLINK("https://knigipp.ru/api/getInfo/image/26c77200-4f3d-11ef-a262-00155d82e908")</f>
        <v>https://knigipp.ru/api/getInfo/image/26c77200-4f3d-11ef-a262-00155d82e908</v>
      </c>
      <c r="AD2894" s="32">
        <v>10</v>
      </c>
      <c r="AE2894" s="3" t="s">
        <v>54</v>
      </c>
      <c r="AF2894" s="3" t="s">
        <v>209</v>
      </c>
      <c r="AG2894" s="3"/>
      <c r="AH2894" s="3" t="s">
        <v>56</v>
      </c>
      <c r="AI2894" s="3"/>
      <c r="AJ2894" s="3"/>
      <c r="AK2894" s="3" t="str">
        <f>HYPERLINK("https://knigipp.ru/api/getInfo/item/26c77200-4f3d-11ef-a262-00155d82e908")</f>
        <v>https://knigipp.ru/api/getInfo/item/26c77200-4f3d-11ef-a262-00155d82e908</v>
      </c>
      <c r="AL2894" s="3" t="s">
        <v>13121</v>
      </c>
    </row>
    <row r="2895" spans="1:38" ht="21" customHeight="1" outlineLevel="4" x14ac:dyDescent="0.2">
      <c r="A2895" s="39">
        <v>2297</v>
      </c>
      <c r="B2895" s="3" t="s">
        <v>13122</v>
      </c>
      <c r="C2895" s="49" t="s">
        <v>13123</v>
      </c>
      <c r="D2895" s="49"/>
      <c r="E2895" s="49"/>
      <c r="F2895" s="49"/>
      <c r="G2895" s="4" t="s">
        <v>13124</v>
      </c>
      <c r="H2895" s="8"/>
      <c r="I2895" s="9" t="s">
        <v>13117</v>
      </c>
      <c r="J2895" s="10"/>
      <c r="K2895" s="11">
        <v>40</v>
      </c>
      <c r="L2895" s="10"/>
      <c r="M2895" s="10" t="s">
        <v>47</v>
      </c>
      <c r="N2895" s="10"/>
      <c r="O2895" s="2">
        <v>5</v>
      </c>
      <c r="P2895" s="17">
        <f>117*(1-S3/100)</f>
        <v>117</v>
      </c>
      <c r="Q2895" s="18"/>
      <c r="R2895" s="10">
        <f>P2895*Q2895</f>
        <v>0</v>
      </c>
      <c r="S2895" s="19">
        <f>0.063*Q2895</f>
        <v>0</v>
      </c>
      <c r="T2895" s="30">
        <f>0.0002*Q2895</f>
        <v>0</v>
      </c>
      <c r="U2895" s="21"/>
      <c r="V2895" s="22" t="s">
        <v>13125</v>
      </c>
      <c r="W2895" s="22" t="s">
        <v>49</v>
      </c>
      <c r="X2895" s="3" t="s">
        <v>207</v>
      </c>
      <c r="Y2895" s="3" t="s">
        <v>13126</v>
      </c>
      <c r="Z2895" s="3" t="s">
        <v>52</v>
      </c>
      <c r="AA2895" s="3" t="s">
        <v>13120</v>
      </c>
      <c r="AB2895" s="3"/>
      <c r="AC2895" s="3" t="str">
        <f>HYPERLINK("https://knigipp.ru/api/getInfo/image/5561fccc-4f3d-11ef-a262-00155d82e908")</f>
        <v>https://knigipp.ru/api/getInfo/image/5561fccc-4f3d-11ef-a262-00155d82e908</v>
      </c>
      <c r="AD2895" s="32">
        <v>10</v>
      </c>
      <c r="AE2895" s="3" t="s">
        <v>54</v>
      </c>
      <c r="AF2895" s="3" t="s">
        <v>209</v>
      </c>
      <c r="AG2895" s="3"/>
      <c r="AH2895" s="3" t="s">
        <v>56</v>
      </c>
      <c r="AI2895" s="3"/>
      <c r="AJ2895" s="3"/>
      <c r="AK2895" s="3" t="str">
        <f>HYPERLINK("https://knigipp.ru/api/getInfo/item/5561fccc-4f3d-11ef-a262-00155d82e908")</f>
        <v>https://knigipp.ru/api/getInfo/item/5561fccc-4f3d-11ef-a262-00155d82e908</v>
      </c>
      <c r="AL2895" s="3" t="s">
        <v>13121</v>
      </c>
    </row>
    <row r="2896" spans="1:38" ht="21" customHeight="1" outlineLevel="4" x14ac:dyDescent="0.2">
      <c r="A2896" s="39">
        <v>2298</v>
      </c>
      <c r="B2896" s="3" t="s">
        <v>13127</v>
      </c>
      <c r="C2896" s="49" t="s">
        <v>13128</v>
      </c>
      <c r="D2896" s="49"/>
      <c r="E2896" s="49"/>
      <c r="F2896" s="49"/>
      <c r="G2896" s="4" t="s">
        <v>13129</v>
      </c>
      <c r="H2896" s="8"/>
      <c r="I2896" s="9" t="s">
        <v>13117</v>
      </c>
      <c r="J2896" s="10"/>
      <c r="K2896" s="11">
        <v>40</v>
      </c>
      <c r="L2896" s="10"/>
      <c r="M2896" s="10" t="s">
        <v>47</v>
      </c>
      <c r="N2896" s="10"/>
      <c r="O2896" s="2">
        <v>5</v>
      </c>
      <c r="P2896" s="17">
        <f>117*(1-S3/100)</f>
        <v>117</v>
      </c>
      <c r="Q2896" s="18"/>
      <c r="R2896" s="10">
        <f>P2896*Q2896</f>
        <v>0</v>
      </c>
      <c r="S2896" s="19">
        <f>0.068*Q2896</f>
        <v>0</v>
      </c>
      <c r="T2896" s="20">
        <f>0.00013*Q2896</f>
        <v>0</v>
      </c>
      <c r="U2896" s="21"/>
      <c r="V2896" s="22" t="s">
        <v>13130</v>
      </c>
      <c r="W2896" s="22" t="s">
        <v>49</v>
      </c>
      <c r="X2896" s="3" t="s">
        <v>207</v>
      </c>
      <c r="Y2896" s="3" t="s">
        <v>13131</v>
      </c>
      <c r="Z2896" s="3" t="s">
        <v>52</v>
      </c>
      <c r="AA2896" s="3" t="s">
        <v>13120</v>
      </c>
      <c r="AB2896" s="3"/>
      <c r="AC2896" s="3" t="str">
        <f>HYPERLINK("https://knigipp.ru/api/getInfo/image/8dec78cb-4f3d-11ef-a262-00155d82e908")</f>
        <v>https://knigipp.ru/api/getInfo/image/8dec78cb-4f3d-11ef-a262-00155d82e908</v>
      </c>
      <c r="AD2896" s="32">
        <v>10</v>
      </c>
      <c r="AE2896" s="3" t="s">
        <v>54</v>
      </c>
      <c r="AF2896" s="3" t="s">
        <v>209</v>
      </c>
      <c r="AG2896" s="3"/>
      <c r="AH2896" s="3" t="s">
        <v>56</v>
      </c>
      <c r="AI2896" s="3"/>
      <c r="AJ2896" s="3"/>
      <c r="AK2896" s="3" t="str">
        <f>HYPERLINK("https://knigipp.ru/api/getInfo/item/8dec78cb-4f3d-11ef-a262-00155d82e908")</f>
        <v>https://knigipp.ru/api/getInfo/item/8dec78cb-4f3d-11ef-a262-00155d82e908</v>
      </c>
      <c r="AL2896" s="3" t="s">
        <v>13121</v>
      </c>
    </row>
    <row r="2897" spans="1:38" ht="21" customHeight="1" outlineLevel="4" x14ac:dyDescent="0.2">
      <c r="A2897" s="39">
        <v>2299</v>
      </c>
      <c r="B2897" s="3" t="s">
        <v>13132</v>
      </c>
      <c r="C2897" s="49" t="s">
        <v>13133</v>
      </c>
      <c r="D2897" s="49"/>
      <c r="E2897" s="49"/>
      <c r="F2897" s="49"/>
      <c r="G2897" s="4" t="s">
        <v>13134</v>
      </c>
      <c r="H2897" s="8"/>
      <c r="I2897" s="9" t="s">
        <v>13117</v>
      </c>
      <c r="J2897" s="10"/>
      <c r="K2897" s="11">
        <v>40</v>
      </c>
      <c r="L2897" s="10"/>
      <c r="M2897" s="10" t="s">
        <v>47</v>
      </c>
      <c r="N2897" s="10"/>
      <c r="O2897" s="2">
        <v>5</v>
      </c>
      <c r="P2897" s="17">
        <f>117*(1-S3/100)</f>
        <v>117</v>
      </c>
      <c r="Q2897" s="18"/>
      <c r="R2897" s="10">
        <f>P2897*Q2897</f>
        <v>0</v>
      </c>
      <c r="S2897" s="19">
        <f>0.062*Q2897</f>
        <v>0</v>
      </c>
      <c r="T2897" s="20">
        <f>0.00016*Q2897</f>
        <v>0</v>
      </c>
      <c r="U2897" s="21"/>
      <c r="V2897" s="22" t="s">
        <v>13135</v>
      </c>
      <c r="W2897" s="22" t="s">
        <v>49</v>
      </c>
      <c r="X2897" s="3" t="s">
        <v>207</v>
      </c>
      <c r="Y2897" s="3" t="s">
        <v>13136</v>
      </c>
      <c r="Z2897" s="3" t="s">
        <v>52</v>
      </c>
      <c r="AA2897" s="3" t="s">
        <v>13120</v>
      </c>
      <c r="AB2897" s="3"/>
      <c r="AC2897" s="3" t="str">
        <f>HYPERLINK("https://knigipp.ru/api/getInfo/image/b0b7d8f6-4f3d-11ef-a262-00155d82e908")</f>
        <v>https://knigipp.ru/api/getInfo/image/b0b7d8f6-4f3d-11ef-a262-00155d82e908</v>
      </c>
      <c r="AD2897" s="32">
        <v>10</v>
      </c>
      <c r="AE2897" s="3" t="s">
        <v>54</v>
      </c>
      <c r="AF2897" s="3" t="s">
        <v>209</v>
      </c>
      <c r="AG2897" s="3"/>
      <c r="AH2897" s="3" t="s">
        <v>56</v>
      </c>
      <c r="AI2897" s="3"/>
      <c r="AJ2897" s="3"/>
      <c r="AK2897" s="3" t="str">
        <f>HYPERLINK("https://knigipp.ru/api/getInfo/item/b0b7d8f6-4f3d-11ef-a262-00155d82e908")</f>
        <v>https://knigipp.ru/api/getInfo/item/b0b7d8f6-4f3d-11ef-a262-00155d82e908</v>
      </c>
      <c r="AL2897" s="3" t="s">
        <v>13121</v>
      </c>
    </row>
    <row r="2898" spans="1:38" ht="23.1" customHeight="1" outlineLevel="3" x14ac:dyDescent="0.2">
      <c r="A2898" s="48" t="s">
        <v>13137</v>
      </c>
      <c r="B2898" s="48"/>
      <c r="C2898" s="48"/>
      <c r="D2898" s="48"/>
      <c r="E2898" s="48"/>
      <c r="F2898" s="48"/>
    </row>
    <row r="2899" spans="1:38" ht="21" customHeight="1" outlineLevel="4" x14ac:dyDescent="0.2">
      <c r="A2899" s="39">
        <v>2300</v>
      </c>
      <c r="B2899" s="3" t="s">
        <v>13138</v>
      </c>
      <c r="C2899" s="49" t="s">
        <v>13139</v>
      </c>
      <c r="D2899" s="49"/>
      <c r="E2899" s="49"/>
      <c r="F2899" s="49"/>
      <c r="G2899" s="4" t="s">
        <v>13140</v>
      </c>
      <c r="H2899" s="8"/>
      <c r="I2899" s="9"/>
      <c r="J2899" s="10"/>
      <c r="K2899" s="11">
        <v>40</v>
      </c>
      <c r="L2899" s="10"/>
      <c r="M2899" s="10" t="s">
        <v>47</v>
      </c>
      <c r="N2899" s="10"/>
      <c r="O2899" s="2">
        <v>5</v>
      </c>
      <c r="P2899" s="17">
        <f>117*(1-S3/100)</f>
        <v>117</v>
      </c>
      <c r="Q2899" s="18"/>
      <c r="R2899" s="10">
        <f>P2899*Q2899</f>
        <v>0</v>
      </c>
      <c r="S2899" s="19">
        <f>0.065*Q2899</f>
        <v>0</v>
      </c>
      <c r="T2899" s="20">
        <f>0.00009*Q2899</f>
        <v>0</v>
      </c>
      <c r="U2899" s="21"/>
      <c r="V2899" s="22" t="s">
        <v>13141</v>
      </c>
      <c r="W2899" s="22" t="s">
        <v>49</v>
      </c>
      <c r="X2899" s="3" t="s">
        <v>117</v>
      </c>
      <c r="Y2899" s="3" t="s">
        <v>13142</v>
      </c>
      <c r="Z2899" s="3" t="s">
        <v>52</v>
      </c>
      <c r="AA2899" s="3"/>
      <c r="AB2899" s="3"/>
      <c r="AC2899" s="3" t="str">
        <f>HYPERLINK("https://knigipp.ru/api/getInfo/image/2d3b6f07-e8f0-11ed-a233-00155d82e902")</f>
        <v>https://knigipp.ru/api/getInfo/image/2d3b6f07-e8f0-11ed-a233-00155d82e902</v>
      </c>
      <c r="AD2899" s="32">
        <v>10</v>
      </c>
      <c r="AE2899" s="3" t="s">
        <v>54</v>
      </c>
      <c r="AF2899" s="3" t="s">
        <v>209</v>
      </c>
      <c r="AG2899" s="3"/>
      <c r="AH2899" s="3" t="s">
        <v>56</v>
      </c>
      <c r="AI2899" s="3"/>
      <c r="AJ2899" s="3"/>
      <c r="AK2899" s="3" t="str">
        <f>HYPERLINK("https://knigipp.ru/api/getInfo/item/2d3b6f07-e8f0-11ed-a233-00155d82e902")</f>
        <v>https://knigipp.ru/api/getInfo/item/2d3b6f07-e8f0-11ed-a233-00155d82e902</v>
      </c>
      <c r="AL2899" s="3" t="s">
        <v>13143</v>
      </c>
    </row>
    <row r="2900" spans="1:38" ht="21" customHeight="1" outlineLevel="4" x14ac:dyDescent="0.2">
      <c r="A2900" s="39">
        <v>2301</v>
      </c>
      <c r="B2900" s="3" t="s">
        <v>13144</v>
      </c>
      <c r="C2900" s="49" t="s">
        <v>13145</v>
      </c>
      <c r="D2900" s="49"/>
      <c r="E2900" s="49"/>
      <c r="F2900" s="49"/>
      <c r="G2900" s="4" t="s">
        <v>13146</v>
      </c>
      <c r="H2900" s="8"/>
      <c r="I2900" s="9"/>
      <c r="J2900" s="10"/>
      <c r="K2900" s="11">
        <v>40</v>
      </c>
      <c r="L2900" s="10"/>
      <c r="M2900" s="10" t="s">
        <v>47</v>
      </c>
      <c r="N2900" s="10"/>
      <c r="O2900" s="2">
        <v>5</v>
      </c>
      <c r="P2900" s="17">
        <f>117*(1-S3/100)</f>
        <v>117</v>
      </c>
      <c r="Q2900" s="18"/>
      <c r="R2900" s="10">
        <f>P2900*Q2900</f>
        <v>0</v>
      </c>
      <c r="S2900" s="19">
        <f>0.065*Q2900</f>
        <v>0</v>
      </c>
      <c r="T2900" s="20">
        <f>0.00009*Q2900</f>
        <v>0</v>
      </c>
      <c r="U2900" s="21"/>
      <c r="V2900" s="22" t="s">
        <v>13147</v>
      </c>
      <c r="W2900" s="22" t="s">
        <v>49</v>
      </c>
      <c r="X2900" s="3" t="s">
        <v>117</v>
      </c>
      <c r="Y2900" s="3" t="s">
        <v>13148</v>
      </c>
      <c r="Z2900" s="3" t="s">
        <v>52</v>
      </c>
      <c r="AA2900" s="3"/>
      <c r="AB2900" s="3"/>
      <c r="AC2900" s="3" t="str">
        <f>HYPERLINK("https://knigipp.ru/api/getInfo/image/55b06a2b-e8f0-11ed-a233-00155d82e902")</f>
        <v>https://knigipp.ru/api/getInfo/image/55b06a2b-e8f0-11ed-a233-00155d82e902</v>
      </c>
      <c r="AD2900" s="32">
        <v>10</v>
      </c>
      <c r="AE2900" s="3" t="s">
        <v>54</v>
      </c>
      <c r="AF2900" s="3" t="s">
        <v>209</v>
      </c>
      <c r="AG2900" s="3"/>
      <c r="AH2900" s="3" t="s">
        <v>56</v>
      </c>
      <c r="AI2900" s="3"/>
      <c r="AJ2900" s="3"/>
      <c r="AK2900" s="3" t="str">
        <f>HYPERLINK("https://knigipp.ru/api/getInfo/item/55b06a2b-e8f0-11ed-a233-00155d82e902")</f>
        <v>https://knigipp.ru/api/getInfo/item/55b06a2b-e8f0-11ed-a233-00155d82e902</v>
      </c>
      <c r="AL2900" s="3" t="s">
        <v>13143</v>
      </c>
    </row>
    <row r="2901" spans="1:38" ht="21" customHeight="1" outlineLevel="4" x14ac:dyDescent="0.2">
      <c r="A2901" s="39">
        <v>2302</v>
      </c>
      <c r="B2901" s="3" t="s">
        <v>13149</v>
      </c>
      <c r="C2901" s="49" t="s">
        <v>13150</v>
      </c>
      <c r="D2901" s="49"/>
      <c r="E2901" s="49"/>
      <c r="F2901" s="49"/>
      <c r="G2901" s="4" t="s">
        <v>13151</v>
      </c>
      <c r="H2901" s="8"/>
      <c r="I2901" s="9"/>
      <c r="J2901" s="10"/>
      <c r="K2901" s="11">
        <v>40</v>
      </c>
      <c r="L2901" s="10"/>
      <c r="M2901" s="10" t="s">
        <v>47</v>
      </c>
      <c r="N2901" s="10"/>
      <c r="O2901" s="2">
        <v>5</v>
      </c>
      <c r="P2901" s="17">
        <f>117*(1-S3/100)</f>
        <v>117</v>
      </c>
      <c r="Q2901" s="18"/>
      <c r="R2901" s="10">
        <f>P2901*Q2901</f>
        <v>0</v>
      </c>
      <c r="S2901" s="19">
        <f>0.065*Q2901</f>
        <v>0</v>
      </c>
      <c r="T2901" s="30">
        <f>0.0001*Q2901</f>
        <v>0</v>
      </c>
      <c r="U2901" s="21"/>
      <c r="V2901" s="22" t="s">
        <v>13152</v>
      </c>
      <c r="W2901" s="22" t="s">
        <v>49</v>
      </c>
      <c r="X2901" s="3" t="s">
        <v>117</v>
      </c>
      <c r="Y2901" s="3" t="s">
        <v>13153</v>
      </c>
      <c r="Z2901" s="3" t="s">
        <v>52</v>
      </c>
      <c r="AA2901" s="3"/>
      <c r="AB2901" s="3"/>
      <c r="AC2901" s="3" t="str">
        <f>HYPERLINK("https://knigipp.ru/api/getInfo/image/a4bfe266-e8f0-11ed-a233-00155d82e902")</f>
        <v>https://knigipp.ru/api/getInfo/image/a4bfe266-e8f0-11ed-a233-00155d82e902</v>
      </c>
      <c r="AD2901" s="32">
        <v>10</v>
      </c>
      <c r="AE2901" s="3" t="s">
        <v>54</v>
      </c>
      <c r="AF2901" s="3" t="s">
        <v>209</v>
      </c>
      <c r="AG2901" s="3"/>
      <c r="AH2901" s="3" t="s">
        <v>56</v>
      </c>
      <c r="AI2901" s="3"/>
      <c r="AJ2901" s="3"/>
      <c r="AK2901" s="3" t="str">
        <f>HYPERLINK("https://knigipp.ru/api/getInfo/item/a4bfe266-e8f0-11ed-a233-00155d82e902")</f>
        <v>https://knigipp.ru/api/getInfo/item/a4bfe266-e8f0-11ed-a233-00155d82e902</v>
      </c>
      <c r="AL2901" s="3" t="s">
        <v>13143</v>
      </c>
    </row>
    <row r="2902" spans="1:38" ht="21" customHeight="1" outlineLevel="4" x14ac:dyDescent="0.2">
      <c r="A2902" s="39">
        <v>2303</v>
      </c>
      <c r="B2902" s="3" t="s">
        <v>13154</v>
      </c>
      <c r="C2902" s="49" t="s">
        <v>13155</v>
      </c>
      <c r="D2902" s="49"/>
      <c r="E2902" s="49"/>
      <c r="F2902" s="49"/>
      <c r="G2902" s="4" t="s">
        <v>13156</v>
      </c>
      <c r="H2902" s="8"/>
      <c r="I2902" s="9"/>
      <c r="J2902" s="10"/>
      <c r="K2902" s="11">
        <v>40</v>
      </c>
      <c r="L2902" s="10"/>
      <c r="M2902" s="10" t="s">
        <v>47</v>
      </c>
      <c r="N2902" s="10"/>
      <c r="O2902" s="2">
        <v>5</v>
      </c>
      <c r="P2902" s="17">
        <f>117*(1-S3/100)</f>
        <v>117</v>
      </c>
      <c r="Q2902" s="18"/>
      <c r="R2902" s="10">
        <f>P2902*Q2902</f>
        <v>0</v>
      </c>
      <c r="S2902" s="19">
        <f>0.065*Q2902</f>
        <v>0</v>
      </c>
      <c r="T2902" s="20">
        <f>0.00009*Q2902</f>
        <v>0</v>
      </c>
      <c r="U2902" s="21"/>
      <c r="V2902" s="22" t="s">
        <v>13157</v>
      </c>
      <c r="W2902" s="22" t="s">
        <v>49</v>
      </c>
      <c r="X2902" s="3" t="s">
        <v>117</v>
      </c>
      <c r="Y2902" s="3" t="s">
        <v>13158</v>
      </c>
      <c r="Z2902" s="3" t="s">
        <v>52</v>
      </c>
      <c r="AA2902" s="3"/>
      <c r="AB2902" s="3"/>
      <c r="AC2902" s="3" t="str">
        <f>HYPERLINK("https://knigipp.ru/api/getInfo/image/8173c300-e8f0-11ed-a233-00155d82e902")</f>
        <v>https://knigipp.ru/api/getInfo/image/8173c300-e8f0-11ed-a233-00155d82e902</v>
      </c>
      <c r="AD2902" s="32">
        <v>10</v>
      </c>
      <c r="AE2902" s="3" t="s">
        <v>54</v>
      </c>
      <c r="AF2902" s="3" t="s">
        <v>209</v>
      </c>
      <c r="AG2902" s="3"/>
      <c r="AH2902" s="3" t="s">
        <v>56</v>
      </c>
      <c r="AI2902" s="3"/>
      <c r="AJ2902" s="3"/>
      <c r="AK2902" s="3" t="str">
        <f>HYPERLINK("https://knigipp.ru/api/getInfo/item/8173c300-e8f0-11ed-a233-00155d82e902")</f>
        <v>https://knigipp.ru/api/getInfo/item/8173c300-e8f0-11ed-a233-00155d82e902</v>
      </c>
      <c r="AL2902" s="3" t="s">
        <v>13143</v>
      </c>
    </row>
    <row r="2903" spans="1:38" ht="23.1" customHeight="1" outlineLevel="3" x14ac:dyDescent="0.2">
      <c r="A2903" s="48" t="s">
        <v>13159</v>
      </c>
      <c r="B2903" s="48"/>
      <c r="C2903" s="48"/>
      <c r="D2903" s="48"/>
      <c r="E2903" s="48"/>
      <c r="F2903" s="48"/>
    </row>
    <row r="2904" spans="1:38" ht="21" customHeight="1" outlineLevel="4" x14ac:dyDescent="0.2">
      <c r="A2904" s="39">
        <v>2304</v>
      </c>
      <c r="B2904" s="3" t="s">
        <v>13160</v>
      </c>
      <c r="C2904" s="49" t="s">
        <v>13161</v>
      </c>
      <c r="D2904" s="49"/>
      <c r="E2904" s="49"/>
      <c r="F2904" s="49"/>
      <c r="G2904" s="4" t="s">
        <v>13162</v>
      </c>
      <c r="H2904" s="8"/>
      <c r="I2904" s="9"/>
      <c r="J2904" s="10"/>
      <c r="K2904" s="11">
        <v>40</v>
      </c>
      <c r="L2904" s="10"/>
      <c r="M2904" s="10" t="s">
        <v>47</v>
      </c>
      <c r="N2904" s="10"/>
      <c r="O2904" s="2">
        <v>10</v>
      </c>
      <c r="P2904" s="17">
        <f>97*(1-S3/100)</f>
        <v>97</v>
      </c>
      <c r="Q2904" s="18"/>
      <c r="R2904" s="10">
        <f t="shared" ref="R2904:R2915" si="126">P2904*Q2904</f>
        <v>0</v>
      </c>
      <c r="S2904" s="19">
        <f>0.064*Q2904</f>
        <v>0</v>
      </c>
      <c r="T2904" s="20">
        <f>0.00009*Q2904</f>
        <v>0</v>
      </c>
      <c r="U2904" s="21"/>
      <c r="V2904" s="22" t="s">
        <v>13163</v>
      </c>
      <c r="W2904" s="22" t="s">
        <v>49</v>
      </c>
      <c r="X2904" s="3"/>
      <c r="Y2904" s="3" t="s">
        <v>13164</v>
      </c>
      <c r="Z2904" s="3" t="s">
        <v>52</v>
      </c>
      <c r="AA2904" s="3"/>
      <c r="AB2904" s="3"/>
      <c r="AC2904" s="3" t="str">
        <f>HYPERLINK("https://knigipp.ru/api/getInfo/image/2cf38db8-ae54-11ef-a267-00155d82e908")</f>
        <v>https://knigipp.ru/api/getInfo/image/2cf38db8-ae54-11ef-a267-00155d82e908</v>
      </c>
      <c r="AD2904" s="32">
        <v>10</v>
      </c>
      <c r="AE2904" s="3" t="s">
        <v>54</v>
      </c>
      <c r="AF2904" s="3" t="s">
        <v>209</v>
      </c>
      <c r="AG2904" s="3"/>
      <c r="AH2904" s="3" t="s">
        <v>56</v>
      </c>
      <c r="AI2904" s="3"/>
      <c r="AJ2904" s="3"/>
      <c r="AK2904" s="3" t="str">
        <f>HYPERLINK("https://knigipp.ru/api/getInfo/item/2cf38db8-ae54-11ef-a267-00155d82e908")</f>
        <v>https://knigipp.ru/api/getInfo/item/2cf38db8-ae54-11ef-a267-00155d82e908</v>
      </c>
      <c r="AL2904" s="3" t="s">
        <v>13143</v>
      </c>
    </row>
    <row r="2905" spans="1:38" ht="21" customHeight="1" outlineLevel="4" x14ac:dyDescent="0.2">
      <c r="A2905" s="39">
        <v>2305</v>
      </c>
      <c r="B2905" s="3" t="s">
        <v>13165</v>
      </c>
      <c r="C2905" s="49" t="s">
        <v>13166</v>
      </c>
      <c r="D2905" s="49"/>
      <c r="E2905" s="49"/>
      <c r="F2905" s="49"/>
      <c r="G2905" s="4" t="s">
        <v>13167</v>
      </c>
      <c r="H2905" s="8"/>
      <c r="I2905" s="9"/>
      <c r="J2905" s="10"/>
      <c r="K2905" s="11">
        <v>40</v>
      </c>
      <c r="L2905" s="10"/>
      <c r="M2905" s="10" t="s">
        <v>47</v>
      </c>
      <c r="N2905" s="10"/>
      <c r="O2905" s="2">
        <v>10</v>
      </c>
      <c r="P2905" s="17">
        <f>97*(1-S3/100)</f>
        <v>97</v>
      </c>
      <c r="Q2905" s="18"/>
      <c r="R2905" s="10">
        <f t="shared" si="126"/>
        <v>0</v>
      </c>
      <c r="S2905" s="19">
        <f>0.064*Q2905</f>
        <v>0</v>
      </c>
      <c r="T2905" s="20">
        <f>0.00009*Q2905</f>
        <v>0</v>
      </c>
      <c r="U2905" s="21"/>
      <c r="V2905" s="22" t="s">
        <v>13168</v>
      </c>
      <c r="W2905" s="22" t="s">
        <v>49</v>
      </c>
      <c r="X2905" s="3"/>
      <c r="Y2905" s="3" t="s">
        <v>13169</v>
      </c>
      <c r="Z2905" s="3" t="s">
        <v>52</v>
      </c>
      <c r="AA2905" s="3"/>
      <c r="AB2905" s="3"/>
      <c r="AC2905" s="3" t="str">
        <f>HYPERLINK("https://knigipp.ru/api/getInfo/image/5b475ef0-ae54-11ef-a267-00155d82e908")</f>
        <v>https://knigipp.ru/api/getInfo/image/5b475ef0-ae54-11ef-a267-00155d82e908</v>
      </c>
      <c r="AD2905" s="32">
        <v>10</v>
      </c>
      <c r="AE2905" s="3" t="s">
        <v>54</v>
      </c>
      <c r="AF2905" s="3" t="s">
        <v>209</v>
      </c>
      <c r="AG2905" s="3"/>
      <c r="AH2905" s="3" t="s">
        <v>56</v>
      </c>
      <c r="AI2905" s="3"/>
      <c r="AJ2905" s="3"/>
      <c r="AK2905" s="3" t="str">
        <f>HYPERLINK("https://knigipp.ru/api/getInfo/item/5b475ef0-ae54-11ef-a267-00155d82e908")</f>
        <v>https://knigipp.ru/api/getInfo/item/5b475ef0-ae54-11ef-a267-00155d82e908</v>
      </c>
      <c r="AL2905" s="3" t="s">
        <v>13143</v>
      </c>
    </row>
    <row r="2906" spans="1:38" ht="21" customHeight="1" outlineLevel="4" x14ac:dyDescent="0.2">
      <c r="A2906" s="39">
        <v>2306</v>
      </c>
      <c r="B2906" s="3" t="s">
        <v>13170</v>
      </c>
      <c r="C2906" s="49" t="s">
        <v>13171</v>
      </c>
      <c r="D2906" s="49"/>
      <c r="E2906" s="49"/>
      <c r="F2906" s="49"/>
      <c r="G2906" s="4" t="s">
        <v>13172</v>
      </c>
      <c r="H2906" s="8"/>
      <c r="I2906" s="9"/>
      <c r="J2906" s="10"/>
      <c r="K2906" s="11">
        <v>40</v>
      </c>
      <c r="L2906" s="10"/>
      <c r="M2906" s="10" t="s">
        <v>47</v>
      </c>
      <c r="N2906" s="10"/>
      <c r="O2906" s="2">
        <v>10</v>
      </c>
      <c r="P2906" s="17">
        <f>97*(1-S3/100)</f>
        <v>97</v>
      </c>
      <c r="Q2906" s="18"/>
      <c r="R2906" s="10">
        <f t="shared" si="126"/>
        <v>0</v>
      </c>
      <c r="S2906" s="19">
        <f>0.067*Q2906</f>
        <v>0</v>
      </c>
      <c r="T2906" s="20">
        <f>0.00018*Q2906</f>
        <v>0</v>
      </c>
      <c r="U2906" s="21"/>
      <c r="V2906" s="22" t="s">
        <v>13173</v>
      </c>
      <c r="W2906" s="22" t="s">
        <v>49</v>
      </c>
      <c r="X2906" s="3"/>
      <c r="Y2906" s="3" t="s">
        <v>13174</v>
      </c>
      <c r="Z2906" s="3" t="s">
        <v>52</v>
      </c>
      <c r="AA2906" s="3"/>
      <c r="AB2906" s="3"/>
      <c r="AC2906" s="3" t="str">
        <f>HYPERLINK("https://knigipp.ru/api/getInfo/image/8a3b8f28-ae54-11ef-a267-00155d82e908")</f>
        <v>https://knigipp.ru/api/getInfo/image/8a3b8f28-ae54-11ef-a267-00155d82e908</v>
      </c>
      <c r="AD2906" s="32">
        <v>10</v>
      </c>
      <c r="AE2906" s="3" t="s">
        <v>54</v>
      </c>
      <c r="AF2906" s="3" t="s">
        <v>209</v>
      </c>
      <c r="AG2906" s="3"/>
      <c r="AH2906" s="3" t="s">
        <v>56</v>
      </c>
      <c r="AI2906" s="3"/>
      <c r="AJ2906" s="3"/>
      <c r="AK2906" s="3" t="str">
        <f>HYPERLINK("https://knigipp.ru/api/getInfo/item/8a3b8f28-ae54-11ef-a267-00155d82e908")</f>
        <v>https://knigipp.ru/api/getInfo/item/8a3b8f28-ae54-11ef-a267-00155d82e908</v>
      </c>
      <c r="AL2906" s="3" t="s">
        <v>13143</v>
      </c>
    </row>
    <row r="2907" spans="1:38" ht="21" customHeight="1" outlineLevel="4" x14ac:dyDescent="0.2">
      <c r="A2907" s="39">
        <v>2307</v>
      </c>
      <c r="B2907" s="3" t="s">
        <v>13175</v>
      </c>
      <c r="C2907" s="49" t="s">
        <v>13176</v>
      </c>
      <c r="D2907" s="49"/>
      <c r="E2907" s="49"/>
      <c r="F2907" s="49"/>
      <c r="G2907" s="4" t="s">
        <v>13177</v>
      </c>
      <c r="H2907" s="8"/>
      <c r="I2907" s="9"/>
      <c r="J2907" s="10"/>
      <c r="K2907" s="11">
        <v>40</v>
      </c>
      <c r="L2907" s="10"/>
      <c r="M2907" s="10" t="s">
        <v>47</v>
      </c>
      <c r="N2907" s="10"/>
      <c r="O2907" s="2">
        <v>10</v>
      </c>
      <c r="P2907" s="17">
        <f>97*(1-S3/100)</f>
        <v>97</v>
      </c>
      <c r="Q2907" s="18"/>
      <c r="R2907" s="10">
        <f t="shared" si="126"/>
        <v>0</v>
      </c>
      <c r="S2907" s="19">
        <f>0.068*Q2907</f>
        <v>0</v>
      </c>
      <c r="T2907" s="20">
        <f>0.00011*Q2907</f>
        <v>0</v>
      </c>
      <c r="U2907" s="21"/>
      <c r="V2907" s="22" t="s">
        <v>13178</v>
      </c>
      <c r="W2907" s="22" t="s">
        <v>49</v>
      </c>
      <c r="X2907" s="3"/>
      <c r="Y2907" s="3" t="s">
        <v>13179</v>
      </c>
      <c r="Z2907" s="3" t="s">
        <v>52</v>
      </c>
      <c r="AA2907" s="3"/>
      <c r="AB2907" s="3"/>
      <c r="AC2907" s="3" t="str">
        <f>HYPERLINK("https://knigipp.ru/api/getInfo/image/b0c8b3ba-ae54-11ef-a267-00155d82e908")</f>
        <v>https://knigipp.ru/api/getInfo/image/b0c8b3ba-ae54-11ef-a267-00155d82e908</v>
      </c>
      <c r="AD2907" s="32">
        <v>10</v>
      </c>
      <c r="AE2907" s="3" t="s">
        <v>54</v>
      </c>
      <c r="AF2907" s="3" t="s">
        <v>209</v>
      </c>
      <c r="AG2907" s="3"/>
      <c r="AH2907" s="3" t="s">
        <v>56</v>
      </c>
      <c r="AI2907" s="3"/>
      <c r="AJ2907" s="3"/>
      <c r="AK2907" s="3" t="str">
        <f>HYPERLINK("https://knigipp.ru/api/getInfo/item/b0c8b3ba-ae54-11ef-a267-00155d82e908")</f>
        <v>https://knigipp.ru/api/getInfo/item/b0c8b3ba-ae54-11ef-a267-00155d82e908</v>
      </c>
      <c r="AL2907" s="3" t="s">
        <v>13143</v>
      </c>
    </row>
    <row r="2908" spans="1:38" ht="21" customHeight="1" outlineLevel="4" x14ac:dyDescent="0.2">
      <c r="A2908" s="39">
        <v>2308</v>
      </c>
      <c r="B2908" s="3" t="s">
        <v>13180</v>
      </c>
      <c r="C2908" s="49" t="s">
        <v>13181</v>
      </c>
      <c r="D2908" s="49"/>
      <c r="E2908" s="49"/>
      <c r="F2908" s="49"/>
      <c r="G2908" s="4" t="s">
        <v>13182</v>
      </c>
      <c r="H2908" s="8"/>
      <c r="I2908" s="9"/>
      <c r="J2908" s="10"/>
      <c r="K2908" s="11">
        <v>40</v>
      </c>
      <c r="L2908" s="10"/>
      <c r="M2908" s="10" t="s">
        <v>47</v>
      </c>
      <c r="N2908" s="10"/>
      <c r="O2908" s="2">
        <v>10</v>
      </c>
      <c r="P2908" s="17">
        <f>97*(1-S3/100)</f>
        <v>97</v>
      </c>
      <c r="Q2908" s="18"/>
      <c r="R2908" s="10">
        <f t="shared" si="126"/>
        <v>0</v>
      </c>
      <c r="S2908" s="19">
        <f>0.068*Q2908</f>
        <v>0</v>
      </c>
      <c r="T2908" s="20">
        <f>0.00011*Q2908</f>
        <v>0</v>
      </c>
      <c r="U2908" s="21"/>
      <c r="V2908" s="22" t="s">
        <v>13183</v>
      </c>
      <c r="W2908" s="22" t="s">
        <v>49</v>
      </c>
      <c r="X2908" s="3"/>
      <c r="Y2908" s="3" t="s">
        <v>13184</v>
      </c>
      <c r="Z2908" s="3" t="s">
        <v>52</v>
      </c>
      <c r="AA2908" s="3"/>
      <c r="AB2908" s="3"/>
      <c r="AC2908" s="3" t="str">
        <f>HYPERLINK("https://knigipp.ru/api/getInfo/image/ed833828-ae54-11ef-a267-00155d82e908")</f>
        <v>https://knigipp.ru/api/getInfo/image/ed833828-ae54-11ef-a267-00155d82e908</v>
      </c>
      <c r="AD2908" s="32">
        <v>10</v>
      </c>
      <c r="AE2908" s="3" t="s">
        <v>54</v>
      </c>
      <c r="AF2908" s="3" t="s">
        <v>209</v>
      </c>
      <c r="AG2908" s="3"/>
      <c r="AH2908" s="3" t="s">
        <v>56</v>
      </c>
      <c r="AI2908" s="3"/>
      <c r="AJ2908" s="3"/>
      <c r="AK2908" s="3" t="str">
        <f>HYPERLINK("https://knigipp.ru/api/getInfo/item/ed833828-ae54-11ef-a267-00155d82e908")</f>
        <v>https://knigipp.ru/api/getInfo/item/ed833828-ae54-11ef-a267-00155d82e908</v>
      </c>
      <c r="AL2908" s="3" t="s">
        <v>13143</v>
      </c>
    </row>
    <row r="2909" spans="1:38" ht="21" customHeight="1" outlineLevel="4" x14ac:dyDescent="0.2">
      <c r="A2909" s="39">
        <v>2309</v>
      </c>
      <c r="B2909" s="3" t="s">
        <v>13185</v>
      </c>
      <c r="C2909" s="49" t="s">
        <v>13186</v>
      </c>
      <c r="D2909" s="49"/>
      <c r="E2909" s="49"/>
      <c r="F2909" s="49"/>
      <c r="G2909" s="4" t="s">
        <v>13187</v>
      </c>
      <c r="H2909" s="8"/>
      <c r="I2909" s="9"/>
      <c r="J2909" s="10"/>
      <c r="K2909" s="11">
        <v>40</v>
      </c>
      <c r="L2909" s="10"/>
      <c r="M2909" s="10" t="s">
        <v>47</v>
      </c>
      <c r="N2909" s="10"/>
      <c r="O2909" s="2">
        <v>10</v>
      </c>
      <c r="P2909" s="17">
        <f>97*(1-S3/100)</f>
        <v>97</v>
      </c>
      <c r="Q2909" s="18"/>
      <c r="R2909" s="10">
        <f t="shared" si="126"/>
        <v>0</v>
      </c>
      <c r="S2909" s="19">
        <f>0.068*Q2909</f>
        <v>0</v>
      </c>
      <c r="T2909" s="20">
        <f>0.00011*Q2909</f>
        <v>0</v>
      </c>
      <c r="U2909" s="21"/>
      <c r="V2909" s="22" t="s">
        <v>13188</v>
      </c>
      <c r="W2909" s="22" t="s">
        <v>49</v>
      </c>
      <c r="X2909" s="3"/>
      <c r="Y2909" s="3" t="s">
        <v>13189</v>
      </c>
      <c r="Z2909" s="3" t="s">
        <v>52</v>
      </c>
      <c r="AA2909" s="3"/>
      <c r="AB2909" s="3"/>
      <c r="AC2909" s="3" t="str">
        <f>HYPERLINK("https://knigipp.ru/api/getInfo/image/1af81eef-ae55-11ef-a267-00155d82e908")</f>
        <v>https://knigipp.ru/api/getInfo/image/1af81eef-ae55-11ef-a267-00155d82e908</v>
      </c>
      <c r="AD2909" s="32">
        <v>10</v>
      </c>
      <c r="AE2909" s="3" t="s">
        <v>54</v>
      </c>
      <c r="AF2909" s="3" t="s">
        <v>209</v>
      </c>
      <c r="AG2909" s="3"/>
      <c r="AH2909" s="3" t="s">
        <v>56</v>
      </c>
      <c r="AI2909" s="3"/>
      <c r="AJ2909" s="3"/>
      <c r="AK2909" s="3" t="str">
        <f>HYPERLINK("https://knigipp.ru/api/getInfo/item/1af81eef-ae55-11ef-a267-00155d82e908")</f>
        <v>https://knigipp.ru/api/getInfo/item/1af81eef-ae55-11ef-a267-00155d82e908</v>
      </c>
      <c r="AL2909" s="3" t="s">
        <v>13143</v>
      </c>
    </row>
    <row r="2910" spans="1:38" ht="21" customHeight="1" outlineLevel="4" x14ac:dyDescent="0.2">
      <c r="A2910" s="39">
        <v>2310</v>
      </c>
      <c r="B2910" s="3" t="s">
        <v>13190</v>
      </c>
      <c r="C2910" s="49" t="s">
        <v>13191</v>
      </c>
      <c r="D2910" s="49"/>
      <c r="E2910" s="49"/>
      <c r="F2910" s="49"/>
      <c r="G2910" s="4" t="s">
        <v>13192</v>
      </c>
      <c r="H2910" s="8"/>
      <c r="I2910" s="9"/>
      <c r="J2910" s="10"/>
      <c r="K2910" s="11">
        <v>40</v>
      </c>
      <c r="L2910" s="10"/>
      <c r="M2910" s="10" t="s">
        <v>47</v>
      </c>
      <c r="N2910" s="10"/>
      <c r="O2910" s="2">
        <v>10</v>
      </c>
      <c r="P2910" s="17">
        <f>97*(1-S3/100)</f>
        <v>97</v>
      </c>
      <c r="Q2910" s="18"/>
      <c r="R2910" s="10">
        <f t="shared" si="126"/>
        <v>0</v>
      </c>
      <c r="S2910" s="19">
        <f>0.064*Q2910</f>
        <v>0</v>
      </c>
      <c r="T2910" s="20">
        <f>0.00009*Q2910</f>
        <v>0</v>
      </c>
      <c r="U2910" s="21"/>
      <c r="V2910" s="22" t="s">
        <v>13193</v>
      </c>
      <c r="W2910" s="22" t="s">
        <v>49</v>
      </c>
      <c r="X2910" s="3"/>
      <c r="Y2910" s="3" t="s">
        <v>13194</v>
      </c>
      <c r="Z2910" s="3" t="s">
        <v>52</v>
      </c>
      <c r="AA2910" s="3"/>
      <c r="AB2910" s="3"/>
      <c r="AC2910" s="3" t="str">
        <f>HYPERLINK("https://knigipp.ru/api/getInfo/image/4301aacf-ae55-11ef-a267-00155d82e908")</f>
        <v>https://knigipp.ru/api/getInfo/image/4301aacf-ae55-11ef-a267-00155d82e908</v>
      </c>
      <c r="AD2910" s="32">
        <v>10</v>
      </c>
      <c r="AE2910" s="3" t="s">
        <v>54</v>
      </c>
      <c r="AF2910" s="3" t="s">
        <v>209</v>
      </c>
      <c r="AG2910" s="3"/>
      <c r="AH2910" s="3" t="s">
        <v>56</v>
      </c>
      <c r="AI2910" s="3"/>
      <c r="AJ2910" s="3"/>
      <c r="AK2910" s="3" t="str">
        <f>HYPERLINK("https://knigipp.ru/api/getInfo/item/4301aacf-ae55-11ef-a267-00155d82e908")</f>
        <v>https://knigipp.ru/api/getInfo/item/4301aacf-ae55-11ef-a267-00155d82e908</v>
      </c>
      <c r="AL2910" s="3" t="s">
        <v>13143</v>
      </c>
    </row>
    <row r="2911" spans="1:38" ht="21" customHeight="1" outlineLevel="4" x14ac:dyDescent="0.2">
      <c r="A2911" s="39">
        <v>2311</v>
      </c>
      <c r="B2911" s="3" t="s">
        <v>13195</v>
      </c>
      <c r="C2911" s="49" t="s">
        <v>13196</v>
      </c>
      <c r="D2911" s="49"/>
      <c r="E2911" s="49"/>
      <c r="F2911" s="49"/>
      <c r="G2911" s="4" t="s">
        <v>13197</v>
      </c>
      <c r="H2911" s="8"/>
      <c r="I2911" s="9"/>
      <c r="J2911" s="10"/>
      <c r="K2911" s="11">
        <v>40</v>
      </c>
      <c r="L2911" s="10"/>
      <c r="M2911" s="10" t="s">
        <v>47</v>
      </c>
      <c r="N2911" s="10"/>
      <c r="O2911" s="2">
        <v>10</v>
      </c>
      <c r="P2911" s="17">
        <f>97*(1-S3/100)</f>
        <v>97</v>
      </c>
      <c r="Q2911" s="18"/>
      <c r="R2911" s="10">
        <f t="shared" si="126"/>
        <v>0</v>
      </c>
      <c r="S2911" s="19">
        <f>0.064*Q2911</f>
        <v>0</v>
      </c>
      <c r="T2911" s="20">
        <f>0.00009*Q2911</f>
        <v>0</v>
      </c>
      <c r="U2911" s="21"/>
      <c r="V2911" s="22" t="s">
        <v>13198</v>
      </c>
      <c r="W2911" s="22" t="s">
        <v>49</v>
      </c>
      <c r="X2911" s="3"/>
      <c r="Y2911" s="3" t="s">
        <v>13199</v>
      </c>
      <c r="Z2911" s="3" t="s">
        <v>52</v>
      </c>
      <c r="AA2911" s="3"/>
      <c r="AB2911" s="3"/>
      <c r="AC2911" s="3" t="str">
        <f>HYPERLINK("https://knigipp.ru/api/getInfo/image/66f4745c-ae55-11ef-a267-00155d82e908")</f>
        <v>https://knigipp.ru/api/getInfo/image/66f4745c-ae55-11ef-a267-00155d82e908</v>
      </c>
      <c r="AD2911" s="32">
        <v>10</v>
      </c>
      <c r="AE2911" s="3" t="s">
        <v>54</v>
      </c>
      <c r="AF2911" s="3" t="s">
        <v>209</v>
      </c>
      <c r="AG2911" s="3"/>
      <c r="AH2911" s="3" t="s">
        <v>56</v>
      </c>
      <c r="AI2911" s="3"/>
      <c r="AJ2911" s="3"/>
      <c r="AK2911" s="3" t="str">
        <f>HYPERLINK("https://knigipp.ru/api/getInfo/item/66f4745c-ae55-11ef-a267-00155d82e908")</f>
        <v>https://knigipp.ru/api/getInfo/item/66f4745c-ae55-11ef-a267-00155d82e908</v>
      </c>
      <c r="AL2911" s="3" t="s">
        <v>13143</v>
      </c>
    </row>
    <row r="2912" spans="1:38" ht="21" customHeight="1" outlineLevel="4" x14ac:dyDescent="0.2">
      <c r="A2912" s="39">
        <v>2312</v>
      </c>
      <c r="B2912" s="3" t="s">
        <v>13200</v>
      </c>
      <c r="C2912" s="49" t="s">
        <v>13201</v>
      </c>
      <c r="D2912" s="49"/>
      <c r="E2912" s="49"/>
      <c r="F2912" s="49"/>
      <c r="G2912" s="4" t="s">
        <v>13202</v>
      </c>
      <c r="H2912" s="8"/>
      <c r="I2912" s="9"/>
      <c r="J2912" s="10"/>
      <c r="K2912" s="11">
        <v>40</v>
      </c>
      <c r="L2912" s="10"/>
      <c r="M2912" s="10" t="s">
        <v>47</v>
      </c>
      <c r="N2912" s="10"/>
      <c r="O2912" s="2">
        <v>10</v>
      </c>
      <c r="P2912" s="17">
        <f>97*(1-S3/100)</f>
        <v>97</v>
      </c>
      <c r="Q2912" s="18"/>
      <c r="R2912" s="10">
        <f t="shared" si="126"/>
        <v>0</v>
      </c>
      <c r="S2912" s="19">
        <f>0.068*Q2912</f>
        <v>0</v>
      </c>
      <c r="T2912" s="20">
        <f>0.00011*Q2912</f>
        <v>0</v>
      </c>
      <c r="U2912" s="21"/>
      <c r="V2912" s="22" t="s">
        <v>13203</v>
      </c>
      <c r="W2912" s="22" t="s">
        <v>49</v>
      </c>
      <c r="X2912" s="3"/>
      <c r="Y2912" s="3" t="s">
        <v>13204</v>
      </c>
      <c r="Z2912" s="3" t="s">
        <v>52</v>
      </c>
      <c r="AA2912" s="3"/>
      <c r="AB2912" s="3"/>
      <c r="AC2912" s="3" t="str">
        <f>HYPERLINK("https://knigipp.ru/api/getInfo/image/8cf8b999-ae55-11ef-a267-00155d82e908")</f>
        <v>https://knigipp.ru/api/getInfo/image/8cf8b999-ae55-11ef-a267-00155d82e908</v>
      </c>
      <c r="AD2912" s="32">
        <v>10</v>
      </c>
      <c r="AE2912" s="3" t="s">
        <v>54</v>
      </c>
      <c r="AF2912" s="3" t="s">
        <v>209</v>
      </c>
      <c r="AG2912" s="3"/>
      <c r="AH2912" s="3" t="s">
        <v>56</v>
      </c>
      <c r="AI2912" s="3"/>
      <c r="AJ2912" s="3"/>
      <c r="AK2912" s="3" t="str">
        <f>HYPERLINK("https://knigipp.ru/api/getInfo/item/8cf8b999-ae55-11ef-a267-00155d82e908")</f>
        <v>https://knigipp.ru/api/getInfo/item/8cf8b999-ae55-11ef-a267-00155d82e908</v>
      </c>
      <c r="AL2912" s="3" t="s">
        <v>13143</v>
      </c>
    </row>
    <row r="2913" spans="1:38" ht="21" customHeight="1" outlineLevel="4" x14ac:dyDescent="0.2">
      <c r="A2913" s="39">
        <v>2313</v>
      </c>
      <c r="B2913" s="3" t="s">
        <v>13205</v>
      </c>
      <c r="C2913" s="49" t="s">
        <v>13206</v>
      </c>
      <c r="D2913" s="49"/>
      <c r="E2913" s="49"/>
      <c r="F2913" s="49"/>
      <c r="G2913" s="4" t="s">
        <v>13207</v>
      </c>
      <c r="H2913" s="8"/>
      <c r="I2913" s="9"/>
      <c r="J2913" s="10"/>
      <c r="K2913" s="11">
        <v>40</v>
      </c>
      <c r="L2913" s="10"/>
      <c r="M2913" s="10" t="s">
        <v>47</v>
      </c>
      <c r="N2913" s="10"/>
      <c r="O2913" s="2">
        <v>10</v>
      </c>
      <c r="P2913" s="17">
        <f>97*(1-S3/100)</f>
        <v>97</v>
      </c>
      <c r="Q2913" s="18"/>
      <c r="R2913" s="10">
        <f t="shared" si="126"/>
        <v>0</v>
      </c>
      <c r="S2913" s="19">
        <f>0.064*Q2913</f>
        <v>0</v>
      </c>
      <c r="T2913" s="20">
        <f>0.00009*Q2913</f>
        <v>0</v>
      </c>
      <c r="U2913" s="21"/>
      <c r="V2913" s="22" t="s">
        <v>13208</v>
      </c>
      <c r="W2913" s="22" t="s">
        <v>49</v>
      </c>
      <c r="X2913" s="3"/>
      <c r="Y2913" s="3" t="s">
        <v>13209</v>
      </c>
      <c r="Z2913" s="3" t="s">
        <v>52</v>
      </c>
      <c r="AA2913" s="3"/>
      <c r="AB2913" s="3"/>
      <c r="AC2913" s="3" t="str">
        <f>HYPERLINK("https://knigipp.ru/api/getInfo/image/b0ce5e75-ae55-11ef-a267-00155d82e908")</f>
        <v>https://knigipp.ru/api/getInfo/image/b0ce5e75-ae55-11ef-a267-00155d82e908</v>
      </c>
      <c r="AD2913" s="32">
        <v>10</v>
      </c>
      <c r="AE2913" s="3" t="s">
        <v>54</v>
      </c>
      <c r="AF2913" s="3" t="s">
        <v>209</v>
      </c>
      <c r="AG2913" s="3"/>
      <c r="AH2913" s="3" t="s">
        <v>56</v>
      </c>
      <c r="AI2913" s="3"/>
      <c r="AJ2913" s="3"/>
      <c r="AK2913" s="3" t="str">
        <f>HYPERLINK("https://knigipp.ru/api/getInfo/item/b0ce5e75-ae55-11ef-a267-00155d82e908")</f>
        <v>https://knigipp.ru/api/getInfo/item/b0ce5e75-ae55-11ef-a267-00155d82e908</v>
      </c>
      <c r="AL2913" s="3" t="s">
        <v>13143</v>
      </c>
    </row>
    <row r="2914" spans="1:38" ht="21" customHeight="1" outlineLevel="4" x14ac:dyDescent="0.2">
      <c r="A2914" s="39">
        <v>2314</v>
      </c>
      <c r="B2914" s="3" t="s">
        <v>13210</v>
      </c>
      <c r="C2914" s="49" t="s">
        <v>13211</v>
      </c>
      <c r="D2914" s="49"/>
      <c r="E2914" s="49"/>
      <c r="F2914" s="49"/>
      <c r="G2914" s="4" t="s">
        <v>13212</v>
      </c>
      <c r="H2914" s="8"/>
      <c r="I2914" s="9"/>
      <c r="J2914" s="10"/>
      <c r="K2914" s="11">
        <v>40</v>
      </c>
      <c r="L2914" s="10"/>
      <c r="M2914" s="10" t="s">
        <v>47</v>
      </c>
      <c r="N2914" s="10"/>
      <c r="O2914" s="2">
        <v>10</v>
      </c>
      <c r="P2914" s="17">
        <f>97*(1-S3/100)</f>
        <v>97</v>
      </c>
      <c r="Q2914" s="18"/>
      <c r="R2914" s="10">
        <f t="shared" si="126"/>
        <v>0</v>
      </c>
      <c r="S2914" s="19">
        <f>0.064*Q2914</f>
        <v>0</v>
      </c>
      <c r="T2914" s="20">
        <f>0.00009*Q2914</f>
        <v>0</v>
      </c>
      <c r="U2914" s="21"/>
      <c r="V2914" s="22" t="s">
        <v>13213</v>
      </c>
      <c r="W2914" s="22" t="s">
        <v>49</v>
      </c>
      <c r="X2914" s="3"/>
      <c r="Y2914" s="3" t="s">
        <v>13214</v>
      </c>
      <c r="Z2914" s="3" t="s">
        <v>52</v>
      </c>
      <c r="AA2914" s="3"/>
      <c r="AB2914" s="3"/>
      <c r="AC2914" s="3" t="str">
        <f>HYPERLINK("https://knigipp.ru/api/getInfo/image/e12af8c6-ae55-11ef-a267-00155d82e908")</f>
        <v>https://knigipp.ru/api/getInfo/image/e12af8c6-ae55-11ef-a267-00155d82e908</v>
      </c>
      <c r="AD2914" s="32">
        <v>10</v>
      </c>
      <c r="AE2914" s="3" t="s">
        <v>54</v>
      </c>
      <c r="AF2914" s="3" t="s">
        <v>209</v>
      </c>
      <c r="AG2914" s="3"/>
      <c r="AH2914" s="3" t="s">
        <v>56</v>
      </c>
      <c r="AI2914" s="3"/>
      <c r="AJ2914" s="3"/>
      <c r="AK2914" s="3" t="str">
        <f>HYPERLINK("https://knigipp.ru/api/getInfo/item/e12af8c6-ae55-11ef-a267-00155d82e908")</f>
        <v>https://knigipp.ru/api/getInfo/item/e12af8c6-ae55-11ef-a267-00155d82e908</v>
      </c>
      <c r="AL2914" s="3" t="s">
        <v>13143</v>
      </c>
    </row>
    <row r="2915" spans="1:38" ht="21" customHeight="1" outlineLevel="4" x14ac:dyDescent="0.2">
      <c r="A2915" s="39">
        <v>2315</v>
      </c>
      <c r="B2915" s="3" t="s">
        <v>13215</v>
      </c>
      <c r="C2915" s="49" t="s">
        <v>13216</v>
      </c>
      <c r="D2915" s="49"/>
      <c r="E2915" s="49"/>
      <c r="F2915" s="49"/>
      <c r="G2915" s="4" t="s">
        <v>13217</v>
      </c>
      <c r="H2915" s="8"/>
      <c r="I2915" s="9"/>
      <c r="J2915" s="10"/>
      <c r="K2915" s="11">
        <v>40</v>
      </c>
      <c r="L2915" s="10"/>
      <c r="M2915" s="10" t="s">
        <v>47</v>
      </c>
      <c r="N2915" s="10"/>
      <c r="O2915" s="2">
        <v>10</v>
      </c>
      <c r="P2915" s="17">
        <f>97*(1-S3/100)</f>
        <v>97</v>
      </c>
      <c r="Q2915" s="18"/>
      <c r="R2915" s="10">
        <f t="shared" si="126"/>
        <v>0</v>
      </c>
      <c r="S2915" s="19">
        <f>0.068*Q2915</f>
        <v>0</v>
      </c>
      <c r="T2915" s="20">
        <f>0.00011*Q2915</f>
        <v>0</v>
      </c>
      <c r="U2915" s="21"/>
      <c r="V2915" s="22" t="s">
        <v>13218</v>
      </c>
      <c r="W2915" s="22" t="s">
        <v>49</v>
      </c>
      <c r="X2915" s="3"/>
      <c r="Y2915" s="3" t="s">
        <v>13219</v>
      </c>
      <c r="Z2915" s="3" t="s">
        <v>52</v>
      </c>
      <c r="AA2915" s="3"/>
      <c r="AB2915" s="3"/>
      <c r="AC2915" s="3" t="str">
        <f>HYPERLINK("https://knigipp.ru/api/getInfo/image/0fb85094-ae56-11ef-a267-00155d82e908")</f>
        <v>https://knigipp.ru/api/getInfo/image/0fb85094-ae56-11ef-a267-00155d82e908</v>
      </c>
      <c r="AD2915" s="32">
        <v>10</v>
      </c>
      <c r="AE2915" s="3" t="s">
        <v>54</v>
      </c>
      <c r="AF2915" s="3" t="s">
        <v>209</v>
      </c>
      <c r="AG2915" s="3"/>
      <c r="AH2915" s="3" t="s">
        <v>56</v>
      </c>
      <c r="AI2915" s="3"/>
      <c r="AJ2915" s="3"/>
      <c r="AK2915" s="3" t="str">
        <f>HYPERLINK("https://knigipp.ru/api/getInfo/item/0fb85094-ae56-11ef-a267-00155d82e908")</f>
        <v>https://knigipp.ru/api/getInfo/item/0fb85094-ae56-11ef-a267-00155d82e908</v>
      </c>
      <c r="AL2915" s="3" t="s">
        <v>13143</v>
      </c>
    </row>
    <row r="2916" spans="1:38" ht="23.1" customHeight="1" outlineLevel="3" x14ac:dyDescent="0.2">
      <c r="A2916" s="48" t="s">
        <v>13220</v>
      </c>
      <c r="B2916" s="48"/>
      <c r="C2916" s="48"/>
      <c r="D2916" s="48"/>
      <c r="E2916" s="48"/>
      <c r="F2916" s="48"/>
    </row>
    <row r="2917" spans="1:38" ht="21" customHeight="1" outlineLevel="4" x14ac:dyDescent="0.2">
      <c r="A2917" s="39">
        <v>2316</v>
      </c>
      <c r="B2917" s="3" t="s">
        <v>13221</v>
      </c>
      <c r="C2917" s="49" t="s">
        <v>13222</v>
      </c>
      <c r="D2917" s="49"/>
      <c r="E2917" s="49"/>
      <c r="F2917" s="49"/>
      <c r="G2917" s="4" t="s">
        <v>13223</v>
      </c>
      <c r="H2917" s="8"/>
      <c r="I2917" s="9" t="s">
        <v>13224</v>
      </c>
      <c r="J2917" s="10"/>
      <c r="K2917" s="11">
        <v>20</v>
      </c>
      <c r="L2917" s="10"/>
      <c r="M2917" s="10" t="s">
        <v>47</v>
      </c>
      <c r="N2917" s="10"/>
      <c r="O2917" s="2">
        <v>1</v>
      </c>
      <c r="P2917" s="17">
        <f>447*(1-S3/100)</f>
        <v>447</v>
      </c>
      <c r="Q2917" s="18"/>
      <c r="R2917" s="10">
        <f>P2917*Q2917</f>
        <v>0</v>
      </c>
      <c r="S2917" s="19">
        <f>0.205*Q2917</f>
        <v>0</v>
      </c>
      <c r="T2917" s="20">
        <f>0.00036*Q2917</f>
        <v>0</v>
      </c>
      <c r="U2917" s="21"/>
      <c r="V2917" s="22" t="s">
        <v>13225</v>
      </c>
      <c r="W2917" s="22" t="s">
        <v>49</v>
      </c>
      <c r="X2917" s="3"/>
      <c r="Y2917" s="3" t="s">
        <v>13226</v>
      </c>
      <c r="Z2917" s="3" t="s">
        <v>52</v>
      </c>
      <c r="AA2917" s="3"/>
      <c r="AB2917" s="3"/>
      <c r="AC2917" s="3" t="str">
        <f>HYPERLINK("https://knigipp.ru/api/getInfo/image/fae30d73-fdd4-11f0-a28e-00155d82e908")</f>
        <v>https://knigipp.ru/api/getInfo/image/fae30d73-fdd4-11f0-a28e-00155d82e908</v>
      </c>
      <c r="AD2917" s="32">
        <v>16</v>
      </c>
      <c r="AE2917" s="3" t="s">
        <v>54</v>
      </c>
      <c r="AF2917" s="3" t="s">
        <v>209</v>
      </c>
      <c r="AG2917" s="3"/>
      <c r="AH2917" s="3" t="s">
        <v>56</v>
      </c>
      <c r="AI2917" s="3"/>
      <c r="AJ2917" s="3"/>
      <c r="AK2917" s="3" t="str">
        <f>HYPERLINK("https://knigipp.ru/api/getInfo/item/fae30d73-fdd4-11f0-a28e-00155d82e908")</f>
        <v>https://knigipp.ru/api/getInfo/item/fae30d73-fdd4-11f0-a28e-00155d82e908</v>
      </c>
      <c r="AL2917" s="3" t="s">
        <v>13227</v>
      </c>
    </row>
    <row r="2918" spans="1:38" ht="21" customHeight="1" outlineLevel="4" x14ac:dyDescent="0.2">
      <c r="A2918" s="39">
        <v>2317</v>
      </c>
      <c r="B2918" s="3" t="s">
        <v>13228</v>
      </c>
      <c r="C2918" s="49" t="s">
        <v>13229</v>
      </c>
      <c r="D2918" s="49"/>
      <c r="E2918" s="49"/>
      <c r="F2918" s="49"/>
      <c r="G2918" s="4" t="s">
        <v>13230</v>
      </c>
      <c r="H2918" s="8"/>
      <c r="I2918" s="9" t="s">
        <v>13224</v>
      </c>
      <c r="J2918" s="10"/>
      <c r="K2918" s="11">
        <v>20</v>
      </c>
      <c r="L2918" s="10"/>
      <c r="M2918" s="10" t="s">
        <v>47</v>
      </c>
      <c r="N2918" s="10"/>
      <c r="O2918" s="2">
        <v>1</v>
      </c>
      <c r="P2918" s="17">
        <f>447*(1-S3/100)</f>
        <v>447</v>
      </c>
      <c r="Q2918" s="18"/>
      <c r="R2918" s="10">
        <f>P2918*Q2918</f>
        <v>0</v>
      </c>
      <c r="S2918" s="19">
        <f>0.202*Q2918</f>
        <v>0</v>
      </c>
      <c r="T2918" s="20">
        <f>0.00031*Q2918</f>
        <v>0</v>
      </c>
      <c r="U2918" s="21"/>
      <c r="V2918" s="22" t="s">
        <v>13231</v>
      </c>
      <c r="W2918" s="22" t="s">
        <v>49</v>
      </c>
      <c r="X2918" s="3"/>
      <c r="Y2918" s="3" t="s">
        <v>13232</v>
      </c>
      <c r="Z2918" s="3" t="s">
        <v>52</v>
      </c>
      <c r="AA2918" s="3"/>
      <c r="AB2918" s="3"/>
      <c r="AC2918" s="3" t="str">
        <f>HYPERLINK("https://knigipp.ru/api/getInfo/image/79060c05-fdd4-11f0-a28e-00155d82e908")</f>
        <v>https://knigipp.ru/api/getInfo/image/79060c05-fdd4-11f0-a28e-00155d82e908</v>
      </c>
      <c r="AD2918" s="32">
        <v>16</v>
      </c>
      <c r="AE2918" s="3" t="s">
        <v>54</v>
      </c>
      <c r="AF2918" s="3" t="s">
        <v>209</v>
      </c>
      <c r="AG2918" s="3"/>
      <c r="AH2918" s="3" t="s">
        <v>56</v>
      </c>
      <c r="AI2918" s="3"/>
      <c r="AJ2918" s="3"/>
      <c r="AK2918" s="3" t="str">
        <f>HYPERLINK("https://knigipp.ru/api/getInfo/item/79060c05-fdd4-11f0-a28e-00155d82e908")</f>
        <v>https://knigipp.ru/api/getInfo/item/79060c05-fdd4-11f0-a28e-00155d82e908</v>
      </c>
      <c r="AL2918" s="3" t="s">
        <v>13227</v>
      </c>
    </row>
    <row r="2919" spans="1:38" ht="21" customHeight="1" outlineLevel="4" x14ac:dyDescent="0.2">
      <c r="A2919" s="39">
        <v>2318</v>
      </c>
      <c r="B2919" s="3" t="s">
        <v>13233</v>
      </c>
      <c r="C2919" s="49" t="s">
        <v>13234</v>
      </c>
      <c r="D2919" s="49"/>
      <c r="E2919" s="49"/>
      <c r="F2919" s="49"/>
      <c r="G2919" s="4" t="s">
        <v>13235</v>
      </c>
      <c r="H2919" s="8"/>
      <c r="I2919" s="9" t="s">
        <v>13224</v>
      </c>
      <c r="J2919" s="10"/>
      <c r="K2919" s="11">
        <v>20</v>
      </c>
      <c r="L2919" s="10"/>
      <c r="M2919" s="10" t="s">
        <v>47</v>
      </c>
      <c r="N2919" s="10"/>
      <c r="O2919" s="2">
        <v>1</v>
      </c>
      <c r="P2919" s="17">
        <f>447*(1-S3/100)</f>
        <v>447</v>
      </c>
      <c r="Q2919" s="18"/>
      <c r="R2919" s="10">
        <f>P2919*Q2919</f>
        <v>0</v>
      </c>
      <c r="S2919" s="19">
        <f>0.215*Q2919</f>
        <v>0</v>
      </c>
      <c r="T2919" s="20">
        <f>0.00027*Q2919</f>
        <v>0</v>
      </c>
      <c r="U2919" s="21"/>
      <c r="V2919" s="22" t="s">
        <v>13236</v>
      </c>
      <c r="W2919" s="22" t="s">
        <v>49</v>
      </c>
      <c r="X2919" s="3"/>
      <c r="Y2919" s="3" t="s">
        <v>13237</v>
      </c>
      <c r="Z2919" s="3" t="s">
        <v>52</v>
      </c>
      <c r="AA2919" s="3"/>
      <c r="AB2919" s="3"/>
      <c r="AC2919" s="3" t="str">
        <f>HYPERLINK("https://knigipp.ru/api/getInfo/image/9e1de59b-fdd4-11f0-a28e-00155d82e908")</f>
        <v>https://knigipp.ru/api/getInfo/image/9e1de59b-fdd4-11f0-a28e-00155d82e908</v>
      </c>
      <c r="AD2919" s="32">
        <v>16</v>
      </c>
      <c r="AE2919" s="3" t="s">
        <v>54</v>
      </c>
      <c r="AF2919" s="3" t="s">
        <v>209</v>
      </c>
      <c r="AG2919" s="3"/>
      <c r="AH2919" s="3" t="s">
        <v>56</v>
      </c>
      <c r="AI2919" s="3"/>
      <c r="AJ2919" s="3"/>
      <c r="AK2919" s="3" t="str">
        <f>HYPERLINK("https://knigipp.ru/api/getInfo/item/9e1de59b-fdd4-11f0-a28e-00155d82e908")</f>
        <v>https://knigipp.ru/api/getInfo/item/9e1de59b-fdd4-11f0-a28e-00155d82e908</v>
      </c>
      <c r="AL2919" s="3" t="s">
        <v>13227</v>
      </c>
    </row>
    <row r="2920" spans="1:38" ht="21" customHeight="1" outlineLevel="4" x14ac:dyDescent="0.2">
      <c r="A2920" s="39">
        <v>2319</v>
      </c>
      <c r="B2920" s="3" t="s">
        <v>13238</v>
      </c>
      <c r="C2920" s="49" t="s">
        <v>13239</v>
      </c>
      <c r="D2920" s="49"/>
      <c r="E2920" s="49"/>
      <c r="F2920" s="49"/>
      <c r="G2920" s="4" t="s">
        <v>13240</v>
      </c>
      <c r="H2920" s="8"/>
      <c r="I2920" s="9" t="s">
        <v>13224</v>
      </c>
      <c r="J2920" s="10"/>
      <c r="K2920" s="11">
        <v>20</v>
      </c>
      <c r="L2920" s="10"/>
      <c r="M2920" s="10" t="s">
        <v>47</v>
      </c>
      <c r="N2920" s="10"/>
      <c r="O2920" s="2">
        <v>1</v>
      </c>
      <c r="P2920" s="17">
        <f>447*(1-S3/100)</f>
        <v>447</v>
      </c>
      <c r="Q2920" s="18"/>
      <c r="R2920" s="10">
        <f>P2920*Q2920</f>
        <v>0</v>
      </c>
      <c r="S2920" s="19">
        <f>0.202*Q2920</f>
        <v>0</v>
      </c>
      <c r="T2920" s="20">
        <f>0.00039*Q2920</f>
        <v>0</v>
      </c>
      <c r="U2920" s="21"/>
      <c r="V2920" s="22" t="s">
        <v>13241</v>
      </c>
      <c r="W2920" s="22" t="s">
        <v>49</v>
      </c>
      <c r="X2920" s="3"/>
      <c r="Y2920" s="3" t="s">
        <v>13242</v>
      </c>
      <c r="Z2920" s="3" t="s">
        <v>52</v>
      </c>
      <c r="AA2920" s="3"/>
      <c r="AB2920" s="3"/>
      <c r="AC2920" s="3" t="str">
        <f>HYPERLINK("https://knigipp.ru/api/getInfo/image/cde6ddf5-fdd4-11f0-a28e-00155d82e908")</f>
        <v>https://knigipp.ru/api/getInfo/image/cde6ddf5-fdd4-11f0-a28e-00155d82e908</v>
      </c>
      <c r="AD2920" s="32">
        <v>16</v>
      </c>
      <c r="AE2920" s="3"/>
      <c r="AF2920" s="3" t="s">
        <v>209</v>
      </c>
      <c r="AG2920" s="3"/>
      <c r="AH2920" s="3" t="s">
        <v>56</v>
      </c>
      <c r="AI2920" s="3"/>
      <c r="AJ2920" s="3"/>
      <c r="AK2920" s="3" t="str">
        <f>HYPERLINK("https://knigipp.ru/api/getInfo/item/cde6ddf5-fdd4-11f0-a28e-00155d82e908")</f>
        <v>https://knigipp.ru/api/getInfo/item/cde6ddf5-fdd4-11f0-a28e-00155d82e908</v>
      </c>
      <c r="AL2920" s="3" t="s">
        <v>13227</v>
      </c>
    </row>
    <row r="2921" spans="1:38" ht="23.1" customHeight="1" outlineLevel="3" x14ac:dyDescent="0.2">
      <c r="A2921" s="48" t="s">
        <v>13243</v>
      </c>
      <c r="B2921" s="48"/>
      <c r="C2921" s="48"/>
      <c r="D2921" s="48"/>
      <c r="E2921" s="48"/>
      <c r="F2921" s="48"/>
    </row>
    <row r="2922" spans="1:38" ht="21" customHeight="1" outlineLevel="4" x14ac:dyDescent="0.2">
      <c r="A2922" s="39">
        <v>2320</v>
      </c>
      <c r="B2922" s="3" t="s">
        <v>13244</v>
      </c>
      <c r="C2922" s="49" t="s">
        <v>13245</v>
      </c>
      <c r="D2922" s="49"/>
      <c r="E2922" s="49"/>
      <c r="F2922" s="49"/>
      <c r="G2922" s="4" t="s">
        <v>13246</v>
      </c>
      <c r="H2922" s="8"/>
      <c r="I2922" s="9" t="s">
        <v>13247</v>
      </c>
      <c r="J2922" s="10"/>
      <c r="K2922" s="11">
        <v>20</v>
      </c>
      <c r="L2922" s="10"/>
      <c r="M2922" s="10" t="s">
        <v>47</v>
      </c>
      <c r="N2922" s="10"/>
      <c r="O2922" s="2">
        <v>3</v>
      </c>
      <c r="P2922" s="17">
        <f>187*(1-S3/100)</f>
        <v>187</v>
      </c>
      <c r="Q2922" s="18"/>
      <c r="R2922" s="10">
        <f>P2922*Q2922</f>
        <v>0</v>
      </c>
      <c r="S2922" s="28">
        <f>0.11*Q2922</f>
        <v>0</v>
      </c>
      <c r="T2922" s="20">
        <f>0.00027*Q2922</f>
        <v>0</v>
      </c>
      <c r="U2922" s="21"/>
      <c r="V2922" s="22" t="s">
        <v>13248</v>
      </c>
      <c r="W2922" s="22" t="s">
        <v>49</v>
      </c>
      <c r="X2922" s="3" t="s">
        <v>13249</v>
      </c>
      <c r="Y2922" s="3" t="s">
        <v>13250</v>
      </c>
      <c r="Z2922" s="3" t="s">
        <v>52</v>
      </c>
      <c r="AA2922" s="3"/>
      <c r="AB2922" s="3"/>
      <c r="AC2922" s="3" t="str">
        <f>HYPERLINK("https://knigipp.ru/api/getInfo/image/44f1e684-b65c-11f0-a286-00155d82e908")</f>
        <v>https://knigipp.ru/api/getInfo/image/44f1e684-b65c-11f0-a286-00155d82e908</v>
      </c>
      <c r="AD2922" s="32">
        <v>10</v>
      </c>
      <c r="AE2922" s="3" t="s">
        <v>54</v>
      </c>
      <c r="AF2922" s="3" t="s">
        <v>209</v>
      </c>
      <c r="AG2922" s="3"/>
      <c r="AH2922" s="3" t="s">
        <v>56</v>
      </c>
      <c r="AI2922" s="3"/>
      <c r="AJ2922" s="3"/>
      <c r="AK2922" s="3" t="str">
        <f>HYPERLINK("https://knigipp.ru/api/getInfo/item/44f1e684-b65c-11f0-a286-00155d82e908")</f>
        <v>https://knigipp.ru/api/getInfo/item/44f1e684-b65c-11f0-a286-00155d82e908</v>
      </c>
      <c r="AL2922" s="3" t="s">
        <v>13251</v>
      </c>
    </row>
    <row r="2923" spans="1:38" ht="21" customHeight="1" outlineLevel="4" x14ac:dyDescent="0.2">
      <c r="A2923" s="39">
        <v>2321</v>
      </c>
      <c r="B2923" s="3" t="s">
        <v>13252</v>
      </c>
      <c r="C2923" s="49" t="s">
        <v>13253</v>
      </c>
      <c r="D2923" s="49"/>
      <c r="E2923" s="49"/>
      <c r="F2923" s="49"/>
      <c r="G2923" s="4" t="s">
        <v>13254</v>
      </c>
      <c r="H2923" s="8"/>
      <c r="I2923" s="9" t="s">
        <v>13247</v>
      </c>
      <c r="J2923" s="10"/>
      <c r="K2923" s="11">
        <v>20</v>
      </c>
      <c r="L2923" s="10"/>
      <c r="M2923" s="10" t="s">
        <v>47</v>
      </c>
      <c r="N2923" s="10"/>
      <c r="O2923" s="2">
        <v>3</v>
      </c>
      <c r="P2923" s="17">
        <f>187*(1-S3/100)</f>
        <v>187</v>
      </c>
      <c r="Q2923" s="18"/>
      <c r="R2923" s="10">
        <f>P2923*Q2923</f>
        <v>0</v>
      </c>
      <c r="S2923" s="28">
        <f>0.11*Q2923</f>
        <v>0</v>
      </c>
      <c r="T2923" s="20">
        <f>0.00027*Q2923</f>
        <v>0</v>
      </c>
      <c r="U2923" s="21"/>
      <c r="V2923" s="22" t="s">
        <v>13255</v>
      </c>
      <c r="W2923" s="22" t="s">
        <v>49</v>
      </c>
      <c r="X2923" s="3" t="s">
        <v>13256</v>
      </c>
      <c r="Y2923" s="3" t="s">
        <v>13257</v>
      </c>
      <c r="Z2923" s="3" t="s">
        <v>52</v>
      </c>
      <c r="AA2923" s="3"/>
      <c r="AB2923" s="3"/>
      <c r="AC2923" s="3" t="str">
        <f>HYPERLINK("https://knigipp.ru/api/getInfo/image/96873237-b65c-11f0-a286-00155d82e908")</f>
        <v>https://knigipp.ru/api/getInfo/image/96873237-b65c-11f0-a286-00155d82e908</v>
      </c>
      <c r="AD2923" s="32">
        <v>10</v>
      </c>
      <c r="AE2923" s="3" t="s">
        <v>54</v>
      </c>
      <c r="AF2923" s="3" t="s">
        <v>209</v>
      </c>
      <c r="AG2923" s="3"/>
      <c r="AH2923" s="3" t="s">
        <v>56</v>
      </c>
      <c r="AI2923" s="3"/>
      <c r="AJ2923" s="3"/>
      <c r="AK2923" s="3" t="str">
        <f>HYPERLINK("https://knigipp.ru/api/getInfo/item/96873237-b65c-11f0-a286-00155d82e908")</f>
        <v>https://knigipp.ru/api/getInfo/item/96873237-b65c-11f0-a286-00155d82e908</v>
      </c>
      <c r="AL2923" s="3" t="s">
        <v>13251</v>
      </c>
    </row>
    <row r="2924" spans="1:38" ht="21" customHeight="1" outlineLevel="4" x14ac:dyDescent="0.2">
      <c r="A2924" s="39">
        <v>2322</v>
      </c>
      <c r="B2924" s="3" t="s">
        <v>13258</v>
      </c>
      <c r="C2924" s="49" t="s">
        <v>13259</v>
      </c>
      <c r="D2924" s="49"/>
      <c r="E2924" s="49"/>
      <c r="F2924" s="49"/>
      <c r="G2924" s="4" t="s">
        <v>13260</v>
      </c>
      <c r="H2924" s="8"/>
      <c r="I2924" s="9" t="s">
        <v>13247</v>
      </c>
      <c r="J2924" s="10"/>
      <c r="K2924" s="11">
        <v>20</v>
      </c>
      <c r="L2924" s="10"/>
      <c r="M2924" s="10" t="s">
        <v>47</v>
      </c>
      <c r="N2924" s="10"/>
      <c r="O2924" s="2">
        <v>3</v>
      </c>
      <c r="P2924" s="17">
        <f>187*(1-S3/100)</f>
        <v>187</v>
      </c>
      <c r="Q2924" s="18"/>
      <c r="R2924" s="10">
        <f>P2924*Q2924</f>
        <v>0</v>
      </c>
      <c r="S2924" s="19">
        <f>0.113*Q2924</f>
        <v>0</v>
      </c>
      <c r="T2924" s="20">
        <f>0.00017*Q2924</f>
        <v>0</v>
      </c>
      <c r="U2924" s="21"/>
      <c r="V2924" s="22" t="s">
        <v>13261</v>
      </c>
      <c r="W2924" s="22" t="s">
        <v>49</v>
      </c>
      <c r="X2924" s="3" t="s">
        <v>281</v>
      </c>
      <c r="Y2924" s="3" t="s">
        <v>13262</v>
      </c>
      <c r="Z2924" s="3" t="s">
        <v>52</v>
      </c>
      <c r="AA2924" s="3"/>
      <c r="AB2924" s="3"/>
      <c r="AC2924" s="3" t="str">
        <f>HYPERLINK("https://knigipp.ru/api/getInfo/image/14544b7a-b65c-11f0-a286-00155d82e908")</f>
        <v>https://knigipp.ru/api/getInfo/image/14544b7a-b65c-11f0-a286-00155d82e908</v>
      </c>
      <c r="AD2924" s="32">
        <v>10</v>
      </c>
      <c r="AE2924" s="3" t="s">
        <v>54</v>
      </c>
      <c r="AF2924" s="3" t="s">
        <v>209</v>
      </c>
      <c r="AG2924" s="3"/>
      <c r="AH2924" s="3" t="s">
        <v>56</v>
      </c>
      <c r="AI2924" s="3"/>
      <c r="AJ2924" s="3"/>
      <c r="AK2924" s="3" t="str">
        <f>HYPERLINK("https://knigipp.ru/api/getInfo/item/14544b7a-b65c-11f0-a286-00155d82e908")</f>
        <v>https://knigipp.ru/api/getInfo/item/14544b7a-b65c-11f0-a286-00155d82e908</v>
      </c>
      <c r="AL2924" s="3" t="s">
        <v>13251</v>
      </c>
    </row>
    <row r="2925" spans="1:38" ht="21" customHeight="1" outlineLevel="4" x14ac:dyDescent="0.2">
      <c r="A2925" s="39">
        <v>2323</v>
      </c>
      <c r="B2925" s="3" t="s">
        <v>13263</v>
      </c>
      <c r="C2925" s="49" t="s">
        <v>13264</v>
      </c>
      <c r="D2925" s="49"/>
      <c r="E2925" s="49"/>
      <c r="F2925" s="49"/>
      <c r="G2925" s="4" t="s">
        <v>13265</v>
      </c>
      <c r="H2925" s="8"/>
      <c r="I2925" s="9" t="s">
        <v>13247</v>
      </c>
      <c r="J2925" s="10"/>
      <c r="K2925" s="11">
        <v>20</v>
      </c>
      <c r="L2925" s="10"/>
      <c r="M2925" s="10" t="s">
        <v>47</v>
      </c>
      <c r="N2925" s="10"/>
      <c r="O2925" s="2">
        <v>3</v>
      </c>
      <c r="P2925" s="17">
        <f>187*(1-S3/100)</f>
        <v>187</v>
      </c>
      <c r="Q2925" s="18"/>
      <c r="R2925" s="10">
        <f>P2925*Q2925</f>
        <v>0</v>
      </c>
      <c r="S2925" s="28">
        <f>0.11*Q2925</f>
        <v>0</v>
      </c>
      <c r="T2925" s="20">
        <f>0.00027*Q2925</f>
        <v>0</v>
      </c>
      <c r="U2925" s="21"/>
      <c r="V2925" s="22" t="s">
        <v>13266</v>
      </c>
      <c r="W2925" s="22" t="s">
        <v>49</v>
      </c>
      <c r="X2925" s="3" t="s">
        <v>5716</v>
      </c>
      <c r="Y2925" s="3" t="s">
        <v>13267</v>
      </c>
      <c r="Z2925" s="3" t="s">
        <v>52</v>
      </c>
      <c r="AA2925" s="3"/>
      <c r="AB2925" s="3"/>
      <c r="AC2925" s="3" t="str">
        <f>HYPERLINK("https://knigipp.ru/api/getInfo/image/ccf28ec1-b65b-11f0-a286-00155d82e908")</f>
        <v>https://knigipp.ru/api/getInfo/image/ccf28ec1-b65b-11f0-a286-00155d82e908</v>
      </c>
      <c r="AD2925" s="32">
        <v>10</v>
      </c>
      <c r="AE2925" s="3" t="s">
        <v>54</v>
      </c>
      <c r="AF2925" s="3" t="s">
        <v>209</v>
      </c>
      <c r="AG2925" s="3"/>
      <c r="AH2925" s="3" t="s">
        <v>56</v>
      </c>
      <c r="AI2925" s="3"/>
      <c r="AJ2925" s="3"/>
      <c r="AK2925" s="3" t="str">
        <f>HYPERLINK("https://knigipp.ru/api/getInfo/item/ccf28ec1-b65b-11f0-a286-00155d82e908")</f>
        <v>https://knigipp.ru/api/getInfo/item/ccf28ec1-b65b-11f0-a286-00155d82e908</v>
      </c>
      <c r="AL2925" s="3" t="s">
        <v>13251</v>
      </c>
    </row>
    <row r="2926" spans="1:38" ht="23.1" customHeight="1" outlineLevel="3" x14ac:dyDescent="0.2">
      <c r="A2926" s="48" t="s">
        <v>13268</v>
      </c>
      <c r="B2926" s="48"/>
      <c r="C2926" s="48"/>
      <c r="D2926" s="48"/>
      <c r="E2926" s="48"/>
      <c r="F2926" s="48"/>
    </row>
    <row r="2927" spans="1:38" ht="21" customHeight="1" outlineLevel="4" x14ac:dyDescent="0.2">
      <c r="A2927" s="39">
        <v>2324</v>
      </c>
      <c r="B2927" s="3" t="s">
        <v>13269</v>
      </c>
      <c r="C2927" s="49" t="s">
        <v>13270</v>
      </c>
      <c r="D2927" s="49"/>
      <c r="E2927" s="49"/>
      <c r="F2927" s="49"/>
      <c r="G2927" s="4" t="s">
        <v>13271</v>
      </c>
      <c r="H2927" s="8"/>
      <c r="I2927" s="9" t="s">
        <v>13272</v>
      </c>
      <c r="J2927" s="10"/>
      <c r="K2927" s="11">
        <v>40</v>
      </c>
      <c r="L2927" s="10"/>
      <c r="M2927" s="10" t="s">
        <v>47</v>
      </c>
      <c r="N2927" s="10"/>
      <c r="O2927" s="2">
        <v>5</v>
      </c>
      <c r="P2927" s="17">
        <f>127*(1-S3/100)</f>
        <v>127</v>
      </c>
      <c r="Q2927" s="18"/>
      <c r="R2927" s="10">
        <f>P2927*Q2927</f>
        <v>0</v>
      </c>
      <c r="S2927" s="19">
        <f>0.109*Q2927</f>
        <v>0</v>
      </c>
      <c r="T2927" s="20">
        <f>0.00018*Q2927</f>
        <v>0</v>
      </c>
      <c r="U2927" s="21"/>
      <c r="V2927" s="22" t="s">
        <v>13273</v>
      </c>
      <c r="W2927" s="22" t="s">
        <v>49</v>
      </c>
      <c r="X2927" s="3"/>
      <c r="Y2927" s="3" t="s">
        <v>13274</v>
      </c>
      <c r="Z2927" s="3" t="s">
        <v>52</v>
      </c>
      <c r="AA2927" s="3"/>
      <c r="AB2927" s="3"/>
      <c r="AC2927" s="3" t="str">
        <f>HYPERLINK("https://knigipp.ru/api/getInfo/image/a2fd7d6e-c4ee-11ef-a268-00155d82e908")</f>
        <v>https://knigipp.ru/api/getInfo/image/a2fd7d6e-c4ee-11ef-a268-00155d82e908</v>
      </c>
      <c r="AD2927" s="32">
        <v>10</v>
      </c>
      <c r="AE2927" s="3" t="s">
        <v>54</v>
      </c>
      <c r="AF2927" s="3" t="s">
        <v>209</v>
      </c>
      <c r="AG2927" s="3"/>
      <c r="AH2927" s="3" t="s">
        <v>56</v>
      </c>
      <c r="AI2927" s="3"/>
      <c r="AJ2927" s="3"/>
      <c r="AK2927" s="3" t="str">
        <f>HYPERLINK("https://knigipp.ru/api/getInfo/item/a2fd7d6e-c4ee-11ef-a268-00155d82e908")</f>
        <v>https://knigipp.ru/api/getInfo/item/a2fd7d6e-c4ee-11ef-a268-00155d82e908</v>
      </c>
      <c r="AL2927" s="3" t="s">
        <v>674</v>
      </c>
    </row>
    <row r="2928" spans="1:38" ht="21" customHeight="1" outlineLevel="4" x14ac:dyDescent="0.2">
      <c r="A2928" s="39">
        <v>2325</v>
      </c>
      <c r="B2928" s="3" t="s">
        <v>13275</v>
      </c>
      <c r="C2928" s="49" t="s">
        <v>13276</v>
      </c>
      <c r="D2928" s="49"/>
      <c r="E2928" s="49"/>
      <c r="F2928" s="49"/>
      <c r="G2928" s="4" t="s">
        <v>13277</v>
      </c>
      <c r="H2928" s="8"/>
      <c r="I2928" s="9" t="s">
        <v>13272</v>
      </c>
      <c r="J2928" s="10"/>
      <c r="K2928" s="11">
        <v>40</v>
      </c>
      <c r="L2928" s="10"/>
      <c r="M2928" s="10" t="s">
        <v>47</v>
      </c>
      <c r="N2928" s="10"/>
      <c r="O2928" s="2">
        <v>5</v>
      </c>
      <c r="P2928" s="17">
        <f>127*(1-S3/100)</f>
        <v>127</v>
      </c>
      <c r="Q2928" s="18"/>
      <c r="R2928" s="10">
        <f>P2928*Q2928</f>
        <v>0</v>
      </c>
      <c r="S2928" s="19">
        <f>0.109*Q2928</f>
        <v>0</v>
      </c>
      <c r="T2928" s="20">
        <f>0.00018*Q2928</f>
        <v>0</v>
      </c>
      <c r="U2928" s="21"/>
      <c r="V2928" s="22" t="s">
        <v>13278</v>
      </c>
      <c r="W2928" s="22" t="s">
        <v>49</v>
      </c>
      <c r="X2928" s="3"/>
      <c r="Y2928" s="3" t="s">
        <v>13279</v>
      </c>
      <c r="Z2928" s="3" t="s">
        <v>52</v>
      </c>
      <c r="AA2928" s="3"/>
      <c r="AB2928" s="3"/>
      <c r="AC2928" s="3" t="str">
        <f>HYPERLINK("https://knigipp.ru/api/getInfo/image/8001491a-c4ee-11ef-a268-00155d82e908")</f>
        <v>https://knigipp.ru/api/getInfo/image/8001491a-c4ee-11ef-a268-00155d82e908</v>
      </c>
      <c r="AD2928" s="32">
        <v>10</v>
      </c>
      <c r="AE2928" s="3" t="s">
        <v>54</v>
      </c>
      <c r="AF2928" s="3" t="s">
        <v>209</v>
      </c>
      <c r="AG2928" s="3"/>
      <c r="AH2928" s="3" t="s">
        <v>56</v>
      </c>
      <c r="AI2928" s="3"/>
      <c r="AJ2928" s="3"/>
      <c r="AK2928" s="3" t="str">
        <f>HYPERLINK("https://knigipp.ru/api/getInfo/item/8001491a-c4ee-11ef-a268-00155d82e908")</f>
        <v>https://knigipp.ru/api/getInfo/item/8001491a-c4ee-11ef-a268-00155d82e908</v>
      </c>
      <c r="AL2928" s="3" t="s">
        <v>674</v>
      </c>
    </row>
    <row r="2929" spans="1:38" ht="21" customHeight="1" outlineLevel="4" x14ac:dyDescent="0.2">
      <c r="A2929" s="39">
        <v>2326</v>
      </c>
      <c r="B2929" s="3" t="s">
        <v>13280</v>
      </c>
      <c r="C2929" s="49" t="s">
        <v>13281</v>
      </c>
      <c r="D2929" s="49"/>
      <c r="E2929" s="49"/>
      <c r="F2929" s="49"/>
      <c r="G2929" s="4" t="s">
        <v>13282</v>
      </c>
      <c r="H2929" s="8"/>
      <c r="I2929" s="9" t="s">
        <v>13272</v>
      </c>
      <c r="J2929" s="10"/>
      <c r="K2929" s="11">
        <v>40</v>
      </c>
      <c r="L2929" s="10"/>
      <c r="M2929" s="10" t="s">
        <v>47</v>
      </c>
      <c r="N2929" s="10"/>
      <c r="O2929" s="2">
        <v>5</v>
      </c>
      <c r="P2929" s="17">
        <f>127*(1-S3/100)</f>
        <v>127</v>
      </c>
      <c r="Q2929" s="18"/>
      <c r="R2929" s="10">
        <f>P2929*Q2929</f>
        <v>0</v>
      </c>
      <c r="S2929" s="19">
        <f>0.109*Q2929</f>
        <v>0</v>
      </c>
      <c r="T2929" s="20">
        <f>0.00018*Q2929</f>
        <v>0</v>
      </c>
      <c r="U2929" s="21"/>
      <c r="V2929" s="22" t="s">
        <v>13283</v>
      </c>
      <c r="W2929" s="22" t="s">
        <v>49</v>
      </c>
      <c r="X2929" s="3"/>
      <c r="Y2929" s="3" t="s">
        <v>13284</v>
      </c>
      <c r="Z2929" s="3" t="s">
        <v>52</v>
      </c>
      <c r="AA2929" s="3"/>
      <c r="AB2929" s="3"/>
      <c r="AC2929" s="3" t="str">
        <f>HYPERLINK("https://knigipp.ru/api/getInfo/image/3013f460-c4ef-11ef-a268-00155d82e908")</f>
        <v>https://knigipp.ru/api/getInfo/image/3013f460-c4ef-11ef-a268-00155d82e908</v>
      </c>
      <c r="AD2929" s="32">
        <v>10</v>
      </c>
      <c r="AE2929" s="3" t="s">
        <v>54</v>
      </c>
      <c r="AF2929" s="3" t="s">
        <v>209</v>
      </c>
      <c r="AG2929" s="3"/>
      <c r="AH2929" s="3" t="s">
        <v>56</v>
      </c>
      <c r="AI2929" s="3"/>
      <c r="AJ2929" s="3"/>
      <c r="AK2929" s="3" t="str">
        <f>HYPERLINK("https://knigipp.ru/api/getInfo/item/3013f460-c4ef-11ef-a268-00155d82e908")</f>
        <v>https://knigipp.ru/api/getInfo/item/3013f460-c4ef-11ef-a268-00155d82e908</v>
      </c>
      <c r="AL2929" s="3" t="s">
        <v>674</v>
      </c>
    </row>
    <row r="2930" spans="1:38" ht="21" customHeight="1" outlineLevel="4" x14ac:dyDescent="0.2">
      <c r="A2930" s="39">
        <v>2327</v>
      </c>
      <c r="B2930" s="3" t="s">
        <v>13285</v>
      </c>
      <c r="C2930" s="49" t="s">
        <v>13286</v>
      </c>
      <c r="D2930" s="49"/>
      <c r="E2930" s="49"/>
      <c r="F2930" s="49"/>
      <c r="G2930" s="4" t="s">
        <v>13287</v>
      </c>
      <c r="H2930" s="8"/>
      <c r="I2930" s="9" t="s">
        <v>13272</v>
      </c>
      <c r="J2930" s="10"/>
      <c r="K2930" s="11">
        <v>40</v>
      </c>
      <c r="L2930" s="10"/>
      <c r="M2930" s="10" t="s">
        <v>47</v>
      </c>
      <c r="N2930" s="10"/>
      <c r="O2930" s="2">
        <v>5</v>
      </c>
      <c r="P2930" s="17">
        <f>127*(1-S3/100)</f>
        <v>127</v>
      </c>
      <c r="Q2930" s="18"/>
      <c r="R2930" s="10">
        <f>P2930*Q2930</f>
        <v>0</v>
      </c>
      <c r="S2930" s="19">
        <f>0.109*Q2930</f>
        <v>0</v>
      </c>
      <c r="T2930" s="20">
        <f>0.00018*Q2930</f>
        <v>0</v>
      </c>
      <c r="U2930" s="21"/>
      <c r="V2930" s="22" t="s">
        <v>13288</v>
      </c>
      <c r="W2930" s="22" t="s">
        <v>49</v>
      </c>
      <c r="X2930" s="3"/>
      <c r="Y2930" s="3" t="s">
        <v>13289</v>
      </c>
      <c r="Z2930" s="3" t="s">
        <v>52</v>
      </c>
      <c r="AA2930" s="3"/>
      <c r="AB2930" s="3"/>
      <c r="AC2930" s="3" t="str">
        <f>HYPERLINK("https://knigipp.ru/api/getInfo/image/c5a3c8fe-c4ee-11ef-a268-00155d82e908")</f>
        <v>https://knigipp.ru/api/getInfo/image/c5a3c8fe-c4ee-11ef-a268-00155d82e908</v>
      </c>
      <c r="AD2930" s="32">
        <v>10</v>
      </c>
      <c r="AE2930" s="3" t="s">
        <v>54</v>
      </c>
      <c r="AF2930" s="3" t="s">
        <v>209</v>
      </c>
      <c r="AG2930" s="3"/>
      <c r="AH2930" s="3" t="s">
        <v>56</v>
      </c>
      <c r="AI2930" s="3"/>
      <c r="AJ2930" s="3"/>
      <c r="AK2930" s="3" t="str">
        <f>HYPERLINK("https://knigipp.ru/api/getInfo/item/c5a3c8fe-c4ee-11ef-a268-00155d82e908")</f>
        <v>https://knigipp.ru/api/getInfo/item/c5a3c8fe-c4ee-11ef-a268-00155d82e908</v>
      </c>
      <c r="AL2930" s="3" t="s">
        <v>674</v>
      </c>
    </row>
    <row r="2931" spans="1:38" ht="23.1" customHeight="1" outlineLevel="3" x14ac:dyDescent="0.2">
      <c r="A2931" s="48" t="s">
        <v>13290</v>
      </c>
      <c r="B2931" s="48"/>
      <c r="C2931" s="48"/>
      <c r="D2931" s="48"/>
      <c r="E2931" s="48"/>
      <c r="F2931" s="48"/>
    </row>
    <row r="2932" spans="1:38" ht="21" customHeight="1" outlineLevel="4" x14ac:dyDescent="0.2">
      <c r="A2932" s="39">
        <v>2328</v>
      </c>
      <c r="B2932" s="3" t="s">
        <v>13291</v>
      </c>
      <c r="C2932" s="49" t="s">
        <v>13292</v>
      </c>
      <c r="D2932" s="49"/>
      <c r="E2932" s="49"/>
      <c r="F2932" s="49"/>
      <c r="G2932" s="4" t="s">
        <v>13293</v>
      </c>
      <c r="H2932" s="8"/>
      <c r="I2932" s="9" t="s">
        <v>13294</v>
      </c>
      <c r="J2932" s="10"/>
      <c r="K2932" s="11">
        <v>10</v>
      </c>
      <c r="L2932" s="10"/>
      <c r="M2932" s="10" t="s">
        <v>47</v>
      </c>
      <c r="N2932" s="10"/>
      <c r="O2932" s="2">
        <v>2</v>
      </c>
      <c r="P2932" s="17">
        <f>380.45*(1-S3/100)</f>
        <v>380.45</v>
      </c>
      <c r="Q2932" s="18"/>
      <c r="R2932" s="10">
        <f>P2932*Q2932</f>
        <v>0</v>
      </c>
      <c r="S2932" s="19">
        <f>0.451*Q2932</f>
        <v>0</v>
      </c>
      <c r="T2932" s="20">
        <f>0.00073*Q2932</f>
        <v>0</v>
      </c>
      <c r="U2932" s="21"/>
      <c r="V2932" s="22" t="s">
        <v>13295</v>
      </c>
      <c r="W2932" s="22" t="s">
        <v>49</v>
      </c>
      <c r="X2932" s="3"/>
      <c r="Y2932" s="3"/>
      <c r="Z2932" s="3" t="s">
        <v>52</v>
      </c>
      <c r="AA2932" s="3" t="s">
        <v>1080</v>
      </c>
      <c r="AB2932" s="3"/>
      <c r="AC2932" s="3" t="str">
        <f>HYPERLINK("https://knigipp.ru/api/getInfo/image/9fafd2db-ce1d-11e8-a20d-ac1f6b442184")</f>
        <v>https://knigipp.ru/api/getInfo/image/9fafd2db-ce1d-11e8-a20d-ac1f6b442184</v>
      </c>
      <c r="AD2932" s="32">
        <v>14</v>
      </c>
      <c r="AE2932" s="3" t="s">
        <v>54</v>
      </c>
      <c r="AF2932" s="3" t="s">
        <v>209</v>
      </c>
      <c r="AG2932" s="3"/>
      <c r="AH2932" s="3" t="s">
        <v>56</v>
      </c>
      <c r="AI2932" s="3"/>
      <c r="AJ2932" s="3"/>
      <c r="AK2932" s="3" t="str">
        <f>HYPERLINK("https://knigipp.ru/api/getInfo/item/9fafd2db-ce1d-11e8-a20d-ac1f6b442184")</f>
        <v>https://knigipp.ru/api/getInfo/item/9fafd2db-ce1d-11e8-a20d-ac1f6b442184</v>
      </c>
      <c r="AL2932" s="3" t="s">
        <v>13296</v>
      </c>
    </row>
    <row r="2933" spans="1:38" ht="21" customHeight="1" outlineLevel="4" x14ac:dyDescent="0.2">
      <c r="A2933" s="39">
        <v>2329</v>
      </c>
      <c r="B2933" s="3" t="s">
        <v>13297</v>
      </c>
      <c r="C2933" s="49" t="s">
        <v>13298</v>
      </c>
      <c r="D2933" s="49"/>
      <c r="E2933" s="49"/>
      <c r="F2933" s="49"/>
      <c r="G2933" s="4" t="s">
        <v>13299</v>
      </c>
      <c r="H2933" s="8"/>
      <c r="I2933" s="9" t="s">
        <v>13300</v>
      </c>
      <c r="J2933" s="10"/>
      <c r="K2933" s="11">
        <v>10</v>
      </c>
      <c r="L2933" s="10"/>
      <c r="M2933" s="10" t="s">
        <v>304</v>
      </c>
      <c r="N2933" s="10"/>
      <c r="O2933" s="2">
        <v>2</v>
      </c>
      <c r="P2933" s="17">
        <f>380.45*(1-S3/100)</f>
        <v>380.45</v>
      </c>
      <c r="Q2933" s="18"/>
      <c r="R2933" s="10">
        <f>P2933*Q2933</f>
        <v>0</v>
      </c>
      <c r="S2933" s="19">
        <f>0.451*Q2933</f>
        <v>0</v>
      </c>
      <c r="T2933" s="20">
        <f>0.00036*Q2933</f>
        <v>0</v>
      </c>
      <c r="U2933" s="21"/>
      <c r="V2933" s="22" t="s">
        <v>13301</v>
      </c>
      <c r="W2933" s="22" t="s">
        <v>49</v>
      </c>
      <c r="X2933" s="3"/>
      <c r="Y2933" s="3"/>
      <c r="Z2933" s="3" t="s">
        <v>52</v>
      </c>
      <c r="AA2933" s="3"/>
      <c r="AB2933" s="3"/>
      <c r="AC2933" s="3" t="str">
        <f>HYPERLINK("https://knigipp.ru/api/getInfo/image/88ea11ca-d9af-11eb-a209-ac1f6b442185")</f>
        <v>https://knigipp.ru/api/getInfo/image/88ea11ca-d9af-11eb-a209-ac1f6b442185</v>
      </c>
      <c r="AD2933" s="32">
        <v>14</v>
      </c>
      <c r="AE2933" s="3" t="s">
        <v>54</v>
      </c>
      <c r="AF2933" s="3" t="s">
        <v>209</v>
      </c>
      <c r="AG2933" s="3"/>
      <c r="AH2933" s="3" t="s">
        <v>56</v>
      </c>
      <c r="AI2933" s="3"/>
      <c r="AJ2933" s="3"/>
      <c r="AK2933" s="3" t="str">
        <f>HYPERLINK("https://knigipp.ru/api/getInfo/item/88ea11ca-d9af-11eb-a209-ac1f6b442185")</f>
        <v>https://knigipp.ru/api/getInfo/item/88ea11ca-d9af-11eb-a209-ac1f6b442185</v>
      </c>
      <c r="AL2933" s="3" t="s">
        <v>13296</v>
      </c>
    </row>
    <row r="2934" spans="1:38" ht="23.1" customHeight="1" outlineLevel="3" x14ac:dyDescent="0.2">
      <c r="A2934" s="48" t="s">
        <v>13302</v>
      </c>
      <c r="B2934" s="48"/>
      <c r="C2934" s="48"/>
      <c r="D2934" s="48"/>
      <c r="E2934" s="48"/>
      <c r="F2934" s="48"/>
    </row>
    <row r="2935" spans="1:38" ht="21" customHeight="1" outlineLevel="4" x14ac:dyDescent="0.2">
      <c r="A2935" s="39">
        <v>2330</v>
      </c>
      <c r="B2935" s="3" t="s">
        <v>13303</v>
      </c>
      <c r="C2935" s="49" t="s">
        <v>13304</v>
      </c>
      <c r="D2935" s="49"/>
      <c r="E2935" s="49"/>
      <c r="F2935" s="49"/>
      <c r="G2935" s="4" t="s">
        <v>13305</v>
      </c>
      <c r="H2935" s="8"/>
      <c r="I2935" s="9" t="s">
        <v>13306</v>
      </c>
      <c r="J2935" s="10"/>
      <c r="K2935" s="11">
        <v>5</v>
      </c>
      <c r="L2935" s="10"/>
      <c r="M2935" s="10" t="s">
        <v>47</v>
      </c>
      <c r="N2935" s="10"/>
      <c r="O2935" s="2">
        <v>1</v>
      </c>
      <c r="P2935" s="17">
        <f>599*(1-S3/100)</f>
        <v>599</v>
      </c>
      <c r="Q2935" s="18"/>
      <c r="R2935" s="10">
        <f>P2935*Q2935</f>
        <v>0</v>
      </c>
      <c r="S2935" s="28">
        <f>0.48*Q2935</f>
        <v>0</v>
      </c>
      <c r="T2935" s="20">
        <f>0.00074*Q2935</f>
        <v>0</v>
      </c>
      <c r="U2935" s="21"/>
      <c r="V2935" s="22" t="s">
        <v>13307</v>
      </c>
      <c r="W2935" s="22" t="s">
        <v>49</v>
      </c>
      <c r="X2935" s="3" t="s">
        <v>1006</v>
      </c>
      <c r="Y2935" s="3" t="s">
        <v>13308</v>
      </c>
      <c r="Z2935" s="3" t="s">
        <v>52</v>
      </c>
      <c r="AA2935" s="3" t="s">
        <v>13309</v>
      </c>
      <c r="AB2935" s="3"/>
      <c r="AC2935" s="3" t="str">
        <f>HYPERLINK("https://knigipp.ru/api/getInfo/image/1ada9e92-045b-11ef-a25d-00155d82e908")</f>
        <v>https://knigipp.ru/api/getInfo/image/1ada9e92-045b-11ef-a25d-00155d82e908</v>
      </c>
      <c r="AD2935" s="32">
        <v>10</v>
      </c>
      <c r="AE2935" s="3" t="s">
        <v>54</v>
      </c>
      <c r="AF2935" s="3" t="s">
        <v>209</v>
      </c>
      <c r="AG2935" s="3"/>
      <c r="AH2935" s="3" t="s">
        <v>56</v>
      </c>
      <c r="AI2935" s="3"/>
      <c r="AJ2935" s="3"/>
      <c r="AK2935" s="3" t="str">
        <f>HYPERLINK("https://knigipp.ru/api/getInfo/item/1ada9e92-045b-11ef-a25d-00155d82e908")</f>
        <v>https://knigipp.ru/api/getInfo/item/1ada9e92-045b-11ef-a25d-00155d82e908</v>
      </c>
      <c r="AL2935" s="3" t="s">
        <v>467</v>
      </c>
    </row>
    <row r="2936" spans="1:38" ht="23.1" customHeight="1" outlineLevel="3" x14ac:dyDescent="0.2">
      <c r="A2936" s="48" t="s">
        <v>13310</v>
      </c>
      <c r="B2936" s="48"/>
      <c r="C2936" s="48"/>
      <c r="D2936" s="48"/>
      <c r="E2936" s="48"/>
      <c r="F2936" s="48"/>
    </row>
    <row r="2937" spans="1:38" ht="21" customHeight="1" outlineLevel="4" x14ac:dyDescent="0.2">
      <c r="A2937" s="39">
        <v>2331</v>
      </c>
      <c r="B2937" s="3" t="s">
        <v>13311</v>
      </c>
      <c r="C2937" s="49" t="s">
        <v>13312</v>
      </c>
      <c r="D2937" s="49"/>
      <c r="E2937" s="49"/>
      <c r="F2937" s="49"/>
      <c r="G2937" s="4" t="s">
        <v>13313</v>
      </c>
      <c r="H2937" s="8"/>
      <c r="I2937" s="9" t="s">
        <v>13314</v>
      </c>
      <c r="J2937" s="10"/>
      <c r="K2937" s="11">
        <v>72</v>
      </c>
      <c r="L2937" s="10"/>
      <c r="M2937" s="10" t="s">
        <v>78</v>
      </c>
      <c r="N2937" s="10"/>
      <c r="O2937" s="2">
        <v>4</v>
      </c>
      <c r="P2937" s="17">
        <f>179*(1-S3/100)</f>
        <v>179</v>
      </c>
      <c r="Q2937" s="18"/>
      <c r="R2937" s="10">
        <f>P2937*Q2937</f>
        <v>0</v>
      </c>
      <c r="S2937" s="28">
        <f>0.07*Q2937</f>
        <v>0</v>
      </c>
      <c r="T2937" s="20">
        <f>0.00014*Q2937</f>
        <v>0</v>
      </c>
      <c r="U2937" s="21"/>
      <c r="V2937" s="22" t="s">
        <v>13315</v>
      </c>
      <c r="W2937" s="22" t="s">
        <v>49</v>
      </c>
      <c r="X2937" s="3"/>
      <c r="Y2937" s="3"/>
      <c r="Z2937" s="3" t="s">
        <v>52</v>
      </c>
      <c r="AA2937" s="3"/>
      <c r="AB2937" s="3"/>
      <c r="AC2937" s="3" t="str">
        <f>HYPERLINK("https://knigipp.ru/api/getInfo/image/a92d778a-7877-11ee-a248-00155d82e902")</f>
        <v>https://knigipp.ru/api/getInfo/image/a92d778a-7877-11ee-a248-00155d82e902</v>
      </c>
      <c r="AD2937" s="32">
        <v>10</v>
      </c>
      <c r="AE2937" s="3" t="s">
        <v>54</v>
      </c>
      <c r="AF2937" s="3" t="s">
        <v>209</v>
      </c>
      <c r="AG2937" s="3"/>
      <c r="AH2937" s="3" t="s">
        <v>56</v>
      </c>
      <c r="AI2937" s="3"/>
      <c r="AJ2937" s="3"/>
      <c r="AK2937" s="3" t="str">
        <f>HYPERLINK("https://knigipp.ru/api/getInfo/item/a92d778a-7877-11ee-a248-00155d82e902")</f>
        <v>https://knigipp.ru/api/getInfo/item/a92d778a-7877-11ee-a248-00155d82e902</v>
      </c>
      <c r="AL2937" s="3" t="s">
        <v>13316</v>
      </c>
    </row>
    <row r="2938" spans="1:38" ht="21" customHeight="1" outlineLevel="4" x14ac:dyDescent="0.2">
      <c r="A2938" s="39">
        <v>2332</v>
      </c>
      <c r="B2938" s="3" t="s">
        <v>13317</v>
      </c>
      <c r="C2938" s="49" t="s">
        <v>13318</v>
      </c>
      <c r="D2938" s="49"/>
      <c r="E2938" s="49"/>
      <c r="F2938" s="49"/>
      <c r="G2938" s="4" t="s">
        <v>13319</v>
      </c>
      <c r="H2938" s="8"/>
      <c r="I2938" s="9" t="s">
        <v>13314</v>
      </c>
      <c r="J2938" s="10"/>
      <c r="K2938" s="11">
        <v>72</v>
      </c>
      <c r="L2938" s="10"/>
      <c r="M2938" s="10" t="s">
        <v>47</v>
      </c>
      <c r="N2938" s="10"/>
      <c r="O2938" s="2">
        <v>4</v>
      </c>
      <c r="P2938" s="17">
        <f>179*(1-S3/100)</f>
        <v>179</v>
      </c>
      <c r="Q2938" s="18"/>
      <c r="R2938" s="10">
        <f>P2938*Q2938</f>
        <v>0</v>
      </c>
      <c r="S2938" s="28">
        <f>0.07*Q2938</f>
        <v>0</v>
      </c>
      <c r="T2938" s="20">
        <f>0.00014*Q2938</f>
        <v>0</v>
      </c>
      <c r="U2938" s="21"/>
      <c r="V2938" s="22" t="s">
        <v>13320</v>
      </c>
      <c r="W2938" s="22" t="s">
        <v>49</v>
      </c>
      <c r="X2938" s="3"/>
      <c r="Y2938" s="3"/>
      <c r="Z2938" s="3" t="s">
        <v>52</v>
      </c>
      <c r="AA2938" s="3"/>
      <c r="AB2938" s="3"/>
      <c r="AC2938" s="3" t="str">
        <f>HYPERLINK("https://knigipp.ru/api/getInfo/image/f7cf472b-7877-11ee-a248-00155d82e902")</f>
        <v>https://knigipp.ru/api/getInfo/image/f7cf472b-7877-11ee-a248-00155d82e902</v>
      </c>
      <c r="AD2938" s="32">
        <v>10</v>
      </c>
      <c r="AE2938" s="3" t="s">
        <v>54</v>
      </c>
      <c r="AF2938" s="3" t="s">
        <v>209</v>
      </c>
      <c r="AG2938" s="3"/>
      <c r="AH2938" s="3" t="s">
        <v>56</v>
      </c>
      <c r="AI2938" s="3"/>
      <c r="AJ2938" s="3"/>
      <c r="AK2938" s="3" t="str">
        <f>HYPERLINK("https://knigipp.ru/api/getInfo/item/f7cf472b-7877-11ee-a248-00155d82e902")</f>
        <v>https://knigipp.ru/api/getInfo/item/f7cf472b-7877-11ee-a248-00155d82e902</v>
      </c>
      <c r="AL2938" s="3" t="s">
        <v>13316</v>
      </c>
    </row>
    <row r="2939" spans="1:38" ht="23.1" customHeight="1" outlineLevel="2" x14ac:dyDescent="0.2">
      <c r="A2939" s="47" t="s">
        <v>13321</v>
      </c>
      <c r="B2939" s="47"/>
      <c r="C2939" s="47"/>
      <c r="D2939" s="47"/>
      <c r="E2939" s="47"/>
      <c r="F2939" s="47"/>
    </row>
    <row r="2940" spans="1:38" ht="23.1" customHeight="1" outlineLevel="3" x14ac:dyDescent="0.2">
      <c r="A2940" s="48" t="s">
        <v>13322</v>
      </c>
      <c r="B2940" s="48"/>
      <c r="C2940" s="48"/>
      <c r="D2940" s="48"/>
      <c r="E2940" s="48"/>
      <c r="F2940" s="48"/>
    </row>
    <row r="2941" spans="1:38" ht="21" customHeight="1" outlineLevel="4" x14ac:dyDescent="0.2">
      <c r="A2941" s="39">
        <v>2333</v>
      </c>
      <c r="B2941" s="3" t="s">
        <v>13323</v>
      </c>
      <c r="C2941" s="49" t="s">
        <v>13324</v>
      </c>
      <c r="D2941" s="49"/>
      <c r="E2941" s="49"/>
      <c r="F2941" s="49"/>
      <c r="G2941" s="4" t="s">
        <v>13325</v>
      </c>
      <c r="H2941" s="8"/>
      <c r="I2941" s="9" t="s">
        <v>13326</v>
      </c>
      <c r="J2941" s="10"/>
      <c r="K2941" s="11">
        <v>40</v>
      </c>
      <c r="L2941" s="10"/>
      <c r="M2941" s="10" t="s">
        <v>304</v>
      </c>
      <c r="N2941" s="10"/>
      <c r="O2941" s="2">
        <v>7</v>
      </c>
      <c r="P2941" s="17">
        <f>97.2*(1-S3/100)</f>
        <v>97.2</v>
      </c>
      <c r="Q2941" s="18"/>
      <c r="R2941" s="10">
        <f>P2941*Q2941</f>
        <v>0</v>
      </c>
      <c r="S2941" s="19">
        <f>0.105*Q2941</f>
        <v>0</v>
      </c>
      <c r="T2941" s="20">
        <f>0.00026*Q2941</f>
        <v>0</v>
      </c>
      <c r="U2941" s="21"/>
      <c r="V2941" s="22" t="s">
        <v>13327</v>
      </c>
      <c r="W2941" s="22" t="s">
        <v>49</v>
      </c>
      <c r="X2941" s="3" t="s">
        <v>13328</v>
      </c>
      <c r="Y2941" s="3"/>
      <c r="Z2941" s="3" t="s">
        <v>52</v>
      </c>
      <c r="AA2941" s="3" t="s">
        <v>11490</v>
      </c>
      <c r="AB2941" s="3"/>
      <c r="AC2941" s="3"/>
      <c r="AD2941" s="32">
        <v>10</v>
      </c>
      <c r="AE2941" s="3"/>
      <c r="AF2941" s="3" t="s">
        <v>209</v>
      </c>
      <c r="AG2941" s="3"/>
      <c r="AH2941" s="3" t="s">
        <v>56</v>
      </c>
      <c r="AI2941" s="3"/>
      <c r="AJ2941" s="3" t="s">
        <v>13329</v>
      </c>
      <c r="AK2941" s="3"/>
      <c r="AL2941" s="3" t="s">
        <v>13330</v>
      </c>
    </row>
    <row r="2942" spans="1:38" ht="23.1" customHeight="1" outlineLevel="3" x14ac:dyDescent="0.2">
      <c r="A2942" s="48" t="s">
        <v>13331</v>
      </c>
      <c r="B2942" s="48"/>
      <c r="C2942" s="48"/>
      <c r="D2942" s="48"/>
      <c r="E2942" s="48"/>
      <c r="F2942" s="48"/>
    </row>
    <row r="2943" spans="1:38" ht="21" customHeight="1" outlineLevel="4" x14ac:dyDescent="0.2">
      <c r="A2943" s="39">
        <v>2334</v>
      </c>
      <c r="B2943" s="3" t="s">
        <v>13332</v>
      </c>
      <c r="C2943" s="49" t="s">
        <v>13333</v>
      </c>
      <c r="D2943" s="49"/>
      <c r="E2943" s="49"/>
      <c r="F2943" s="49"/>
      <c r="G2943" s="4" t="s">
        <v>13334</v>
      </c>
      <c r="H2943" s="8"/>
      <c r="I2943" s="9" t="s">
        <v>13335</v>
      </c>
      <c r="J2943" s="10"/>
      <c r="K2943" s="11">
        <v>40</v>
      </c>
      <c r="L2943" s="10"/>
      <c r="M2943" s="10" t="s">
        <v>78</v>
      </c>
      <c r="N2943" s="10"/>
      <c r="O2943" s="2">
        <v>4</v>
      </c>
      <c r="P2943" s="17">
        <f>170.94*(1-S3/100)</f>
        <v>170.94</v>
      </c>
      <c r="Q2943" s="18"/>
      <c r="R2943" s="10">
        <f>P2943*Q2943</f>
        <v>0</v>
      </c>
      <c r="S2943" s="28">
        <f>0.13*Q2943</f>
        <v>0</v>
      </c>
      <c r="T2943" s="30">
        <f>0.0002*Q2943</f>
        <v>0</v>
      </c>
      <c r="U2943" s="21"/>
      <c r="V2943" s="22" t="s">
        <v>13336</v>
      </c>
      <c r="W2943" s="22" t="s">
        <v>49</v>
      </c>
      <c r="X2943" s="3"/>
      <c r="Y2943" s="3"/>
      <c r="Z2943" s="3" t="s">
        <v>52</v>
      </c>
      <c r="AA2943" s="3"/>
      <c r="AB2943" s="3"/>
      <c r="AC2943" s="3" t="str">
        <f>HYPERLINK("https://knigipp.ru/api/getInfo/image/58ef2145-111d-11ea-a237-ac1f6b442184")</f>
        <v>https://knigipp.ru/api/getInfo/image/58ef2145-111d-11ea-a237-ac1f6b442184</v>
      </c>
      <c r="AD2943" s="32">
        <v>10</v>
      </c>
      <c r="AE2943" s="3"/>
      <c r="AF2943" s="3" t="s">
        <v>209</v>
      </c>
      <c r="AG2943" s="3"/>
      <c r="AH2943" s="3" t="s">
        <v>56</v>
      </c>
      <c r="AI2943" s="3"/>
      <c r="AJ2943" s="3"/>
      <c r="AK2943" s="3" t="str">
        <f>HYPERLINK("https://knigipp.ru/api/getInfo/item/58ef2145-111d-11ea-a237-ac1f6b442184")</f>
        <v>https://knigipp.ru/api/getInfo/item/58ef2145-111d-11ea-a237-ac1f6b442184</v>
      </c>
      <c r="AL2943" s="3" t="s">
        <v>13337</v>
      </c>
    </row>
    <row r="2944" spans="1:38" ht="23.1" customHeight="1" outlineLevel="1" x14ac:dyDescent="0.2">
      <c r="A2944" s="46" t="s">
        <v>13338</v>
      </c>
      <c r="B2944" s="46"/>
      <c r="C2944" s="46"/>
      <c r="D2944" s="46"/>
      <c r="E2944" s="46"/>
      <c r="F2944" s="46"/>
    </row>
    <row r="2945" spans="1:38" ht="21" customHeight="1" outlineLevel="2" x14ac:dyDescent="0.2">
      <c r="A2945" s="39">
        <v>2335</v>
      </c>
      <c r="B2945" s="3" t="s">
        <v>13339</v>
      </c>
      <c r="C2945" s="49" t="s">
        <v>13340</v>
      </c>
      <c r="D2945" s="49"/>
      <c r="E2945" s="49"/>
      <c r="F2945" s="49"/>
      <c r="G2945" s="4" t="s">
        <v>13341</v>
      </c>
      <c r="H2945" s="8"/>
      <c r="I2945" s="9" t="s">
        <v>13342</v>
      </c>
      <c r="J2945" s="10"/>
      <c r="K2945" s="10"/>
      <c r="L2945" s="10"/>
      <c r="M2945" s="10" t="s">
        <v>78</v>
      </c>
      <c r="N2945" s="10"/>
      <c r="O2945" s="2">
        <v>1</v>
      </c>
      <c r="P2945" s="17">
        <f>350*(1-S3/100)</f>
        <v>350</v>
      </c>
      <c r="Q2945" s="18"/>
      <c r="R2945" s="10">
        <f>P2945*Q2945</f>
        <v>0</v>
      </c>
      <c r="S2945" s="35">
        <f>0.5*Q2945</f>
        <v>0</v>
      </c>
      <c r="T2945" s="20">
        <f>0.00067*Q2945</f>
        <v>0</v>
      </c>
      <c r="U2945" s="21"/>
      <c r="V2945" s="22" t="s">
        <v>13343</v>
      </c>
      <c r="W2945" s="22" t="s">
        <v>49</v>
      </c>
      <c r="X2945" s="3" t="s">
        <v>13344</v>
      </c>
      <c r="Y2945" s="3"/>
      <c r="Z2945" s="3" t="s">
        <v>757</v>
      </c>
      <c r="AA2945" s="3"/>
      <c r="AB2945" s="3"/>
      <c r="AC2945" s="3"/>
      <c r="AD2945" s="32">
        <v>480</v>
      </c>
      <c r="AE2945" s="3"/>
      <c r="AF2945" s="3" t="s">
        <v>127</v>
      </c>
      <c r="AG2945" s="3"/>
      <c r="AH2945" s="3" t="s">
        <v>56</v>
      </c>
      <c r="AI2945" s="3"/>
      <c r="AJ2945" s="3"/>
      <c r="AK2945" s="3"/>
      <c r="AL2945" s="3" t="s">
        <v>13345</v>
      </c>
    </row>
  </sheetData>
  <autoFilter ref="A5:AM5">
    <filterColumn colId="2" showButton="0"/>
    <filterColumn colId="3" showButton="0"/>
    <filterColumn colId="4" showButton="0"/>
  </autoFilter>
  <mergeCells count="2978">
    <mergeCell ref="AK5:AK6"/>
    <mergeCell ref="AL5:AL6"/>
    <mergeCell ref="C5:F6"/>
    <mergeCell ref="AE5:AE6"/>
    <mergeCell ref="AF5:AF6"/>
    <mergeCell ref="AG5:AG6"/>
    <mergeCell ref="AH5:AH6"/>
    <mergeCell ref="AI5:AI6"/>
    <mergeCell ref="AJ5:AJ6"/>
    <mergeCell ref="Y5:Y6"/>
    <mergeCell ref="X5:X6"/>
    <mergeCell ref="M5:M6"/>
    <mergeCell ref="N5:N6"/>
    <mergeCell ref="O5:O6"/>
    <mergeCell ref="P5:P6"/>
    <mergeCell ref="Q5:Q6"/>
    <mergeCell ref="R5:R6"/>
    <mergeCell ref="Z5:Z6"/>
    <mergeCell ref="AA5:AA6"/>
    <mergeCell ref="AB5:AB6"/>
    <mergeCell ref="AC5:AC6"/>
    <mergeCell ref="AD5:AD6"/>
    <mergeCell ref="S5:S6"/>
    <mergeCell ref="T5:T6"/>
    <mergeCell ref="U5:U6"/>
    <mergeCell ref="V5:V6"/>
    <mergeCell ref="W5:W6"/>
    <mergeCell ref="C2932:F2932"/>
    <mergeCell ref="C2933:F2933"/>
    <mergeCell ref="A2934:F2934"/>
    <mergeCell ref="C2935:F2935"/>
    <mergeCell ref="A2936:F2936"/>
    <mergeCell ref="C2937:F2937"/>
    <mergeCell ref="C2938:F2938"/>
    <mergeCell ref="A2939:F2939"/>
    <mergeCell ref="A2940:F2940"/>
    <mergeCell ref="C2941:F2941"/>
    <mergeCell ref="A2942:F2942"/>
    <mergeCell ref="C2943:F2943"/>
    <mergeCell ref="A2944:F2944"/>
    <mergeCell ref="C2945:F2945"/>
    <mergeCell ref="G5:G6"/>
    <mergeCell ref="H5:H6"/>
    <mergeCell ref="I5:I6"/>
    <mergeCell ref="C2915:F2915"/>
    <mergeCell ref="A2916:F2916"/>
    <mergeCell ref="C2917:F2917"/>
    <mergeCell ref="C2918:F2918"/>
    <mergeCell ref="C2919:F2919"/>
    <mergeCell ref="C2920:F2920"/>
    <mergeCell ref="A2921:F2921"/>
    <mergeCell ref="C2922:F2922"/>
    <mergeCell ref="C2923:F2923"/>
    <mergeCell ref="C2924:F2924"/>
    <mergeCell ref="C2925:F2925"/>
    <mergeCell ref="A2926:F2926"/>
    <mergeCell ref="C2927:F2927"/>
    <mergeCell ref="C2928:F2928"/>
    <mergeCell ref="C2929:F2929"/>
    <mergeCell ref="C2930:F2930"/>
    <mergeCell ref="A2931:F2931"/>
    <mergeCell ref="A2898:F2898"/>
    <mergeCell ref="C2899:F2899"/>
    <mergeCell ref="C2900:F2900"/>
    <mergeCell ref="C2901:F2901"/>
    <mergeCell ref="C2902:F2902"/>
    <mergeCell ref="A2903:F2903"/>
    <mergeCell ref="C2904:F2904"/>
    <mergeCell ref="C2905:F2905"/>
    <mergeCell ref="C2906:F2906"/>
    <mergeCell ref="C2907:F2907"/>
    <mergeCell ref="C2908:F2908"/>
    <mergeCell ref="C2909:F2909"/>
    <mergeCell ref="C2910:F2910"/>
    <mergeCell ref="C2911:F2911"/>
    <mergeCell ref="C2912:F2912"/>
    <mergeCell ref="C2913:F2913"/>
    <mergeCell ref="C2914:F2914"/>
    <mergeCell ref="C2881:F2881"/>
    <mergeCell ref="C2882:F2882"/>
    <mergeCell ref="C2883:F2883"/>
    <mergeCell ref="C2884:F2884"/>
    <mergeCell ref="C2885:F2885"/>
    <mergeCell ref="C2886:F2886"/>
    <mergeCell ref="C2887:F2887"/>
    <mergeCell ref="A2888:F2888"/>
    <mergeCell ref="C2889:F2889"/>
    <mergeCell ref="C2890:F2890"/>
    <mergeCell ref="C2891:F2891"/>
    <mergeCell ref="C2892:F2892"/>
    <mergeCell ref="A2893:F2893"/>
    <mergeCell ref="C2894:F2894"/>
    <mergeCell ref="C2895:F2895"/>
    <mergeCell ref="C2896:F2896"/>
    <mergeCell ref="C2897:F2897"/>
    <mergeCell ref="C2864:F2864"/>
    <mergeCell ref="C2865:F2865"/>
    <mergeCell ref="C2866:F2866"/>
    <mergeCell ref="C2867:F2867"/>
    <mergeCell ref="C2868:F2868"/>
    <mergeCell ref="C2869:F2869"/>
    <mergeCell ref="C2870:F2870"/>
    <mergeCell ref="C2871:F2871"/>
    <mergeCell ref="C2872:F2872"/>
    <mergeCell ref="C2873:F2873"/>
    <mergeCell ref="C2874:F2874"/>
    <mergeCell ref="C2875:F2875"/>
    <mergeCell ref="C2876:F2876"/>
    <mergeCell ref="C2877:F2877"/>
    <mergeCell ref="C2878:F2878"/>
    <mergeCell ref="C2879:F2879"/>
    <mergeCell ref="C2880:F2880"/>
    <mergeCell ref="C2847:F2847"/>
    <mergeCell ref="C2848:F2848"/>
    <mergeCell ref="C2849:F2849"/>
    <mergeCell ref="C2850:F2850"/>
    <mergeCell ref="C2851:F2851"/>
    <mergeCell ref="C2852:F2852"/>
    <mergeCell ref="C2853:F2853"/>
    <mergeCell ref="C2854:F2854"/>
    <mergeCell ref="C2855:F2855"/>
    <mergeCell ref="C2856:F2856"/>
    <mergeCell ref="C2857:F2857"/>
    <mergeCell ref="C2858:F2858"/>
    <mergeCell ref="C2859:F2859"/>
    <mergeCell ref="C2860:F2860"/>
    <mergeCell ref="C2861:F2861"/>
    <mergeCell ref="C2862:F2862"/>
    <mergeCell ref="C2863:F2863"/>
    <mergeCell ref="C2830:F2830"/>
    <mergeCell ref="C2831:F2831"/>
    <mergeCell ref="C2832:F2832"/>
    <mergeCell ref="C2833:F2833"/>
    <mergeCell ref="C2834:F2834"/>
    <mergeCell ref="C2835:F2835"/>
    <mergeCell ref="C2836:F2836"/>
    <mergeCell ref="C2837:F2837"/>
    <mergeCell ref="C2838:F2838"/>
    <mergeCell ref="C2839:F2839"/>
    <mergeCell ref="C2840:F2840"/>
    <mergeCell ref="C2841:F2841"/>
    <mergeCell ref="C2842:F2842"/>
    <mergeCell ref="C2843:F2843"/>
    <mergeCell ref="C2844:F2844"/>
    <mergeCell ref="C2845:F2845"/>
    <mergeCell ref="C2846:F2846"/>
    <mergeCell ref="C2813:F2813"/>
    <mergeCell ref="C2814:F2814"/>
    <mergeCell ref="C2815:F2815"/>
    <mergeCell ref="C2816:F2816"/>
    <mergeCell ref="C2817:F2817"/>
    <mergeCell ref="C2818:F2818"/>
    <mergeCell ref="C2819:F2819"/>
    <mergeCell ref="C2820:F2820"/>
    <mergeCell ref="C2821:F2821"/>
    <mergeCell ref="A2822:F2822"/>
    <mergeCell ref="C2823:F2823"/>
    <mergeCell ref="C2824:F2824"/>
    <mergeCell ref="C2825:F2825"/>
    <mergeCell ref="C2826:F2826"/>
    <mergeCell ref="C2827:F2827"/>
    <mergeCell ref="C2828:F2828"/>
    <mergeCell ref="C2829:F2829"/>
    <mergeCell ref="C2796:F2796"/>
    <mergeCell ref="C2797:F2797"/>
    <mergeCell ref="C2798:F2798"/>
    <mergeCell ref="C2799:F2799"/>
    <mergeCell ref="C2800:F2800"/>
    <mergeCell ref="C2801:F2801"/>
    <mergeCell ref="C2802:F2802"/>
    <mergeCell ref="C2803:F2803"/>
    <mergeCell ref="C2804:F2804"/>
    <mergeCell ref="C2805:F2805"/>
    <mergeCell ref="C2806:F2806"/>
    <mergeCell ref="C2807:F2807"/>
    <mergeCell ref="C2808:F2808"/>
    <mergeCell ref="C2809:F2809"/>
    <mergeCell ref="C2810:F2810"/>
    <mergeCell ref="C2811:F2811"/>
    <mergeCell ref="C2812:F2812"/>
    <mergeCell ref="C2779:F2779"/>
    <mergeCell ref="C2780:F2780"/>
    <mergeCell ref="C2781:F2781"/>
    <mergeCell ref="C2782:F2782"/>
    <mergeCell ref="C2783:F2783"/>
    <mergeCell ref="C2784:F2784"/>
    <mergeCell ref="C2785:F2785"/>
    <mergeCell ref="C2786:F2786"/>
    <mergeCell ref="C2787:F2787"/>
    <mergeCell ref="C2788:F2788"/>
    <mergeCell ref="C2789:F2789"/>
    <mergeCell ref="C2790:F2790"/>
    <mergeCell ref="C2791:F2791"/>
    <mergeCell ref="C2792:F2792"/>
    <mergeCell ref="C2793:F2793"/>
    <mergeCell ref="C2794:F2794"/>
    <mergeCell ref="C2795:F2795"/>
    <mergeCell ref="C2762:F2762"/>
    <mergeCell ref="C2763:F2763"/>
    <mergeCell ref="C2764:F2764"/>
    <mergeCell ref="C2765:F2765"/>
    <mergeCell ref="C2766:F2766"/>
    <mergeCell ref="C2767:F2767"/>
    <mergeCell ref="C2768:F2768"/>
    <mergeCell ref="C2769:F2769"/>
    <mergeCell ref="C2770:F2770"/>
    <mergeCell ref="C2771:F2771"/>
    <mergeCell ref="C2772:F2772"/>
    <mergeCell ref="C2773:F2773"/>
    <mergeCell ref="C2774:F2774"/>
    <mergeCell ref="C2775:F2775"/>
    <mergeCell ref="C2776:F2776"/>
    <mergeCell ref="C2777:F2777"/>
    <mergeCell ref="C2778:F2778"/>
    <mergeCell ref="C2745:F2745"/>
    <mergeCell ref="C2746:F2746"/>
    <mergeCell ref="C2747:F2747"/>
    <mergeCell ref="C2748:F2748"/>
    <mergeCell ref="C2749:F2749"/>
    <mergeCell ref="C2750:F2750"/>
    <mergeCell ref="C2751:F2751"/>
    <mergeCell ref="C2752:F2752"/>
    <mergeCell ref="C2753:F2753"/>
    <mergeCell ref="C2754:F2754"/>
    <mergeCell ref="C2755:F2755"/>
    <mergeCell ref="C2756:F2756"/>
    <mergeCell ref="C2757:F2757"/>
    <mergeCell ref="C2758:F2758"/>
    <mergeCell ref="C2759:F2759"/>
    <mergeCell ref="C2760:F2760"/>
    <mergeCell ref="C2761:F2761"/>
    <mergeCell ref="C2728:F2728"/>
    <mergeCell ref="A2729:F2729"/>
    <mergeCell ref="C2730:F2730"/>
    <mergeCell ref="C2731:F2731"/>
    <mergeCell ref="C2732:F2732"/>
    <mergeCell ref="C2733:F2733"/>
    <mergeCell ref="C2734:F2734"/>
    <mergeCell ref="C2735:F2735"/>
    <mergeCell ref="C2736:F2736"/>
    <mergeCell ref="C2737:F2737"/>
    <mergeCell ref="C2738:F2738"/>
    <mergeCell ref="C2739:F2739"/>
    <mergeCell ref="C2740:F2740"/>
    <mergeCell ref="C2741:F2741"/>
    <mergeCell ref="C2742:F2742"/>
    <mergeCell ref="C2743:F2743"/>
    <mergeCell ref="C2744:F2744"/>
    <mergeCell ref="C2711:F2711"/>
    <mergeCell ref="C2712:F2712"/>
    <mergeCell ref="C2713:F2713"/>
    <mergeCell ref="C2714:F2714"/>
    <mergeCell ref="C2715:F2715"/>
    <mergeCell ref="C2716:F2716"/>
    <mergeCell ref="C2717:F2717"/>
    <mergeCell ref="A2718:F2718"/>
    <mergeCell ref="C2719:F2719"/>
    <mergeCell ref="C2720:F2720"/>
    <mergeCell ref="C2721:F2721"/>
    <mergeCell ref="C2722:F2722"/>
    <mergeCell ref="A2723:F2723"/>
    <mergeCell ref="A2724:F2724"/>
    <mergeCell ref="C2725:F2725"/>
    <mergeCell ref="C2726:F2726"/>
    <mergeCell ref="C2727:F2727"/>
    <mergeCell ref="C2694:F2694"/>
    <mergeCell ref="C2695:F2695"/>
    <mergeCell ref="C2696:F2696"/>
    <mergeCell ref="C2697:F2697"/>
    <mergeCell ref="C2698:F2698"/>
    <mergeCell ref="C2699:F2699"/>
    <mergeCell ref="C2700:F2700"/>
    <mergeCell ref="C2701:F2701"/>
    <mergeCell ref="C2702:F2702"/>
    <mergeCell ref="C2703:F2703"/>
    <mergeCell ref="C2704:F2704"/>
    <mergeCell ref="C2705:F2705"/>
    <mergeCell ref="C2706:F2706"/>
    <mergeCell ref="C2707:F2707"/>
    <mergeCell ref="C2708:F2708"/>
    <mergeCell ref="C2709:F2709"/>
    <mergeCell ref="C2710:F2710"/>
    <mergeCell ref="C2677:F2677"/>
    <mergeCell ref="C2678:F2678"/>
    <mergeCell ref="C2679:F2679"/>
    <mergeCell ref="C2680:F2680"/>
    <mergeCell ref="C2681:F2681"/>
    <mergeCell ref="C2682:F2682"/>
    <mergeCell ref="C2683:F2683"/>
    <mergeCell ref="C2684:F2684"/>
    <mergeCell ref="C2685:F2685"/>
    <mergeCell ref="C2686:F2686"/>
    <mergeCell ref="C2687:F2687"/>
    <mergeCell ref="C2688:F2688"/>
    <mergeCell ref="C2689:F2689"/>
    <mergeCell ref="C2690:F2690"/>
    <mergeCell ref="C2691:F2691"/>
    <mergeCell ref="C2692:F2692"/>
    <mergeCell ref="C2693:F2693"/>
    <mergeCell ref="C2660:F2660"/>
    <mergeCell ref="C2661:F2661"/>
    <mergeCell ref="C2662:F2662"/>
    <mergeCell ref="C2663:F2663"/>
    <mergeCell ref="C2664:F2664"/>
    <mergeCell ref="C2665:F2665"/>
    <mergeCell ref="C2666:F2666"/>
    <mergeCell ref="C2667:F2667"/>
    <mergeCell ref="C2668:F2668"/>
    <mergeCell ref="C2669:F2669"/>
    <mergeCell ref="C2670:F2670"/>
    <mergeCell ref="C2671:F2671"/>
    <mergeCell ref="A2672:F2672"/>
    <mergeCell ref="C2673:F2673"/>
    <mergeCell ref="C2674:F2674"/>
    <mergeCell ref="C2675:F2675"/>
    <mergeCell ref="C2676:F2676"/>
    <mergeCell ref="C2643:F2643"/>
    <mergeCell ref="C2644:F2644"/>
    <mergeCell ref="C2645:F2645"/>
    <mergeCell ref="C2646:F2646"/>
    <mergeCell ref="C2647:F2647"/>
    <mergeCell ref="C2648:F2648"/>
    <mergeCell ref="C2649:F2649"/>
    <mergeCell ref="C2650:F2650"/>
    <mergeCell ref="C2651:F2651"/>
    <mergeCell ref="C2652:F2652"/>
    <mergeCell ref="C2653:F2653"/>
    <mergeCell ref="C2654:F2654"/>
    <mergeCell ref="C2655:F2655"/>
    <mergeCell ref="C2656:F2656"/>
    <mergeCell ref="C2657:F2657"/>
    <mergeCell ref="C2658:F2658"/>
    <mergeCell ref="C2659:F2659"/>
    <mergeCell ref="C2626:F2626"/>
    <mergeCell ref="A2627:F2627"/>
    <mergeCell ref="C2628:F2628"/>
    <mergeCell ref="C2629:F2629"/>
    <mergeCell ref="C2630:F2630"/>
    <mergeCell ref="C2631:F2631"/>
    <mergeCell ref="C2632:F2632"/>
    <mergeCell ref="A2633:F2633"/>
    <mergeCell ref="A2634:F2634"/>
    <mergeCell ref="C2635:F2635"/>
    <mergeCell ref="C2636:F2636"/>
    <mergeCell ref="C2637:F2637"/>
    <mergeCell ref="C2638:F2638"/>
    <mergeCell ref="C2639:F2639"/>
    <mergeCell ref="C2640:F2640"/>
    <mergeCell ref="C2641:F2641"/>
    <mergeCell ref="C2642:F2642"/>
    <mergeCell ref="A2609:F2609"/>
    <mergeCell ref="C2610:F2610"/>
    <mergeCell ref="C2611:F2611"/>
    <mergeCell ref="C2612:F2612"/>
    <mergeCell ref="C2613:F2613"/>
    <mergeCell ref="C2614:F2614"/>
    <mergeCell ref="C2615:F2615"/>
    <mergeCell ref="C2616:F2616"/>
    <mergeCell ref="C2617:F2617"/>
    <mergeCell ref="C2618:F2618"/>
    <mergeCell ref="C2619:F2619"/>
    <mergeCell ref="A2620:F2620"/>
    <mergeCell ref="C2621:F2621"/>
    <mergeCell ref="C2622:F2622"/>
    <mergeCell ref="C2623:F2623"/>
    <mergeCell ref="C2624:F2624"/>
    <mergeCell ref="C2625:F2625"/>
    <mergeCell ref="C2592:F2592"/>
    <mergeCell ref="C2593:F2593"/>
    <mergeCell ref="C2594:F2594"/>
    <mergeCell ref="C2595:F2595"/>
    <mergeCell ref="C2596:F2596"/>
    <mergeCell ref="C2597:F2597"/>
    <mergeCell ref="C2598:F2598"/>
    <mergeCell ref="A2599:F2599"/>
    <mergeCell ref="A2600:F2600"/>
    <mergeCell ref="C2601:F2601"/>
    <mergeCell ref="C2602:F2602"/>
    <mergeCell ref="C2603:F2603"/>
    <mergeCell ref="C2604:F2604"/>
    <mergeCell ref="C2605:F2605"/>
    <mergeCell ref="A2606:F2606"/>
    <mergeCell ref="C2607:F2607"/>
    <mergeCell ref="A2608:F2608"/>
    <mergeCell ref="C2575:F2575"/>
    <mergeCell ref="A2576:F2576"/>
    <mergeCell ref="C2577:F2577"/>
    <mergeCell ref="C2578:F2578"/>
    <mergeCell ref="A2579:F2579"/>
    <mergeCell ref="A2580:F2580"/>
    <mergeCell ref="C2581:F2581"/>
    <mergeCell ref="C2582:F2582"/>
    <mergeCell ref="C2583:F2583"/>
    <mergeCell ref="C2584:F2584"/>
    <mergeCell ref="C2585:F2585"/>
    <mergeCell ref="A2586:F2586"/>
    <mergeCell ref="C2587:F2587"/>
    <mergeCell ref="A2588:F2588"/>
    <mergeCell ref="C2589:F2589"/>
    <mergeCell ref="A2590:F2590"/>
    <mergeCell ref="C2591:F2591"/>
    <mergeCell ref="C2558:F2558"/>
    <mergeCell ref="A2559:F2559"/>
    <mergeCell ref="A2560:F2560"/>
    <mergeCell ref="C2561:F2561"/>
    <mergeCell ref="A2562:F2562"/>
    <mergeCell ref="C2563:F2563"/>
    <mergeCell ref="C2564:F2564"/>
    <mergeCell ref="C2565:F2565"/>
    <mergeCell ref="C2566:F2566"/>
    <mergeCell ref="C2567:F2567"/>
    <mergeCell ref="C2568:F2568"/>
    <mergeCell ref="C2569:F2569"/>
    <mergeCell ref="A2570:F2570"/>
    <mergeCell ref="A2571:F2571"/>
    <mergeCell ref="C2572:F2572"/>
    <mergeCell ref="C2573:F2573"/>
    <mergeCell ref="C2574:F2574"/>
    <mergeCell ref="A2541:F2541"/>
    <mergeCell ref="A2542:F2542"/>
    <mergeCell ref="C2543:F2543"/>
    <mergeCell ref="C2544:F2544"/>
    <mergeCell ref="C2545:F2545"/>
    <mergeCell ref="A2546:F2546"/>
    <mergeCell ref="C2547:F2547"/>
    <mergeCell ref="C2548:F2548"/>
    <mergeCell ref="C2549:F2549"/>
    <mergeCell ref="C2550:F2550"/>
    <mergeCell ref="A2551:F2551"/>
    <mergeCell ref="C2552:F2552"/>
    <mergeCell ref="A2553:F2553"/>
    <mergeCell ref="C2554:F2554"/>
    <mergeCell ref="A2555:F2555"/>
    <mergeCell ref="C2556:F2556"/>
    <mergeCell ref="A2557:F2557"/>
    <mergeCell ref="C2524:F2524"/>
    <mergeCell ref="C2525:F2525"/>
    <mergeCell ref="C2526:F2526"/>
    <mergeCell ref="A2527:F2527"/>
    <mergeCell ref="C2528:F2528"/>
    <mergeCell ref="C2529:F2529"/>
    <mergeCell ref="A2530:F2530"/>
    <mergeCell ref="C2531:F2531"/>
    <mergeCell ref="C2532:F2532"/>
    <mergeCell ref="C2533:F2533"/>
    <mergeCell ref="C2534:F2534"/>
    <mergeCell ref="C2535:F2535"/>
    <mergeCell ref="C2536:F2536"/>
    <mergeCell ref="C2537:F2537"/>
    <mergeCell ref="C2538:F2538"/>
    <mergeCell ref="C2539:F2539"/>
    <mergeCell ref="A2540:F2540"/>
    <mergeCell ref="C2507:F2507"/>
    <mergeCell ref="C2508:F2508"/>
    <mergeCell ref="C2509:F2509"/>
    <mergeCell ref="C2510:F2510"/>
    <mergeCell ref="C2511:F2511"/>
    <mergeCell ref="C2512:F2512"/>
    <mergeCell ref="C2513:F2513"/>
    <mergeCell ref="C2514:F2514"/>
    <mergeCell ref="C2515:F2515"/>
    <mergeCell ref="C2516:F2516"/>
    <mergeCell ref="C2517:F2517"/>
    <mergeCell ref="A2518:F2518"/>
    <mergeCell ref="C2519:F2519"/>
    <mergeCell ref="C2520:F2520"/>
    <mergeCell ref="C2521:F2521"/>
    <mergeCell ref="C2522:F2522"/>
    <mergeCell ref="C2523:F2523"/>
    <mergeCell ref="C2490:F2490"/>
    <mergeCell ref="C2491:F2491"/>
    <mergeCell ref="A2492:F2492"/>
    <mergeCell ref="C2493:F2493"/>
    <mergeCell ref="C2494:F2494"/>
    <mergeCell ref="C2495:F2495"/>
    <mergeCell ref="C2496:F2496"/>
    <mergeCell ref="C2497:F2497"/>
    <mergeCell ref="C2498:F2498"/>
    <mergeCell ref="C2499:F2499"/>
    <mergeCell ref="A2500:F2500"/>
    <mergeCell ref="C2501:F2501"/>
    <mergeCell ref="C2502:F2502"/>
    <mergeCell ref="C2503:F2503"/>
    <mergeCell ref="A2504:F2504"/>
    <mergeCell ref="C2505:F2505"/>
    <mergeCell ref="C2506:F2506"/>
    <mergeCell ref="C2473:F2473"/>
    <mergeCell ref="C2474:F2474"/>
    <mergeCell ref="C2475:F2475"/>
    <mergeCell ref="C2476:F2476"/>
    <mergeCell ref="C2477:F2477"/>
    <mergeCell ref="C2478:F2478"/>
    <mergeCell ref="A2479:F2479"/>
    <mergeCell ref="C2480:F2480"/>
    <mergeCell ref="C2481:F2481"/>
    <mergeCell ref="C2482:F2482"/>
    <mergeCell ref="C2483:F2483"/>
    <mergeCell ref="A2484:F2484"/>
    <mergeCell ref="C2485:F2485"/>
    <mergeCell ref="C2486:F2486"/>
    <mergeCell ref="C2487:F2487"/>
    <mergeCell ref="C2488:F2488"/>
    <mergeCell ref="A2489:F2489"/>
    <mergeCell ref="A2456:F2456"/>
    <mergeCell ref="C2457:F2457"/>
    <mergeCell ref="C2458:F2458"/>
    <mergeCell ref="C2459:F2459"/>
    <mergeCell ref="C2460:F2460"/>
    <mergeCell ref="C2461:F2461"/>
    <mergeCell ref="C2462:F2462"/>
    <mergeCell ref="C2463:F2463"/>
    <mergeCell ref="A2464:F2464"/>
    <mergeCell ref="C2465:F2465"/>
    <mergeCell ref="C2466:F2466"/>
    <mergeCell ref="C2467:F2467"/>
    <mergeCell ref="C2468:F2468"/>
    <mergeCell ref="A2469:F2469"/>
    <mergeCell ref="A2470:F2470"/>
    <mergeCell ref="C2471:F2471"/>
    <mergeCell ref="C2472:F2472"/>
    <mergeCell ref="C2439:F2439"/>
    <mergeCell ref="C2440:F2440"/>
    <mergeCell ref="C2441:F2441"/>
    <mergeCell ref="C2442:F2442"/>
    <mergeCell ref="C2443:F2443"/>
    <mergeCell ref="C2444:F2444"/>
    <mergeCell ref="C2445:F2445"/>
    <mergeCell ref="C2446:F2446"/>
    <mergeCell ref="C2447:F2447"/>
    <mergeCell ref="C2448:F2448"/>
    <mergeCell ref="C2449:F2449"/>
    <mergeCell ref="C2450:F2450"/>
    <mergeCell ref="C2451:F2451"/>
    <mergeCell ref="C2452:F2452"/>
    <mergeCell ref="A2453:F2453"/>
    <mergeCell ref="C2454:F2454"/>
    <mergeCell ref="C2455:F2455"/>
    <mergeCell ref="C2422:F2422"/>
    <mergeCell ref="C2423:F2423"/>
    <mergeCell ref="C2424:F2424"/>
    <mergeCell ref="C2425:F2425"/>
    <mergeCell ref="C2426:F2426"/>
    <mergeCell ref="C2427:F2427"/>
    <mergeCell ref="C2428:F2428"/>
    <mergeCell ref="C2429:F2429"/>
    <mergeCell ref="C2430:F2430"/>
    <mergeCell ref="C2431:F2431"/>
    <mergeCell ref="C2432:F2432"/>
    <mergeCell ref="C2433:F2433"/>
    <mergeCell ref="C2434:F2434"/>
    <mergeCell ref="C2435:F2435"/>
    <mergeCell ref="C2436:F2436"/>
    <mergeCell ref="C2437:F2437"/>
    <mergeCell ref="C2438:F2438"/>
    <mergeCell ref="C2405:F2405"/>
    <mergeCell ref="C2406:F2406"/>
    <mergeCell ref="C2407:F2407"/>
    <mergeCell ref="C2408:F2408"/>
    <mergeCell ref="A2409:F2409"/>
    <mergeCell ref="C2410:F2410"/>
    <mergeCell ref="C2411:F2411"/>
    <mergeCell ref="C2412:F2412"/>
    <mergeCell ref="C2413:F2413"/>
    <mergeCell ref="A2414:F2414"/>
    <mergeCell ref="C2415:F2415"/>
    <mergeCell ref="C2416:F2416"/>
    <mergeCell ref="C2417:F2417"/>
    <mergeCell ref="C2418:F2418"/>
    <mergeCell ref="C2419:F2419"/>
    <mergeCell ref="C2420:F2420"/>
    <mergeCell ref="C2421:F2421"/>
    <mergeCell ref="C2388:F2388"/>
    <mergeCell ref="C2389:F2389"/>
    <mergeCell ref="C2390:F2390"/>
    <mergeCell ref="C2391:F2391"/>
    <mergeCell ref="C2392:F2392"/>
    <mergeCell ref="C2393:F2393"/>
    <mergeCell ref="C2394:F2394"/>
    <mergeCell ref="C2395:F2395"/>
    <mergeCell ref="C2396:F2396"/>
    <mergeCell ref="C2397:F2397"/>
    <mergeCell ref="C2398:F2398"/>
    <mergeCell ref="C2399:F2399"/>
    <mergeCell ref="C2400:F2400"/>
    <mergeCell ref="A2401:F2401"/>
    <mergeCell ref="C2402:F2402"/>
    <mergeCell ref="C2403:F2403"/>
    <mergeCell ref="A2404:F2404"/>
    <mergeCell ref="C2371:F2371"/>
    <mergeCell ref="C2372:F2372"/>
    <mergeCell ref="C2373:F2373"/>
    <mergeCell ref="C2374:F2374"/>
    <mergeCell ref="C2375:F2375"/>
    <mergeCell ref="C2376:F2376"/>
    <mergeCell ref="C2377:F2377"/>
    <mergeCell ref="C2378:F2378"/>
    <mergeCell ref="C2379:F2379"/>
    <mergeCell ref="C2380:F2380"/>
    <mergeCell ref="C2381:F2381"/>
    <mergeCell ref="A2382:F2382"/>
    <mergeCell ref="C2383:F2383"/>
    <mergeCell ref="C2384:F2384"/>
    <mergeCell ref="C2385:F2385"/>
    <mergeCell ref="C2386:F2386"/>
    <mergeCell ref="C2387:F2387"/>
    <mergeCell ref="C2354:F2354"/>
    <mergeCell ref="C2355:F2355"/>
    <mergeCell ref="C2356:F2356"/>
    <mergeCell ref="A2357:F2357"/>
    <mergeCell ref="A2358:F2358"/>
    <mergeCell ref="C2359:F2359"/>
    <mergeCell ref="C2360:F2360"/>
    <mergeCell ref="A2361:F2361"/>
    <mergeCell ref="C2362:F2362"/>
    <mergeCell ref="A2363:F2363"/>
    <mergeCell ref="C2364:F2364"/>
    <mergeCell ref="C2365:F2365"/>
    <mergeCell ref="A2366:F2366"/>
    <mergeCell ref="A2367:F2367"/>
    <mergeCell ref="C2368:F2368"/>
    <mergeCell ref="A2369:F2369"/>
    <mergeCell ref="C2370:F2370"/>
    <mergeCell ref="A2337:F2337"/>
    <mergeCell ref="A2338:F2338"/>
    <mergeCell ref="C2339:F2339"/>
    <mergeCell ref="C2340:F2340"/>
    <mergeCell ref="C2341:F2341"/>
    <mergeCell ref="C2342:F2342"/>
    <mergeCell ref="A2343:F2343"/>
    <mergeCell ref="C2344:F2344"/>
    <mergeCell ref="C2345:F2345"/>
    <mergeCell ref="C2346:F2346"/>
    <mergeCell ref="A2347:F2347"/>
    <mergeCell ref="C2348:F2348"/>
    <mergeCell ref="C2349:F2349"/>
    <mergeCell ref="C2350:F2350"/>
    <mergeCell ref="C2351:F2351"/>
    <mergeCell ref="C2352:F2352"/>
    <mergeCell ref="C2353:F2353"/>
    <mergeCell ref="C2320:F2320"/>
    <mergeCell ref="C2321:F2321"/>
    <mergeCell ref="A2322:F2322"/>
    <mergeCell ref="C2323:F2323"/>
    <mergeCell ref="C2324:F2324"/>
    <mergeCell ref="A2325:F2325"/>
    <mergeCell ref="C2326:F2326"/>
    <mergeCell ref="C2327:F2327"/>
    <mergeCell ref="C2328:F2328"/>
    <mergeCell ref="C2329:F2329"/>
    <mergeCell ref="C2330:F2330"/>
    <mergeCell ref="C2331:F2331"/>
    <mergeCell ref="A2332:F2332"/>
    <mergeCell ref="C2333:F2333"/>
    <mergeCell ref="C2334:F2334"/>
    <mergeCell ref="C2335:F2335"/>
    <mergeCell ref="C2336:F2336"/>
    <mergeCell ref="C2303:F2303"/>
    <mergeCell ref="C2304:F2304"/>
    <mergeCell ref="C2305:F2305"/>
    <mergeCell ref="C2306:F2306"/>
    <mergeCell ref="C2307:F2307"/>
    <mergeCell ref="C2308:F2308"/>
    <mergeCell ref="C2309:F2309"/>
    <mergeCell ref="A2310:F2310"/>
    <mergeCell ref="C2311:F2311"/>
    <mergeCell ref="C2312:F2312"/>
    <mergeCell ref="C2313:F2313"/>
    <mergeCell ref="A2314:F2314"/>
    <mergeCell ref="C2315:F2315"/>
    <mergeCell ref="C2316:F2316"/>
    <mergeCell ref="C2317:F2317"/>
    <mergeCell ref="C2318:F2318"/>
    <mergeCell ref="C2319:F2319"/>
    <mergeCell ref="C2286:F2286"/>
    <mergeCell ref="C2287:F2287"/>
    <mergeCell ref="C2288:F2288"/>
    <mergeCell ref="A2289:F2289"/>
    <mergeCell ref="C2290:F2290"/>
    <mergeCell ref="C2291:F2291"/>
    <mergeCell ref="C2292:F2292"/>
    <mergeCell ref="C2293:F2293"/>
    <mergeCell ref="C2294:F2294"/>
    <mergeCell ref="A2295:F2295"/>
    <mergeCell ref="C2296:F2296"/>
    <mergeCell ref="A2297:F2297"/>
    <mergeCell ref="C2298:F2298"/>
    <mergeCell ref="A2299:F2299"/>
    <mergeCell ref="C2300:F2300"/>
    <mergeCell ref="C2301:F2301"/>
    <mergeCell ref="C2302:F2302"/>
    <mergeCell ref="A2269:F2269"/>
    <mergeCell ref="C2270:F2270"/>
    <mergeCell ref="C2271:F2271"/>
    <mergeCell ref="C2272:F2272"/>
    <mergeCell ref="C2273:F2273"/>
    <mergeCell ref="A2274:F2274"/>
    <mergeCell ref="C2275:F2275"/>
    <mergeCell ref="C2276:F2276"/>
    <mergeCell ref="C2277:F2277"/>
    <mergeCell ref="C2278:F2278"/>
    <mergeCell ref="A2279:F2279"/>
    <mergeCell ref="C2280:F2280"/>
    <mergeCell ref="C2281:F2281"/>
    <mergeCell ref="C2282:F2282"/>
    <mergeCell ref="C2283:F2283"/>
    <mergeCell ref="C2284:F2284"/>
    <mergeCell ref="C2285:F2285"/>
    <mergeCell ref="C2252:F2252"/>
    <mergeCell ref="A2253:F2253"/>
    <mergeCell ref="C2254:F2254"/>
    <mergeCell ref="C2255:F2255"/>
    <mergeCell ref="C2256:F2256"/>
    <mergeCell ref="A2257:F2257"/>
    <mergeCell ref="C2258:F2258"/>
    <mergeCell ref="C2259:F2259"/>
    <mergeCell ref="C2260:F2260"/>
    <mergeCell ref="C2261:F2261"/>
    <mergeCell ref="C2262:F2262"/>
    <mergeCell ref="C2263:F2263"/>
    <mergeCell ref="C2264:F2264"/>
    <mergeCell ref="C2265:F2265"/>
    <mergeCell ref="C2266:F2266"/>
    <mergeCell ref="C2267:F2267"/>
    <mergeCell ref="A2268:F2268"/>
    <mergeCell ref="C2235:F2235"/>
    <mergeCell ref="A2236:F2236"/>
    <mergeCell ref="C2237:F2237"/>
    <mergeCell ref="C2238:F2238"/>
    <mergeCell ref="C2239:F2239"/>
    <mergeCell ref="C2240:F2240"/>
    <mergeCell ref="C2241:F2241"/>
    <mergeCell ref="C2242:F2242"/>
    <mergeCell ref="C2243:F2243"/>
    <mergeCell ref="C2244:F2244"/>
    <mergeCell ref="C2245:F2245"/>
    <mergeCell ref="C2246:F2246"/>
    <mergeCell ref="C2247:F2247"/>
    <mergeCell ref="C2248:F2248"/>
    <mergeCell ref="A2249:F2249"/>
    <mergeCell ref="C2250:F2250"/>
    <mergeCell ref="C2251:F2251"/>
    <mergeCell ref="A2218:F2218"/>
    <mergeCell ref="C2219:F2219"/>
    <mergeCell ref="A2220:F2220"/>
    <mergeCell ref="C2221:F2221"/>
    <mergeCell ref="A2222:F2222"/>
    <mergeCell ref="C2223:F2223"/>
    <mergeCell ref="C2224:F2224"/>
    <mergeCell ref="C2225:F2225"/>
    <mergeCell ref="C2226:F2226"/>
    <mergeCell ref="C2227:F2227"/>
    <mergeCell ref="C2228:F2228"/>
    <mergeCell ref="C2229:F2229"/>
    <mergeCell ref="A2230:F2230"/>
    <mergeCell ref="C2231:F2231"/>
    <mergeCell ref="C2232:F2232"/>
    <mergeCell ref="C2233:F2233"/>
    <mergeCell ref="C2234:F2234"/>
    <mergeCell ref="C2201:F2201"/>
    <mergeCell ref="A2202:F2202"/>
    <mergeCell ref="C2203:F2203"/>
    <mergeCell ref="C2204:F2204"/>
    <mergeCell ref="A2205:F2205"/>
    <mergeCell ref="C2206:F2206"/>
    <mergeCell ref="C2207:F2207"/>
    <mergeCell ref="C2208:F2208"/>
    <mergeCell ref="C2209:F2209"/>
    <mergeCell ref="C2210:F2210"/>
    <mergeCell ref="C2211:F2211"/>
    <mergeCell ref="C2212:F2212"/>
    <mergeCell ref="C2213:F2213"/>
    <mergeCell ref="C2214:F2214"/>
    <mergeCell ref="C2215:F2215"/>
    <mergeCell ref="C2216:F2216"/>
    <mergeCell ref="C2217:F2217"/>
    <mergeCell ref="A2184:F2184"/>
    <mergeCell ref="C2185:F2185"/>
    <mergeCell ref="C2186:F2186"/>
    <mergeCell ref="C2187:F2187"/>
    <mergeCell ref="C2188:F2188"/>
    <mergeCell ref="C2189:F2189"/>
    <mergeCell ref="A2190:F2190"/>
    <mergeCell ref="C2191:F2191"/>
    <mergeCell ref="C2192:F2192"/>
    <mergeCell ref="C2193:F2193"/>
    <mergeCell ref="C2194:F2194"/>
    <mergeCell ref="A2195:F2195"/>
    <mergeCell ref="C2196:F2196"/>
    <mergeCell ref="C2197:F2197"/>
    <mergeCell ref="A2198:F2198"/>
    <mergeCell ref="A2199:F2199"/>
    <mergeCell ref="C2200:F2200"/>
    <mergeCell ref="C2167:F2167"/>
    <mergeCell ref="C2168:F2168"/>
    <mergeCell ref="C2169:F2169"/>
    <mergeCell ref="C2170:F2170"/>
    <mergeCell ref="C2171:F2171"/>
    <mergeCell ref="A2172:F2172"/>
    <mergeCell ref="A2173:F2173"/>
    <mergeCell ref="C2174:F2174"/>
    <mergeCell ref="C2175:F2175"/>
    <mergeCell ref="C2176:F2176"/>
    <mergeCell ref="C2177:F2177"/>
    <mergeCell ref="C2178:F2178"/>
    <mergeCell ref="C2179:F2179"/>
    <mergeCell ref="C2180:F2180"/>
    <mergeCell ref="A2181:F2181"/>
    <mergeCell ref="C2182:F2182"/>
    <mergeCell ref="C2183:F2183"/>
    <mergeCell ref="C2150:F2150"/>
    <mergeCell ref="A2151:F2151"/>
    <mergeCell ref="C2152:F2152"/>
    <mergeCell ref="C2153:F2153"/>
    <mergeCell ref="C2154:F2154"/>
    <mergeCell ref="C2155:F2155"/>
    <mergeCell ref="A2156:F2156"/>
    <mergeCell ref="A2157:F2157"/>
    <mergeCell ref="C2158:F2158"/>
    <mergeCell ref="C2159:F2159"/>
    <mergeCell ref="A2160:F2160"/>
    <mergeCell ref="C2161:F2161"/>
    <mergeCell ref="C2162:F2162"/>
    <mergeCell ref="C2163:F2163"/>
    <mergeCell ref="C2164:F2164"/>
    <mergeCell ref="C2165:F2165"/>
    <mergeCell ref="C2166:F2166"/>
    <mergeCell ref="C2133:F2133"/>
    <mergeCell ref="C2134:F2134"/>
    <mergeCell ref="A2135:F2135"/>
    <mergeCell ref="C2136:F2136"/>
    <mergeCell ref="C2137:F2137"/>
    <mergeCell ref="C2138:F2138"/>
    <mergeCell ref="C2139:F2139"/>
    <mergeCell ref="C2140:F2140"/>
    <mergeCell ref="C2141:F2141"/>
    <mergeCell ref="C2142:F2142"/>
    <mergeCell ref="C2143:F2143"/>
    <mergeCell ref="C2144:F2144"/>
    <mergeCell ref="C2145:F2145"/>
    <mergeCell ref="C2146:F2146"/>
    <mergeCell ref="C2147:F2147"/>
    <mergeCell ref="C2148:F2148"/>
    <mergeCell ref="C2149:F2149"/>
    <mergeCell ref="A2116:F2116"/>
    <mergeCell ref="C2117:F2117"/>
    <mergeCell ref="C2118:F2118"/>
    <mergeCell ref="C2119:F2119"/>
    <mergeCell ref="C2120:F2120"/>
    <mergeCell ref="C2121:F2121"/>
    <mergeCell ref="C2122:F2122"/>
    <mergeCell ref="C2123:F2123"/>
    <mergeCell ref="C2124:F2124"/>
    <mergeCell ref="A2125:F2125"/>
    <mergeCell ref="C2126:F2126"/>
    <mergeCell ref="C2127:F2127"/>
    <mergeCell ref="C2128:F2128"/>
    <mergeCell ref="C2129:F2129"/>
    <mergeCell ref="C2130:F2130"/>
    <mergeCell ref="A2131:F2131"/>
    <mergeCell ref="C2132:F2132"/>
    <mergeCell ref="C2099:F2099"/>
    <mergeCell ref="C2100:F2100"/>
    <mergeCell ref="C2101:F2101"/>
    <mergeCell ref="C2102:F2102"/>
    <mergeCell ref="C2103:F2103"/>
    <mergeCell ref="A2104:F2104"/>
    <mergeCell ref="C2105:F2105"/>
    <mergeCell ref="A2106:F2106"/>
    <mergeCell ref="C2107:F2107"/>
    <mergeCell ref="C2108:F2108"/>
    <mergeCell ref="C2109:F2109"/>
    <mergeCell ref="A2110:F2110"/>
    <mergeCell ref="A2111:F2111"/>
    <mergeCell ref="C2112:F2112"/>
    <mergeCell ref="A2113:F2113"/>
    <mergeCell ref="C2114:F2114"/>
    <mergeCell ref="C2115:F2115"/>
    <mergeCell ref="C2082:F2082"/>
    <mergeCell ref="C2083:F2083"/>
    <mergeCell ref="C2084:F2084"/>
    <mergeCell ref="C2085:F2085"/>
    <mergeCell ref="C2086:F2086"/>
    <mergeCell ref="C2087:F2087"/>
    <mergeCell ref="C2088:F2088"/>
    <mergeCell ref="A2089:F2089"/>
    <mergeCell ref="C2090:F2090"/>
    <mergeCell ref="C2091:F2091"/>
    <mergeCell ref="C2092:F2092"/>
    <mergeCell ref="A2093:F2093"/>
    <mergeCell ref="C2094:F2094"/>
    <mergeCell ref="A2095:F2095"/>
    <mergeCell ref="C2096:F2096"/>
    <mergeCell ref="C2097:F2097"/>
    <mergeCell ref="C2098:F2098"/>
    <mergeCell ref="C2065:F2065"/>
    <mergeCell ref="C2066:F2066"/>
    <mergeCell ref="C2067:F2067"/>
    <mergeCell ref="C2068:F2068"/>
    <mergeCell ref="C2069:F2069"/>
    <mergeCell ref="C2070:F2070"/>
    <mergeCell ref="C2071:F2071"/>
    <mergeCell ref="C2072:F2072"/>
    <mergeCell ref="C2073:F2073"/>
    <mergeCell ref="C2074:F2074"/>
    <mergeCell ref="C2075:F2075"/>
    <mergeCell ref="C2076:F2076"/>
    <mergeCell ref="C2077:F2077"/>
    <mergeCell ref="A2078:F2078"/>
    <mergeCell ref="C2079:F2079"/>
    <mergeCell ref="C2080:F2080"/>
    <mergeCell ref="C2081:F2081"/>
    <mergeCell ref="C2048:F2048"/>
    <mergeCell ref="A2049:F2049"/>
    <mergeCell ref="C2050:F2050"/>
    <mergeCell ref="A2051:F2051"/>
    <mergeCell ref="C2052:F2052"/>
    <mergeCell ref="A2053:F2053"/>
    <mergeCell ref="C2054:F2054"/>
    <mergeCell ref="C2055:F2055"/>
    <mergeCell ref="C2056:F2056"/>
    <mergeCell ref="C2057:F2057"/>
    <mergeCell ref="C2058:F2058"/>
    <mergeCell ref="C2059:F2059"/>
    <mergeCell ref="A2060:F2060"/>
    <mergeCell ref="C2061:F2061"/>
    <mergeCell ref="C2062:F2062"/>
    <mergeCell ref="C2063:F2063"/>
    <mergeCell ref="A2064:F2064"/>
    <mergeCell ref="C2031:F2031"/>
    <mergeCell ref="C2032:F2032"/>
    <mergeCell ref="C2033:F2033"/>
    <mergeCell ref="C2034:F2034"/>
    <mergeCell ref="C2035:F2035"/>
    <mergeCell ref="C2036:F2036"/>
    <mergeCell ref="C2037:F2037"/>
    <mergeCell ref="C2038:F2038"/>
    <mergeCell ref="C2039:F2039"/>
    <mergeCell ref="C2040:F2040"/>
    <mergeCell ref="C2041:F2041"/>
    <mergeCell ref="C2042:F2042"/>
    <mergeCell ref="C2043:F2043"/>
    <mergeCell ref="C2044:F2044"/>
    <mergeCell ref="A2045:F2045"/>
    <mergeCell ref="A2046:F2046"/>
    <mergeCell ref="C2047:F2047"/>
    <mergeCell ref="C2014:F2014"/>
    <mergeCell ref="C2015:F2015"/>
    <mergeCell ref="C2016:F2016"/>
    <mergeCell ref="C2017:F2017"/>
    <mergeCell ref="C2018:F2018"/>
    <mergeCell ref="C2019:F2019"/>
    <mergeCell ref="C2020:F2020"/>
    <mergeCell ref="C2021:F2021"/>
    <mergeCell ref="C2022:F2022"/>
    <mergeCell ref="C2023:F2023"/>
    <mergeCell ref="C2024:F2024"/>
    <mergeCell ref="C2025:F2025"/>
    <mergeCell ref="C2026:F2026"/>
    <mergeCell ref="C2027:F2027"/>
    <mergeCell ref="A2028:F2028"/>
    <mergeCell ref="C2029:F2029"/>
    <mergeCell ref="C2030:F2030"/>
    <mergeCell ref="A1997:F1997"/>
    <mergeCell ref="C1998:F1998"/>
    <mergeCell ref="C1999:F1999"/>
    <mergeCell ref="A2000:F2000"/>
    <mergeCell ref="C2001:F2001"/>
    <mergeCell ref="C2002:F2002"/>
    <mergeCell ref="C2003:F2003"/>
    <mergeCell ref="C2004:F2004"/>
    <mergeCell ref="C2005:F2005"/>
    <mergeCell ref="A2006:F2006"/>
    <mergeCell ref="C2007:F2007"/>
    <mergeCell ref="C2008:F2008"/>
    <mergeCell ref="A2009:F2009"/>
    <mergeCell ref="A2010:F2010"/>
    <mergeCell ref="C2011:F2011"/>
    <mergeCell ref="C2012:F2012"/>
    <mergeCell ref="C2013:F2013"/>
    <mergeCell ref="C1980:F1980"/>
    <mergeCell ref="A1981:F1981"/>
    <mergeCell ref="C1982:F1982"/>
    <mergeCell ref="C1983:F1983"/>
    <mergeCell ref="C1984:F1984"/>
    <mergeCell ref="C1985:F1985"/>
    <mergeCell ref="C1986:F1986"/>
    <mergeCell ref="C1987:F1987"/>
    <mergeCell ref="C1988:F1988"/>
    <mergeCell ref="A1989:F1989"/>
    <mergeCell ref="C1990:F1990"/>
    <mergeCell ref="C1991:F1991"/>
    <mergeCell ref="A1992:F1992"/>
    <mergeCell ref="A1993:F1993"/>
    <mergeCell ref="C1994:F1994"/>
    <mergeCell ref="C1995:F1995"/>
    <mergeCell ref="C1996:F1996"/>
    <mergeCell ref="C1963:F1963"/>
    <mergeCell ref="C1964:F1964"/>
    <mergeCell ref="A1965:F1965"/>
    <mergeCell ref="C1966:F1966"/>
    <mergeCell ref="C1967:F1967"/>
    <mergeCell ref="C1968:F1968"/>
    <mergeCell ref="C1969:F1969"/>
    <mergeCell ref="A1970:F1970"/>
    <mergeCell ref="C1971:F1971"/>
    <mergeCell ref="A1972:F1972"/>
    <mergeCell ref="C1973:F1973"/>
    <mergeCell ref="C1974:F1974"/>
    <mergeCell ref="C1975:F1975"/>
    <mergeCell ref="C1976:F1976"/>
    <mergeCell ref="C1977:F1977"/>
    <mergeCell ref="C1978:F1978"/>
    <mergeCell ref="C1979:F1979"/>
    <mergeCell ref="A1946:F1946"/>
    <mergeCell ref="C1947:F1947"/>
    <mergeCell ref="A1948:F1948"/>
    <mergeCell ref="C1949:F1949"/>
    <mergeCell ref="C1950:F1950"/>
    <mergeCell ref="C1951:F1951"/>
    <mergeCell ref="C1952:F1952"/>
    <mergeCell ref="A1953:F1953"/>
    <mergeCell ref="C1954:F1954"/>
    <mergeCell ref="C1955:F1955"/>
    <mergeCell ref="C1956:F1956"/>
    <mergeCell ref="C1957:F1957"/>
    <mergeCell ref="C1958:F1958"/>
    <mergeCell ref="C1959:F1959"/>
    <mergeCell ref="C1960:F1960"/>
    <mergeCell ref="A1961:F1961"/>
    <mergeCell ref="C1962:F1962"/>
    <mergeCell ref="C1929:F1929"/>
    <mergeCell ref="C1930:F1930"/>
    <mergeCell ref="A1931:F1931"/>
    <mergeCell ref="C1932:F1932"/>
    <mergeCell ref="A1933:F1933"/>
    <mergeCell ref="C1934:F1934"/>
    <mergeCell ref="C1935:F1935"/>
    <mergeCell ref="C1936:F1936"/>
    <mergeCell ref="C1937:F1937"/>
    <mergeCell ref="A1938:F1938"/>
    <mergeCell ref="C1939:F1939"/>
    <mergeCell ref="C1940:F1940"/>
    <mergeCell ref="C1941:F1941"/>
    <mergeCell ref="C1942:F1942"/>
    <mergeCell ref="A1943:F1943"/>
    <mergeCell ref="C1944:F1944"/>
    <mergeCell ref="C1945:F1945"/>
    <mergeCell ref="C1912:F1912"/>
    <mergeCell ref="C1913:F1913"/>
    <mergeCell ref="C1914:F1914"/>
    <mergeCell ref="C1915:F1915"/>
    <mergeCell ref="C1916:F1916"/>
    <mergeCell ref="C1917:F1917"/>
    <mergeCell ref="C1918:F1918"/>
    <mergeCell ref="A1919:F1919"/>
    <mergeCell ref="C1920:F1920"/>
    <mergeCell ref="C1921:F1921"/>
    <mergeCell ref="C1922:F1922"/>
    <mergeCell ref="C1923:F1923"/>
    <mergeCell ref="C1924:F1924"/>
    <mergeCell ref="C1925:F1925"/>
    <mergeCell ref="A1926:F1926"/>
    <mergeCell ref="C1927:F1927"/>
    <mergeCell ref="C1928:F1928"/>
    <mergeCell ref="C1895:F1895"/>
    <mergeCell ref="C1896:F1896"/>
    <mergeCell ref="C1897:F1897"/>
    <mergeCell ref="A1898:F1898"/>
    <mergeCell ref="C1899:F1899"/>
    <mergeCell ref="A1900:F1900"/>
    <mergeCell ref="C1901:F1901"/>
    <mergeCell ref="C1902:F1902"/>
    <mergeCell ref="C1903:F1903"/>
    <mergeCell ref="C1904:F1904"/>
    <mergeCell ref="A1905:F1905"/>
    <mergeCell ref="C1906:F1906"/>
    <mergeCell ref="C1907:F1907"/>
    <mergeCell ref="C1908:F1908"/>
    <mergeCell ref="C1909:F1909"/>
    <mergeCell ref="A1910:F1910"/>
    <mergeCell ref="C1911:F1911"/>
    <mergeCell ref="C1878:F1878"/>
    <mergeCell ref="C1879:F1879"/>
    <mergeCell ref="C1880:F1880"/>
    <mergeCell ref="C1881:F1881"/>
    <mergeCell ref="C1882:F1882"/>
    <mergeCell ref="C1883:F1883"/>
    <mergeCell ref="C1884:F1884"/>
    <mergeCell ref="C1885:F1885"/>
    <mergeCell ref="C1886:F1886"/>
    <mergeCell ref="C1887:F1887"/>
    <mergeCell ref="A1888:F1888"/>
    <mergeCell ref="C1889:F1889"/>
    <mergeCell ref="C1890:F1890"/>
    <mergeCell ref="C1891:F1891"/>
    <mergeCell ref="C1892:F1892"/>
    <mergeCell ref="A1893:F1893"/>
    <mergeCell ref="C1894:F1894"/>
    <mergeCell ref="A1861:F1861"/>
    <mergeCell ref="C1862:F1862"/>
    <mergeCell ref="C1863:F1863"/>
    <mergeCell ref="A1864:F1864"/>
    <mergeCell ref="C1865:F1865"/>
    <mergeCell ref="C1866:F1866"/>
    <mergeCell ref="A1867:F1867"/>
    <mergeCell ref="C1868:F1868"/>
    <mergeCell ref="C1869:F1869"/>
    <mergeCell ref="A1870:F1870"/>
    <mergeCell ref="C1871:F1871"/>
    <mergeCell ref="C1872:F1872"/>
    <mergeCell ref="C1873:F1873"/>
    <mergeCell ref="C1874:F1874"/>
    <mergeCell ref="A1875:F1875"/>
    <mergeCell ref="C1876:F1876"/>
    <mergeCell ref="C1877:F1877"/>
    <mergeCell ref="A1844:F1844"/>
    <mergeCell ref="C1845:F1845"/>
    <mergeCell ref="C1846:F1846"/>
    <mergeCell ref="C1847:F1847"/>
    <mergeCell ref="C1848:F1848"/>
    <mergeCell ref="C1849:F1849"/>
    <mergeCell ref="C1850:F1850"/>
    <mergeCell ref="C1851:F1851"/>
    <mergeCell ref="C1852:F1852"/>
    <mergeCell ref="A1853:F1853"/>
    <mergeCell ref="C1854:F1854"/>
    <mergeCell ref="C1855:F1855"/>
    <mergeCell ref="C1856:F1856"/>
    <mergeCell ref="C1857:F1857"/>
    <mergeCell ref="A1858:F1858"/>
    <mergeCell ref="C1859:F1859"/>
    <mergeCell ref="C1860:F1860"/>
    <mergeCell ref="C1827:F1827"/>
    <mergeCell ref="C1828:F1828"/>
    <mergeCell ref="A1829:F1829"/>
    <mergeCell ref="C1830:F1830"/>
    <mergeCell ref="C1831:F1831"/>
    <mergeCell ref="C1832:F1832"/>
    <mergeCell ref="C1833:F1833"/>
    <mergeCell ref="A1834:F1834"/>
    <mergeCell ref="C1835:F1835"/>
    <mergeCell ref="C1836:F1836"/>
    <mergeCell ref="A1837:F1837"/>
    <mergeCell ref="C1838:F1838"/>
    <mergeCell ref="C1839:F1839"/>
    <mergeCell ref="C1840:F1840"/>
    <mergeCell ref="C1841:F1841"/>
    <mergeCell ref="C1842:F1842"/>
    <mergeCell ref="C1843:F1843"/>
    <mergeCell ref="A1810:F1810"/>
    <mergeCell ref="C1811:F1811"/>
    <mergeCell ref="C1812:F1812"/>
    <mergeCell ref="C1813:F1813"/>
    <mergeCell ref="C1814:F1814"/>
    <mergeCell ref="A1815:F1815"/>
    <mergeCell ref="C1816:F1816"/>
    <mergeCell ref="C1817:F1817"/>
    <mergeCell ref="C1818:F1818"/>
    <mergeCell ref="C1819:F1819"/>
    <mergeCell ref="C1820:F1820"/>
    <mergeCell ref="C1821:F1821"/>
    <mergeCell ref="C1822:F1822"/>
    <mergeCell ref="C1823:F1823"/>
    <mergeCell ref="A1824:F1824"/>
    <mergeCell ref="C1825:F1825"/>
    <mergeCell ref="C1826:F1826"/>
    <mergeCell ref="C1793:F1793"/>
    <mergeCell ref="A1794:F1794"/>
    <mergeCell ref="C1795:F1795"/>
    <mergeCell ref="C1796:F1796"/>
    <mergeCell ref="C1797:F1797"/>
    <mergeCell ref="C1798:F1798"/>
    <mergeCell ref="C1799:F1799"/>
    <mergeCell ref="C1800:F1800"/>
    <mergeCell ref="A1801:F1801"/>
    <mergeCell ref="C1802:F1802"/>
    <mergeCell ref="A1803:F1803"/>
    <mergeCell ref="C1804:F1804"/>
    <mergeCell ref="C1805:F1805"/>
    <mergeCell ref="A1806:F1806"/>
    <mergeCell ref="C1807:F1807"/>
    <mergeCell ref="A1808:F1808"/>
    <mergeCell ref="C1809:F1809"/>
    <mergeCell ref="C1776:F1776"/>
    <mergeCell ref="C1777:F1777"/>
    <mergeCell ref="C1778:F1778"/>
    <mergeCell ref="A1779:F1779"/>
    <mergeCell ref="C1780:F1780"/>
    <mergeCell ref="C1781:F1781"/>
    <mergeCell ref="C1782:F1782"/>
    <mergeCell ref="C1783:F1783"/>
    <mergeCell ref="A1784:F1784"/>
    <mergeCell ref="C1785:F1785"/>
    <mergeCell ref="C1786:F1786"/>
    <mergeCell ref="C1787:F1787"/>
    <mergeCell ref="C1788:F1788"/>
    <mergeCell ref="A1789:F1789"/>
    <mergeCell ref="C1790:F1790"/>
    <mergeCell ref="C1791:F1791"/>
    <mergeCell ref="C1792:F1792"/>
    <mergeCell ref="C1759:F1759"/>
    <mergeCell ref="C1760:F1760"/>
    <mergeCell ref="C1761:F1761"/>
    <mergeCell ref="C1762:F1762"/>
    <mergeCell ref="A1763:F1763"/>
    <mergeCell ref="C1764:F1764"/>
    <mergeCell ref="C1765:F1765"/>
    <mergeCell ref="C1766:F1766"/>
    <mergeCell ref="C1767:F1767"/>
    <mergeCell ref="A1768:F1768"/>
    <mergeCell ref="C1769:F1769"/>
    <mergeCell ref="C1770:F1770"/>
    <mergeCell ref="A1771:F1771"/>
    <mergeCell ref="C1772:F1772"/>
    <mergeCell ref="C1773:F1773"/>
    <mergeCell ref="C1774:F1774"/>
    <mergeCell ref="C1775:F1775"/>
    <mergeCell ref="C1742:F1742"/>
    <mergeCell ref="C1743:F1743"/>
    <mergeCell ref="C1744:F1744"/>
    <mergeCell ref="C1745:F1745"/>
    <mergeCell ref="C1746:F1746"/>
    <mergeCell ref="A1747:F1747"/>
    <mergeCell ref="C1748:F1748"/>
    <mergeCell ref="A1749:F1749"/>
    <mergeCell ref="C1750:F1750"/>
    <mergeCell ref="C1751:F1751"/>
    <mergeCell ref="C1752:F1752"/>
    <mergeCell ref="C1753:F1753"/>
    <mergeCell ref="A1754:F1754"/>
    <mergeCell ref="C1755:F1755"/>
    <mergeCell ref="C1756:F1756"/>
    <mergeCell ref="C1757:F1757"/>
    <mergeCell ref="C1758:F1758"/>
    <mergeCell ref="A1725:F1725"/>
    <mergeCell ref="C1726:F1726"/>
    <mergeCell ref="C1727:F1727"/>
    <mergeCell ref="C1728:F1728"/>
    <mergeCell ref="C1729:F1729"/>
    <mergeCell ref="A1730:F1730"/>
    <mergeCell ref="C1731:F1731"/>
    <mergeCell ref="C1732:F1732"/>
    <mergeCell ref="A1733:F1733"/>
    <mergeCell ref="C1734:F1734"/>
    <mergeCell ref="C1735:F1735"/>
    <mergeCell ref="A1736:F1736"/>
    <mergeCell ref="C1737:F1737"/>
    <mergeCell ref="C1738:F1738"/>
    <mergeCell ref="C1739:F1739"/>
    <mergeCell ref="C1740:F1740"/>
    <mergeCell ref="C1741:F1741"/>
    <mergeCell ref="C1708:F1708"/>
    <mergeCell ref="C1709:F1709"/>
    <mergeCell ref="C1710:F1710"/>
    <mergeCell ref="C1711:F1711"/>
    <mergeCell ref="A1712:F1712"/>
    <mergeCell ref="A1713:F1713"/>
    <mergeCell ref="C1714:F1714"/>
    <mergeCell ref="C1715:F1715"/>
    <mergeCell ref="C1716:F1716"/>
    <mergeCell ref="A1717:F1717"/>
    <mergeCell ref="C1718:F1718"/>
    <mergeCell ref="C1719:F1719"/>
    <mergeCell ref="C1720:F1720"/>
    <mergeCell ref="C1721:F1721"/>
    <mergeCell ref="A1722:F1722"/>
    <mergeCell ref="C1723:F1723"/>
    <mergeCell ref="C1724:F1724"/>
    <mergeCell ref="C1691:F1691"/>
    <mergeCell ref="A1692:F1692"/>
    <mergeCell ref="C1693:F1693"/>
    <mergeCell ref="C1694:F1694"/>
    <mergeCell ref="C1695:F1695"/>
    <mergeCell ref="C1696:F1696"/>
    <mergeCell ref="A1697:F1697"/>
    <mergeCell ref="C1698:F1698"/>
    <mergeCell ref="C1699:F1699"/>
    <mergeCell ref="A1700:F1700"/>
    <mergeCell ref="C1701:F1701"/>
    <mergeCell ref="A1702:F1702"/>
    <mergeCell ref="C1703:F1703"/>
    <mergeCell ref="C1704:F1704"/>
    <mergeCell ref="A1705:F1705"/>
    <mergeCell ref="C1706:F1706"/>
    <mergeCell ref="A1707:F1707"/>
    <mergeCell ref="C1674:F1674"/>
    <mergeCell ref="C1675:F1675"/>
    <mergeCell ref="A1676:F1676"/>
    <mergeCell ref="C1677:F1677"/>
    <mergeCell ref="C1678:F1678"/>
    <mergeCell ref="A1679:F1679"/>
    <mergeCell ref="C1680:F1680"/>
    <mergeCell ref="C1681:F1681"/>
    <mergeCell ref="C1682:F1682"/>
    <mergeCell ref="C1683:F1683"/>
    <mergeCell ref="C1684:F1684"/>
    <mergeCell ref="C1685:F1685"/>
    <mergeCell ref="C1686:F1686"/>
    <mergeCell ref="C1687:F1687"/>
    <mergeCell ref="C1688:F1688"/>
    <mergeCell ref="C1689:F1689"/>
    <mergeCell ref="A1690:F1690"/>
    <mergeCell ref="C1657:F1657"/>
    <mergeCell ref="C1658:F1658"/>
    <mergeCell ref="C1659:F1659"/>
    <mergeCell ref="C1660:F1660"/>
    <mergeCell ref="C1661:F1661"/>
    <mergeCell ref="C1662:F1662"/>
    <mergeCell ref="C1663:F1663"/>
    <mergeCell ref="C1664:F1664"/>
    <mergeCell ref="C1665:F1665"/>
    <mergeCell ref="C1666:F1666"/>
    <mergeCell ref="C1667:F1667"/>
    <mergeCell ref="C1668:F1668"/>
    <mergeCell ref="C1669:F1669"/>
    <mergeCell ref="A1670:F1670"/>
    <mergeCell ref="A1671:F1671"/>
    <mergeCell ref="C1672:F1672"/>
    <mergeCell ref="C1673:F1673"/>
    <mergeCell ref="C1640:F1640"/>
    <mergeCell ref="C1641:F1641"/>
    <mergeCell ref="A1642:F1642"/>
    <mergeCell ref="C1643:F1643"/>
    <mergeCell ref="C1644:F1644"/>
    <mergeCell ref="C1645:F1645"/>
    <mergeCell ref="A1646:F1646"/>
    <mergeCell ref="C1647:F1647"/>
    <mergeCell ref="C1648:F1648"/>
    <mergeCell ref="C1649:F1649"/>
    <mergeCell ref="C1650:F1650"/>
    <mergeCell ref="A1651:F1651"/>
    <mergeCell ref="C1652:F1652"/>
    <mergeCell ref="C1653:F1653"/>
    <mergeCell ref="C1654:F1654"/>
    <mergeCell ref="C1655:F1655"/>
    <mergeCell ref="A1656:F1656"/>
    <mergeCell ref="C1623:F1623"/>
    <mergeCell ref="C1624:F1624"/>
    <mergeCell ref="A1625:F1625"/>
    <mergeCell ref="C1626:F1626"/>
    <mergeCell ref="C1627:F1627"/>
    <mergeCell ref="C1628:F1628"/>
    <mergeCell ref="C1629:F1629"/>
    <mergeCell ref="A1630:F1630"/>
    <mergeCell ref="C1631:F1631"/>
    <mergeCell ref="C1632:F1632"/>
    <mergeCell ref="C1633:F1633"/>
    <mergeCell ref="C1634:F1634"/>
    <mergeCell ref="A1635:F1635"/>
    <mergeCell ref="C1636:F1636"/>
    <mergeCell ref="C1637:F1637"/>
    <mergeCell ref="C1638:F1638"/>
    <mergeCell ref="C1639:F1639"/>
    <mergeCell ref="C1606:F1606"/>
    <mergeCell ref="C1607:F1607"/>
    <mergeCell ref="C1608:F1608"/>
    <mergeCell ref="C1609:F1609"/>
    <mergeCell ref="C1610:F1610"/>
    <mergeCell ref="C1611:F1611"/>
    <mergeCell ref="C1612:F1612"/>
    <mergeCell ref="A1613:F1613"/>
    <mergeCell ref="C1614:F1614"/>
    <mergeCell ref="C1615:F1615"/>
    <mergeCell ref="C1616:F1616"/>
    <mergeCell ref="A1617:F1617"/>
    <mergeCell ref="C1618:F1618"/>
    <mergeCell ref="C1619:F1619"/>
    <mergeCell ref="A1620:F1620"/>
    <mergeCell ref="C1621:F1621"/>
    <mergeCell ref="C1622:F1622"/>
    <mergeCell ref="C1589:F1589"/>
    <mergeCell ref="C1590:F1590"/>
    <mergeCell ref="C1591:F1591"/>
    <mergeCell ref="C1592:F1592"/>
    <mergeCell ref="C1593:F1593"/>
    <mergeCell ref="A1594:F1594"/>
    <mergeCell ref="C1595:F1595"/>
    <mergeCell ref="A1596:F1596"/>
    <mergeCell ref="A1597:F1597"/>
    <mergeCell ref="C1598:F1598"/>
    <mergeCell ref="C1599:F1599"/>
    <mergeCell ref="C1600:F1600"/>
    <mergeCell ref="C1601:F1601"/>
    <mergeCell ref="C1602:F1602"/>
    <mergeCell ref="C1603:F1603"/>
    <mergeCell ref="A1604:F1604"/>
    <mergeCell ref="C1605:F1605"/>
    <mergeCell ref="C1572:F1572"/>
    <mergeCell ref="A1573:F1573"/>
    <mergeCell ref="C1574:F1574"/>
    <mergeCell ref="C1575:F1575"/>
    <mergeCell ref="C1576:F1576"/>
    <mergeCell ref="C1577:F1577"/>
    <mergeCell ref="A1578:F1578"/>
    <mergeCell ref="A1579:F1579"/>
    <mergeCell ref="C1580:F1580"/>
    <mergeCell ref="A1581:F1581"/>
    <mergeCell ref="C1582:F1582"/>
    <mergeCell ref="A1583:F1583"/>
    <mergeCell ref="C1584:F1584"/>
    <mergeCell ref="C1585:F1585"/>
    <mergeCell ref="C1586:F1586"/>
    <mergeCell ref="C1587:F1587"/>
    <mergeCell ref="C1588:F1588"/>
    <mergeCell ref="C1555:F1555"/>
    <mergeCell ref="C1556:F1556"/>
    <mergeCell ref="C1557:F1557"/>
    <mergeCell ref="C1558:F1558"/>
    <mergeCell ref="C1559:F1559"/>
    <mergeCell ref="C1560:F1560"/>
    <mergeCell ref="C1561:F1561"/>
    <mergeCell ref="C1562:F1562"/>
    <mergeCell ref="C1563:F1563"/>
    <mergeCell ref="C1564:F1564"/>
    <mergeCell ref="C1565:F1565"/>
    <mergeCell ref="A1566:F1566"/>
    <mergeCell ref="C1567:F1567"/>
    <mergeCell ref="C1568:F1568"/>
    <mergeCell ref="C1569:F1569"/>
    <mergeCell ref="A1570:F1570"/>
    <mergeCell ref="C1571:F1571"/>
    <mergeCell ref="C1538:F1538"/>
    <mergeCell ref="C1539:F1539"/>
    <mergeCell ref="C1540:F1540"/>
    <mergeCell ref="C1541:F1541"/>
    <mergeCell ref="C1542:F1542"/>
    <mergeCell ref="C1543:F1543"/>
    <mergeCell ref="C1544:F1544"/>
    <mergeCell ref="A1545:F1545"/>
    <mergeCell ref="C1546:F1546"/>
    <mergeCell ref="C1547:F1547"/>
    <mergeCell ref="C1548:F1548"/>
    <mergeCell ref="C1549:F1549"/>
    <mergeCell ref="A1550:F1550"/>
    <mergeCell ref="C1551:F1551"/>
    <mergeCell ref="C1552:F1552"/>
    <mergeCell ref="C1553:F1553"/>
    <mergeCell ref="C1554:F1554"/>
    <mergeCell ref="C1521:F1521"/>
    <mergeCell ref="C1522:F1522"/>
    <mergeCell ref="C1523:F1523"/>
    <mergeCell ref="C1524:F1524"/>
    <mergeCell ref="C1525:F1525"/>
    <mergeCell ref="C1526:F1526"/>
    <mergeCell ref="C1527:F1527"/>
    <mergeCell ref="C1528:F1528"/>
    <mergeCell ref="C1529:F1529"/>
    <mergeCell ref="C1530:F1530"/>
    <mergeCell ref="C1531:F1531"/>
    <mergeCell ref="C1532:F1532"/>
    <mergeCell ref="C1533:F1533"/>
    <mergeCell ref="C1534:F1534"/>
    <mergeCell ref="C1535:F1535"/>
    <mergeCell ref="C1536:F1536"/>
    <mergeCell ref="A1537:F1537"/>
    <mergeCell ref="C1504:F1504"/>
    <mergeCell ref="C1505:F1505"/>
    <mergeCell ref="C1506:F1506"/>
    <mergeCell ref="C1507:F1507"/>
    <mergeCell ref="C1508:F1508"/>
    <mergeCell ref="C1509:F1509"/>
    <mergeCell ref="C1510:F1510"/>
    <mergeCell ref="C1511:F1511"/>
    <mergeCell ref="C1512:F1512"/>
    <mergeCell ref="C1513:F1513"/>
    <mergeCell ref="C1514:F1514"/>
    <mergeCell ref="C1515:F1515"/>
    <mergeCell ref="C1516:F1516"/>
    <mergeCell ref="C1517:F1517"/>
    <mergeCell ref="C1518:F1518"/>
    <mergeCell ref="C1519:F1519"/>
    <mergeCell ref="C1520:F1520"/>
    <mergeCell ref="C1487:F1487"/>
    <mergeCell ref="C1488:F1488"/>
    <mergeCell ref="C1489:F1489"/>
    <mergeCell ref="C1490:F1490"/>
    <mergeCell ref="A1491:F1491"/>
    <mergeCell ref="A1492:F1492"/>
    <mergeCell ref="C1493:F1493"/>
    <mergeCell ref="A1494:F1494"/>
    <mergeCell ref="C1495:F1495"/>
    <mergeCell ref="C1496:F1496"/>
    <mergeCell ref="C1497:F1497"/>
    <mergeCell ref="C1498:F1498"/>
    <mergeCell ref="C1499:F1499"/>
    <mergeCell ref="C1500:F1500"/>
    <mergeCell ref="C1501:F1501"/>
    <mergeCell ref="C1502:F1502"/>
    <mergeCell ref="A1503:F1503"/>
    <mergeCell ref="C1470:F1470"/>
    <mergeCell ref="C1471:F1471"/>
    <mergeCell ref="C1472:F1472"/>
    <mergeCell ref="C1473:F1473"/>
    <mergeCell ref="C1474:F1474"/>
    <mergeCell ref="C1475:F1475"/>
    <mergeCell ref="C1476:F1476"/>
    <mergeCell ref="A1477:F1477"/>
    <mergeCell ref="C1478:F1478"/>
    <mergeCell ref="C1479:F1479"/>
    <mergeCell ref="C1480:F1480"/>
    <mergeCell ref="C1481:F1481"/>
    <mergeCell ref="C1482:F1482"/>
    <mergeCell ref="C1483:F1483"/>
    <mergeCell ref="C1484:F1484"/>
    <mergeCell ref="C1485:F1485"/>
    <mergeCell ref="A1486:F1486"/>
    <mergeCell ref="C1453:F1453"/>
    <mergeCell ref="C1454:F1454"/>
    <mergeCell ref="C1455:F1455"/>
    <mergeCell ref="A1456:F1456"/>
    <mergeCell ref="C1457:F1457"/>
    <mergeCell ref="A1458:F1458"/>
    <mergeCell ref="C1459:F1459"/>
    <mergeCell ref="C1460:F1460"/>
    <mergeCell ref="A1461:F1461"/>
    <mergeCell ref="A1462:F1462"/>
    <mergeCell ref="A1463:F1463"/>
    <mergeCell ref="C1464:F1464"/>
    <mergeCell ref="C1465:F1465"/>
    <mergeCell ref="A1466:F1466"/>
    <mergeCell ref="C1467:F1467"/>
    <mergeCell ref="A1468:F1468"/>
    <mergeCell ref="C1469:F1469"/>
    <mergeCell ref="C1436:F1436"/>
    <mergeCell ref="A1437:F1437"/>
    <mergeCell ref="C1438:F1438"/>
    <mergeCell ref="A1439:F1439"/>
    <mergeCell ref="C1440:F1440"/>
    <mergeCell ref="C1441:F1441"/>
    <mergeCell ref="C1442:F1442"/>
    <mergeCell ref="C1443:F1443"/>
    <mergeCell ref="A1444:F1444"/>
    <mergeCell ref="C1445:F1445"/>
    <mergeCell ref="C1446:F1446"/>
    <mergeCell ref="C1447:F1447"/>
    <mergeCell ref="C1448:F1448"/>
    <mergeCell ref="A1449:F1449"/>
    <mergeCell ref="C1450:F1450"/>
    <mergeCell ref="C1451:F1451"/>
    <mergeCell ref="A1452:F1452"/>
    <mergeCell ref="C1419:F1419"/>
    <mergeCell ref="A1420:F1420"/>
    <mergeCell ref="C1421:F1421"/>
    <mergeCell ref="C1422:F1422"/>
    <mergeCell ref="A1423:F1423"/>
    <mergeCell ref="C1424:F1424"/>
    <mergeCell ref="C1425:F1425"/>
    <mergeCell ref="C1426:F1426"/>
    <mergeCell ref="C1427:F1427"/>
    <mergeCell ref="A1428:F1428"/>
    <mergeCell ref="C1429:F1429"/>
    <mergeCell ref="C1430:F1430"/>
    <mergeCell ref="A1431:F1431"/>
    <mergeCell ref="C1432:F1432"/>
    <mergeCell ref="C1433:F1433"/>
    <mergeCell ref="A1434:F1434"/>
    <mergeCell ref="C1435:F1435"/>
    <mergeCell ref="C1402:F1402"/>
    <mergeCell ref="C1403:F1403"/>
    <mergeCell ref="C1404:F1404"/>
    <mergeCell ref="C1405:F1405"/>
    <mergeCell ref="C1406:F1406"/>
    <mergeCell ref="C1407:F1407"/>
    <mergeCell ref="C1408:F1408"/>
    <mergeCell ref="C1409:F1409"/>
    <mergeCell ref="C1410:F1410"/>
    <mergeCell ref="C1411:F1411"/>
    <mergeCell ref="A1412:F1412"/>
    <mergeCell ref="C1413:F1413"/>
    <mergeCell ref="C1414:F1414"/>
    <mergeCell ref="C1415:F1415"/>
    <mergeCell ref="C1416:F1416"/>
    <mergeCell ref="A1417:F1417"/>
    <mergeCell ref="C1418:F1418"/>
    <mergeCell ref="C1385:F1385"/>
    <mergeCell ref="C1386:F1386"/>
    <mergeCell ref="C1387:F1387"/>
    <mergeCell ref="C1388:F1388"/>
    <mergeCell ref="C1389:F1389"/>
    <mergeCell ref="C1390:F1390"/>
    <mergeCell ref="C1391:F1391"/>
    <mergeCell ref="C1392:F1392"/>
    <mergeCell ref="C1393:F1393"/>
    <mergeCell ref="C1394:F1394"/>
    <mergeCell ref="A1395:F1395"/>
    <mergeCell ref="C1396:F1396"/>
    <mergeCell ref="C1397:F1397"/>
    <mergeCell ref="A1398:F1398"/>
    <mergeCell ref="C1399:F1399"/>
    <mergeCell ref="A1400:F1400"/>
    <mergeCell ref="C1401:F1401"/>
    <mergeCell ref="C1368:F1368"/>
    <mergeCell ref="A1369:F1369"/>
    <mergeCell ref="C1370:F1370"/>
    <mergeCell ref="A1371:F1371"/>
    <mergeCell ref="C1372:F1372"/>
    <mergeCell ref="A1373:F1373"/>
    <mergeCell ref="C1374:F1374"/>
    <mergeCell ref="A1375:F1375"/>
    <mergeCell ref="C1376:F1376"/>
    <mergeCell ref="C1377:F1377"/>
    <mergeCell ref="C1378:F1378"/>
    <mergeCell ref="A1379:F1379"/>
    <mergeCell ref="C1380:F1380"/>
    <mergeCell ref="C1381:F1381"/>
    <mergeCell ref="A1382:F1382"/>
    <mergeCell ref="C1383:F1383"/>
    <mergeCell ref="C1384:F1384"/>
    <mergeCell ref="C1351:F1351"/>
    <mergeCell ref="C1352:F1352"/>
    <mergeCell ref="C1353:F1353"/>
    <mergeCell ref="C1354:F1354"/>
    <mergeCell ref="A1355:F1355"/>
    <mergeCell ref="C1356:F1356"/>
    <mergeCell ref="C1357:F1357"/>
    <mergeCell ref="C1358:F1358"/>
    <mergeCell ref="C1359:F1359"/>
    <mergeCell ref="A1360:F1360"/>
    <mergeCell ref="C1361:F1361"/>
    <mergeCell ref="C1362:F1362"/>
    <mergeCell ref="C1363:F1363"/>
    <mergeCell ref="C1364:F1364"/>
    <mergeCell ref="A1365:F1365"/>
    <mergeCell ref="C1366:F1366"/>
    <mergeCell ref="A1367:F1367"/>
    <mergeCell ref="C1334:F1334"/>
    <mergeCell ref="C1335:F1335"/>
    <mergeCell ref="A1336:F1336"/>
    <mergeCell ref="C1337:F1337"/>
    <mergeCell ref="C1338:F1338"/>
    <mergeCell ref="A1339:F1339"/>
    <mergeCell ref="C1340:F1340"/>
    <mergeCell ref="A1341:F1341"/>
    <mergeCell ref="C1342:F1342"/>
    <mergeCell ref="A1343:F1343"/>
    <mergeCell ref="C1344:F1344"/>
    <mergeCell ref="C1345:F1345"/>
    <mergeCell ref="C1346:F1346"/>
    <mergeCell ref="C1347:F1347"/>
    <mergeCell ref="A1348:F1348"/>
    <mergeCell ref="C1349:F1349"/>
    <mergeCell ref="A1350:F1350"/>
    <mergeCell ref="A1317:F1317"/>
    <mergeCell ref="C1318:F1318"/>
    <mergeCell ref="C1319:F1319"/>
    <mergeCell ref="C1320:F1320"/>
    <mergeCell ref="A1321:F1321"/>
    <mergeCell ref="C1322:F1322"/>
    <mergeCell ref="C1323:F1323"/>
    <mergeCell ref="A1324:F1324"/>
    <mergeCell ref="C1325:F1325"/>
    <mergeCell ref="C1326:F1326"/>
    <mergeCell ref="C1327:F1327"/>
    <mergeCell ref="C1328:F1328"/>
    <mergeCell ref="A1329:F1329"/>
    <mergeCell ref="C1330:F1330"/>
    <mergeCell ref="C1331:F1331"/>
    <mergeCell ref="C1332:F1332"/>
    <mergeCell ref="C1333:F1333"/>
    <mergeCell ref="C1300:F1300"/>
    <mergeCell ref="C1301:F1301"/>
    <mergeCell ref="A1302:F1302"/>
    <mergeCell ref="C1303:F1303"/>
    <mergeCell ref="A1304:F1304"/>
    <mergeCell ref="C1305:F1305"/>
    <mergeCell ref="C1306:F1306"/>
    <mergeCell ref="C1307:F1307"/>
    <mergeCell ref="C1308:F1308"/>
    <mergeCell ref="C1309:F1309"/>
    <mergeCell ref="C1310:F1310"/>
    <mergeCell ref="A1311:F1311"/>
    <mergeCell ref="C1312:F1312"/>
    <mergeCell ref="C1313:F1313"/>
    <mergeCell ref="A1314:F1314"/>
    <mergeCell ref="A1315:F1315"/>
    <mergeCell ref="C1316:F1316"/>
    <mergeCell ref="A1283:F1283"/>
    <mergeCell ref="C1284:F1284"/>
    <mergeCell ref="A1285:F1285"/>
    <mergeCell ref="C1286:F1286"/>
    <mergeCell ref="C1287:F1287"/>
    <mergeCell ref="A1288:F1288"/>
    <mergeCell ref="C1289:F1289"/>
    <mergeCell ref="C1290:F1290"/>
    <mergeCell ref="C1291:F1291"/>
    <mergeCell ref="C1292:F1292"/>
    <mergeCell ref="C1293:F1293"/>
    <mergeCell ref="A1294:F1294"/>
    <mergeCell ref="C1295:F1295"/>
    <mergeCell ref="C1296:F1296"/>
    <mergeCell ref="A1297:F1297"/>
    <mergeCell ref="C1298:F1298"/>
    <mergeCell ref="C1299:F1299"/>
    <mergeCell ref="A1266:F1266"/>
    <mergeCell ref="C1267:F1267"/>
    <mergeCell ref="C1268:F1268"/>
    <mergeCell ref="A1269:F1269"/>
    <mergeCell ref="C1270:F1270"/>
    <mergeCell ref="C1271:F1271"/>
    <mergeCell ref="C1272:F1272"/>
    <mergeCell ref="A1273:F1273"/>
    <mergeCell ref="C1274:F1274"/>
    <mergeCell ref="C1275:F1275"/>
    <mergeCell ref="C1276:F1276"/>
    <mergeCell ref="C1277:F1277"/>
    <mergeCell ref="A1278:F1278"/>
    <mergeCell ref="C1279:F1279"/>
    <mergeCell ref="C1280:F1280"/>
    <mergeCell ref="C1281:F1281"/>
    <mergeCell ref="C1282:F1282"/>
    <mergeCell ref="C1249:F1249"/>
    <mergeCell ref="C1250:F1250"/>
    <mergeCell ref="C1251:F1251"/>
    <mergeCell ref="C1252:F1252"/>
    <mergeCell ref="C1253:F1253"/>
    <mergeCell ref="C1254:F1254"/>
    <mergeCell ref="C1255:F1255"/>
    <mergeCell ref="A1256:F1256"/>
    <mergeCell ref="C1257:F1257"/>
    <mergeCell ref="C1258:F1258"/>
    <mergeCell ref="A1259:F1259"/>
    <mergeCell ref="C1260:F1260"/>
    <mergeCell ref="A1261:F1261"/>
    <mergeCell ref="C1262:F1262"/>
    <mergeCell ref="C1263:F1263"/>
    <mergeCell ref="A1264:F1264"/>
    <mergeCell ref="C1265:F1265"/>
    <mergeCell ref="C1232:F1232"/>
    <mergeCell ref="A1233:F1233"/>
    <mergeCell ref="C1234:F1234"/>
    <mergeCell ref="C1235:F1235"/>
    <mergeCell ref="C1236:F1236"/>
    <mergeCell ref="A1237:F1237"/>
    <mergeCell ref="C1238:F1238"/>
    <mergeCell ref="A1239:F1239"/>
    <mergeCell ref="C1240:F1240"/>
    <mergeCell ref="C1241:F1241"/>
    <mergeCell ref="C1242:F1242"/>
    <mergeCell ref="C1243:F1243"/>
    <mergeCell ref="C1244:F1244"/>
    <mergeCell ref="C1245:F1245"/>
    <mergeCell ref="C1246:F1246"/>
    <mergeCell ref="A1247:F1247"/>
    <mergeCell ref="C1248:F1248"/>
    <mergeCell ref="A1215:F1215"/>
    <mergeCell ref="C1216:F1216"/>
    <mergeCell ref="C1217:F1217"/>
    <mergeCell ref="A1218:F1218"/>
    <mergeCell ref="C1219:F1219"/>
    <mergeCell ref="A1220:F1220"/>
    <mergeCell ref="C1221:F1221"/>
    <mergeCell ref="C1222:F1222"/>
    <mergeCell ref="C1223:F1223"/>
    <mergeCell ref="C1224:F1224"/>
    <mergeCell ref="C1225:F1225"/>
    <mergeCell ref="C1226:F1226"/>
    <mergeCell ref="C1227:F1227"/>
    <mergeCell ref="C1228:F1228"/>
    <mergeCell ref="A1229:F1229"/>
    <mergeCell ref="C1230:F1230"/>
    <mergeCell ref="C1231:F1231"/>
    <mergeCell ref="C1198:F1198"/>
    <mergeCell ref="C1199:F1199"/>
    <mergeCell ref="C1200:F1200"/>
    <mergeCell ref="C1201:F1201"/>
    <mergeCell ref="C1202:F1202"/>
    <mergeCell ref="C1203:F1203"/>
    <mergeCell ref="A1204:F1204"/>
    <mergeCell ref="C1205:F1205"/>
    <mergeCell ref="C1206:F1206"/>
    <mergeCell ref="A1207:F1207"/>
    <mergeCell ref="C1208:F1208"/>
    <mergeCell ref="C1209:F1209"/>
    <mergeCell ref="C1210:F1210"/>
    <mergeCell ref="C1211:F1211"/>
    <mergeCell ref="A1212:F1212"/>
    <mergeCell ref="C1213:F1213"/>
    <mergeCell ref="A1214:F1214"/>
    <mergeCell ref="C1181:F1181"/>
    <mergeCell ref="C1182:F1182"/>
    <mergeCell ref="A1183:F1183"/>
    <mergeCell ref="C1184:F1184"/>
    <mergeCell ref="C1185:F1185"/>
    <mergeCell ref="C1186:F1186"/>
    <mergeCell ref="C1187:F1187"/>
    <mergeCell ref="A1188:F1188"/>
    <mergeCell ref="C1189:F1189"/>
    <mergeCell ref="A1190:F1190"/>
    <mergeCell ref="C1191:F1191"/>
    <mergeCell ref="C1192:F1192"/>
    <mergeCell ref="C1193:F1193"/>
    <mergeCell ref="C1194:F1194"/>
    <mergeCell ref="C1195:F1195"/>
    <mergeCell ref="C1196:F1196"/>
    <mergeCell ref="A1197:F1197"/>
    <mergeCell ref="A1164:F1164"/>
    <mergeCell ref="C1165:F1165"/>
    <mergeCell ref="C1166:F1166"/>
    <mergeCell ref="C1167:F1167"/>
    <mergeCell ref="C1168:F1168"/>
    <mergeCell ref="A1169:F1169"/>
    <mergeCell ref="C1170:F1170"/>
    <mergeCell ref="C1171:F1171"/>
    <mergeCell ref="C1172:F1172"/>
    <mergeCell ref="C1173:F1173"/>
    <mergeCell ref="A1174:F1174"/>
    <mergeCell ref="C1175:F1175"/>
    <mergeCell ref="C1176:F1176"/>
    <mergeCell ref="C1177:F1177"/>
    <mergeCell ref="C1178:F1178"/>
    <mergeCell ref="A1179:F1179"/>
    <mergeCell ref="C1180:F1180"/>
    <mergeCell ref="A1147:F1147"/>
    <mergeCell ref="C1148:F1148"/>
    <mergeCell ref="C1149:F1149"/>
    <mergeCell ref="C1150:F1150"/>
    <mergeCell ref="C1151:F1151"/>
    <mergeCell ref="A1152:F1152"/>
    <mergeCell ref="C1153:F1153"/>
    <mergeCell ref="C1154:F1154"/>
    <mergeCell ref="C1155:F1155"/>
    <mergeCell ref="C1156:F1156"/>
    <mergeCell ref="C1157:F1157"/>
    <mergeCell ref="C1158:F1158"/>
    <mergeCell ref="C1159:F1159"/>
    <mergeCell ref="C1160:F1160"/>
    <mergeCell ref="A1161:F1161"/>
    <mergeCell ref="C1162:F1162"/>
    <mergeCell ref="C1163:F1163"/>
    <mergeCell ref="C1130:F1130"/>
    <mergeCell ref="A1131:F1131"/>
    <mergeCell ref="A1132:F1132"/>
    <mergeCell ref="C1133:F1133"/>
    <mergeCell ref="C1134:F1134"/>
    <mergeCell ref="C1135:F1135"/>
    <mergeCell ref="C1136:F1136"/>
    <mergeCell ref="A1137:F1137"/>
    <mergeCell ref="C1138:F1138"/>
    <mergeCell ref="A1139:F1139"/>
    <mergeCell ref="C1140:F1140"/>
    <mergeCell ref="A1141:F1141"/>
    <mergeCell ref="C1142:F1142"/>
    <mergeCell ref="A1143:F1143"/>
    <mergeCell ref="C1144:F1144"/>
    <mergeCell ref="C1145:F1145"/>
    <mergeCell ref="C1146:F1146"/>
    <mergeCell ref="C1113:F1113"/>
    <mergeCell ref="A1114:F1114"/>
    <mergeCell ref="A1115:F1115"/>
    <mergeCell ref="C1116:F1116"/>
    <mergeCell ref="C1117:F1117"/>
    <mergeCell ref="C1118:F1118"/>
    <mergeCell ref="C1119:F1119"/>
    <mergeCell ref="C1120:F1120"/>
    <mergeCell ref="C1121:F1121"/>
    <mergeCell ref="C1122:F1122"/>
    <mergeCell ref="C1123:F1123"/>
    <mergeCell ref="A1124:F1124"/>
    <mergeCell ref="C1125:F1125"/>
    <mergeCell ref="A1126:F1126"/>
    <mergeCell ref="C1127:F1127"/>
    <mergeCell ref="C1128:F1128"/>
    <mergeCell ref="C1129:F1129"/>
    <mergeCell ref="C1096:F1096"/>
    <mergeCell ref="A1097:F1097"/>
    <mergeCell ref="C1098:F1098"/>
    <mergeCell ref="C1099:F1099"/>
    <mergeCell ref="C1100:F1100"/>
    <mergeCell ref="C1101:F1101"/>
    <mergeCell ref="A1102:F1102"/>
    <mergeCell ref="C1103:F1103"/>
    <mergeCell ref="C1104:F1104"/>
    <mergeCell ref="A1105:F1105"/>
    <mergeCell ref="C1106:F1106"/>
    <mergeCell ref="C1107:F1107"/>
    <mergeCell ref="A1108:F1108"/>
    <mergeCell ref="C1109:F1109"/>
    <mergeCell ref="C1110:F1110"/>
    <mergeCell ref="A1111:F1111"/>
    <mergeCell ref="C1112:F1112"/>
    <mergeCell ref="C1079:F1079"/>
    <mergeCell ref="A1080:F1080"/>
    <mergeCell ref="C1081:F1081"/>
    <mergeCell ref="A1082:F1082"/>
    <mergeCell ref="C1083:F1083"/>
    <mergeCell ref="C1084:F1084"/>
    <mergeCell ref="C1085:F1085"/>
    <mergeCell ref="C1086:F1086"/>
    <mergeCell ref="A1087:F1087"/>
    <mergeCell ref="C1088:F1088"/>
    <mergeCell ref="A1089:F1089"/>
    <mergeCell ref="C1090:F1090"/>
    <mergeCell ref="C1091:F1091"/>
    <mergeCell ref="A1092:F1092"/>
    <mergeCell ref="C1093:F1093"/>
    <mergeCell ref="C1094:F1094"/>
    <mergeCell ref="C1095:F1095"/>
    <mergeCell ref="C1062:F1062"/>
    <mergeCell ref="C1063:F1063"/>
    <mergeCell ref="C1064:F1064"/>
    <mergeCell ref="A1065:F1065"/>
    <mergeCell ref="C1066:F1066"/>
    <mergeCell ref="C1067:F1067"/>
    <mergeCell ref="C1068:F1068"/>
    <mergeCell ref="C1069:F1069"/>
    <mergeCell ref="C1070:F1070"/>
    <mergeCell ref="A1071:F1071"/>
    <mergeCell ref="C1072:F1072"/>
    <mergeCell ref="C1073:F1073"/>
    <mergeCell ref="C1074:F1074"/>
    <mergeCell ref="C1075:F1075"/>
    <mergeCell ref="A1076:F1076"/>
    <mergeCell ref="A1077:F1077"/>
    <mergeCell ref="A1078:F1078"/>
    <mergeCell ref="A1045:F1045"/>
    <mergeCell ref="C1046:F1046"/>
    <mergeCell ref="C1047:F1047"/>
    <mergeCell ref="A1048:F1048"/>
    <mergeCell ref="C1049:F1049"/>
    <mergeCell ref="C1050:F1050"/>
    <mergeCell ref="C1051:F1051"/>
    <mergeCell ref="A1052:F1052"/>
    <mergeCell ref="C1053:F1053"/>
    <mergeCell ref="C1054:F1054"/>
    <mergeCell ref="C1055:F1055"/>
    <mergeCell ref="C1056:F1056"/>
    <mergeCell ref="A1057:F1057"/>
    <mergeCell ref="C1058:F1058"/>
    <mergeCell ref="C1059:F1059"/>
    <mergeCell ref="A1060:F1060"/>
    <mergeCell ref="C1061:F1061"/>
    <mergeCell ref="C1028:F1028"/>
    <mergeCell ref="C1029:F1029"/>
    <mergeCell ref="C1030:F1030"/>
    <mergeCell ref="A1031:F1031"/>
    <mergeCell ref="C1032:F1032"/>
    <mergeCell ref="C1033:F1033"/>
    <mergeCell ref="A1034:F1034"/>
    <mergeCell ref="C1035:F1035"/>
    <mergeCell ref="C1036:F1036"/>
    <mergeCell ref="A1037:F1037"/>
    <mergeCell ref="C1038:F1038"/>
    <mergeCell ref="A1039:F1039"/>
    <mergeCell ref="C1040:F1040"/>
    <mergeCell ref="C1041:F1041"/>
    <mergeCell ref="A1042:F1042"/>
    <mergeCell ref="C1043:F1043"/>
    <mergeCell ref="C1044:F1044"/>
    <mergeCell ref="A1011:F1011"/>
    <mergeCell ref="A1012:F1012"/>
    <mergeCell ref="C1013:F1013"/>
    <mergeCell ref="C1014:F1014"/>
    <mergeCell ref="C1015:F1015"/>
    <mergeCell ref="C1016:F1016"/>
    <mergeCell ref="C1017:F1017"/>
    <mergeCell ref="C1018:F1018"/>
    <mergeCell ref="C1019:F1019"/>
    <mergeCell ref="C1020:F1020"/>
    <mergeCell ref="A1021:F1021"/>
    <mergeCell ref="C1022:F1022"/>
    <mergeCell ref="C1023:F1023"/>
    <mergeCell ref="C1024:F1024"/>
    <mergeCell ref="A1025:F1025"/>
    <mergeCell ref="C1026:F1026"/>
    <mergeCell ref="C1027:F1027"/>
    <mergeCell ref="C994:F994"/>
    <mergeCell ref="C995:F995"/>
    <mergeCell ref="C996:F996"/>
    <mergeCell ref="C997:F997"/>
    <mergeCell ref="C998:F998"/>
    <mergeCell ref="C999:F999"/>
    <mergeCell ref="C1000:F1000"/>
    <mergeCell ref="C1001:F1001"/>
    <mergeCell ref="C1002:F1002"/>
    <mergeCell ref="C1003:F1003"/>
    <mergeCell ref="C1004:F1004"/>
    <mergeCell ref="A1005:F1005"/>
    <mergeCell ref="C1006:F1006"/>
    <mergeCell ref="C1007:F1007"/>
    <mergeCell ref="C1008:F1008"/>
    <mergeCell ref="C1009:F1009"/>
    <mergeCell ref="C1010:F1010"/>
    <mergeCell ref="C977:F977"/>
    <mergeCell ref="C978:F978"/>
    <mergeCell ref="C979:F979"/>
    <mergeCell ref="C980:F980"/>
    <mergeCell ref="C981:F981"/>
    <mergeCell ref="C982:F982"/>
    <mergeCell ref="C983:F983"/>
    <mergeCell ref="C984:F984"/>
    <mergeCell ref="C985:F985"/>
    <mergeCell ref="C986:F986"/>
    <mergeCell ref="C987:F987"/>
    <mergeCell ref="C988:F988"/>
    <mergeCell ref="C989:F989"/>
    <mergeCell ref="C990:F990"/>
    <mergeCell ref="C991:F991"/>
    <mergeCell ref="C992:F992"/>
    <mergeCell ref="C993:F993"/>
    <mergeCell ref="C960:F960"/>
    <mergeCell ref="C961:F961"/>
    <mergeCell ref="C962:F962"/>
    <mergeCell ref="C963:F963"/>
    <mergeCell ref="C964:F964"/>
    <mergeCell ref="C965:F965"/>
    <mergeCell ref="C966:F966"/>
    <mergeCell ref="C967:F967"/>
    <mergeCell ref="C968:F968"/>
    <mergeCell ref="C969:F969"/>
    <mergeCell ref="C970:F970"/>
    <mergeCell ref="C971:F971"/>
    <mergeCell ref="C972:F972"/>
    <mergeCell ref="C973:F973"/>
    <mergeCell ref="C974:F974"/>
    <mergeCell ref="C975:F975"/>
    <mergeCell ref="C976:F976"/>
    <mergeCell ref="C943:F943"/>
    <mergeCell ref="A944:F944"/>
    <mergeCell ref="A945:F945"/>
    <mergeCell ref="C946:F946"/>
    <mergeCell ref="C947:F947"/>
    <mergeCell ref="C948:F948"/>
    <mergeCell ref="C949:F949"/>
    <mergeCell ref="C950:F950"/>
    <mergeCell ref="C951:F951"/>
    <mergeCell ref="C952:F952"/>
    <mergeCell ref="C953:F953"/>
    <mergeCell ref="C954:F954"/>
    <mergeCell ref="C955:F955"/>
    <mergeCell ref="C956:F956"/>
    <mergeCell ref="C957:F957"/>
    <mergeCell ref="C958:F958"/>
    <mergeCell ref="C959:F959"/>
    <mergeCell ref="A926:F926"/>
    <mergeCell ref="C927:F927"/>
    <mergeCell ref="C928:F928"/>
    <mergeCell ref="C929:F929"/>
    <mergeCell ref="A930:F930"/>
    <mergeCell ref="C931:F931"/>
    <mergeCell ref="C932:F932"/>
    <mergeCell ref="C933:F933"/>
    <mergeCell ref="A934:F934"/>
    <mergeCell ref="C935:F935"/>
    <mergeCell ref="C936:F936"/>
    <mergeCell ref="C937:F937"/>
    <mergeCell ref="A938:F938"/>
    <mergeCell ref="C939:F939"/>
    <mergeCell ref="A940:F940"/>
    <mergeCell ref="C941:F941"/>
    <mergeCell ref="A942:F942"/>
    <mergeCell ref="A909:F909"/>
    <mergeCell ref="C910:F910"/>
    <mergeCell ref="C911:F911"/>
    <mergeCell ref="C912:F912"/>
    <mergeCell ref="C913:F913"/>
    <mergeCell ref="A914:F914"/>
    <mergeCell ref="A915:F915"/>
    <mergeCell ref="C916:F916"/>
    <mergeCell ref="C917:F917"/>
    <mergeCell ref="A918:F918"/>
    <mergeCell ref="C919:F919"/>
    <mergeCell ref="C920:F920"/>
    <mergeCell ref="A921:F921"/>
    <mergeCell ref="C922:F922"/>
    <mergeCell ref="C923:F923"/>
    <mergeCell ref="C924:F924"/>
    <mergeCell ref="C925:F925"/>
    <mergeCell ref="A892:F892"/>
    <mergeCell ref="C893:F893"/>
    <mergeCell ref="C894:F894"/>
    <mergeCell ref="C895:F895"/>
    <mergeCell ref="C896:F896"/>
    <mergeCell ref="C897:F897"/>
    <mergeCell ref="C898:F898"/>
    <mergeCell ref="C899:F899"/>
    <mergeCell ref="A900:F900"/>
    <mergeCell ref="C901:F901"/>
    <mergeCell ref="C902:F902"/>
    <mergeCell ref="C903:F903"/>
    <mergeCell ref="C904:F904"/>
    <mergeCell ref="C905:F905"/>
    <mergeCell ref="A906:F906"/>
    <mergeCell ref="C907:F907"/>
    <mergeCell ref="C908:F908"/>
    <mergeCell ref="C875:F875"/>
    <mergeCell ref="C876:F876"/>
    <mergeCell ref="A877:F877"/>
    <mergeCell ref="A878:F878"/>
    <mergeCell ref="C879:F879"/>
    <mergeCell ref="C880:F880"/>
    <mergeCell ref="C881:F881"/>
    <mergeCell ref="C882:F882"/>
    <mergeCell ref="A883:F883"/>
    <mergeCell ref="C884:F884"/>
    <mergeCell ref="C885:F885"/>
    <mergeCell ref="C886:F886"/>
    <mergeCell ref="C887:F887"/>
    <mergeCell ref="A888:F888"/>
    <mergeCell ref="C889:F889"/>
    <mergeCell ref="C890:F890"/>
    <mergeCell ref="C891:F891"/>
    <mergeCell ref="C858:F858"/>
    <mergeCell ref="C859:F859"/>
    <mergeCell ref="A860:F860"/>
    <mergeCell ref="C861:F861"/>
    <mergeCell ref="C862:F862"/>
    <mergeCell ref="C863:F863"/>
    <mergeCell ref="C864:F864"/>
    <mergeCell ref="C865:F865"/>
    <mergeCell ref="A866:F866"/>
    <mergeCell ref="A867:F867"/>
    <mergeCell ref="C868:F868"/>
    <mergeCell ref="C869:F869"/>
    <mergeCell ref="C870:F870"/>
    <mergeCell ref="C871:F871"/>
    <mergeCell ref="A872:F872"/>
    <mergeCell ref="C873:F873"/>
    <mergeCell ref="A874:F874"/>
    <mergeCell ref="C841:F841"/>
    <mergeCell ref="A842:F842"/>
    <mergeCell ref="C843:F843"/>
    <mergeCell ref="C844:F844"/>
    <mergeCell ref="C845:F845"/>
    <mergeCell ref="C846:F846"/>
    <mergeCell ref="A847:F847"/>
    <mergeCell ref="C848:F848"/>
    <mergeCell ref="C849:F849"/>
    <mergeCell ref="C850:F850"/>
    <mergeCell ref="C851:F851"/>
    <mergeCell ref="A852:F852"/>
    <mergeCell ref="C853:F853"/>
    <mergeCell ref="C854:F854"/>
    <mergeCell ref="C855:F855"/>
    <mergeCell ref="A856:F856"/>
    <mergeCell ref="C857:F857"/>
    <mergeCell ref="C824:F824"/>
    <mergeCell ref="C825:F825"/>
    <mergeCell ref="C826:F826"/>
    <mergeCell ref="A827:F827"/>
    <mergeCell ref="C828:F828"/>
    <mergeCell ref="C829:F829"/>
    <mergeCell ref="C830:F830"/>
    <mergeCell ref="A831:F831"/>
    <mergeCell ref="C832:F832"/>
    <mergeCell ref="C833:F833"/>
    <mergeCell ref="C834:F834"/>
    <mergeCell ref="C835:F835"/>
    <mergeCell ref="A836:F836"/>
    <mergeCell ref="C837:F837"/>
    <mergeCell ref="C838:F838"/>
    <mergeCell ref="A839:F839"/>
    <mergeCell ref="C840:F840"/>
    <mergeCell ref="C807:F807"/>
    <mergeCell ref="A808:F808"/>
    <mergeCell ref="C809:F809"/>
    <mergeCell ref="C810:F810"/>
    <mergeCell ref="C811:F811"/>
    <mergeCell ref="C812:F812"/>
    <mergeCell ref="C813:F813"/>
    <mergeCell ref="A814:F814"/>
    <mergeCell ref="C815:F815"/>
    <mergeCell ref="C816:F816"/>
    <mergeCell ref="A817:F817"/>
    <mergeCell ref="C818:F818"/>
    <mergeCell ref="C819:F819"/>
    <mergeCell ref="C820:F820"/>
    <mergeCell ref="A821:F821"/>
    <mergeCell ref="A822:F822"/>
    <mergeCell ref="C823:F823"/>
    <mergeCell ref="A790:F790"/>
    <mergeCell ref="C791:F791"/>
    <mergeCell ref="C792:F792"/>
    <mergeCell ref="C793:F793"/>
    <mergeCell ref="A794:F794"/>
    <mergeCell ref="C795:F795"/>
    <mergeCell ref="A796:F796"/>
    <mergeCell ref="C797:F797"/>
    <mergeCell ref="A798:F798"/>
    <mergeCell ref="A799:F799"/>
    <mergeCell ref="C800:F800"/>
    <mergeCell ref="C801:F801"/>
    <mergeCell ref="C802:F802"/>
    <mergeCell ref="A803:F803"/>
    <mergeCell ref="C804:F804"/>
    <mergeCell ref="C805:F805"/>
    <mergeCell ref="C806:F806"/>
    <mergeCell ref="C773:F773"/>
    <mergeCell ref="C774:F774"/>
    <mergeCell ref="C775:F775"/>
    <mergeCell ref="C776:F776"/>
    <mergeCell ref="A777:F777"/>
    <mergeCell ref="C778:F778"/>
    <mergeCell ref="A779:F779"/>
    <mergeCell ref="C780:F780"/>
    <mergeCell ref="C781:F781"/>
    <mergeCell ref="C782:F782"/>
    <mergeCell ref="C783:F783"/>
    <mergeCell ref="A784:F784"/>
    <mergeCell ref="A785:F785"/>
    <mergeCell ref="C786:F786"/>
    <mergeCell ref="C787:F787"/>
    <mergeCell ref="A788:F788"/>
    <mergeCell ref="C789:F789"/>
    <mergeCell ref="A756:F756"/>
    <mergeCell ref="C757:F757"/>
    <mergeCell ref="C758:F758"/>
    <mergeCell ref="A759:F759"/>
    <mergeCell ref="A760:F760"/>
    <mergeCell ref="C761:F761"/>
    <mergeCell ref="C762:F762"/>
    <mergeCell ref="C763:F763"/>
    <mergeCell ref="A764:F764"/>
    <mergeCell ref="C765:F765"/>
    <mergeCell ref="C766:F766"/>
    <mergeCell ref="C767:F767"/>
    <mergeCell ref="A768:F768"/>
    <mergeCell ref="C769:F769"/>
    <mergeCell ref="C770:F770"/>
    <mergeCell ref="C771:F771"/>
    <mergeCell ref="A772:F772"/>
    <mergeCell ref="C739:F739"/>
    <mergeCell ref="A740:F740"/>
    <mergeCell ref="A741:F741"/>
    <mergeCell ref="C742:F742"/>
    <mergeCell ref="C743:F743"/>
    <mergeCell ref="C744:F744"/>
    <mergeCell ref="A745:F745"/>
    <mergeCell ref="C746:F746"/>
    <mergeCell ref="C747:F747"/>
    <mergeCell ref="A748:F748"/>
    <mergeCell ref="C749:F749"/>
    <mergeCell ref="C750:F750"/>
    <mergeCell ref="A751:F751"/>
    <mergeCell ref="C752:F752"/>
    <mergeCell ref="A753:F753"/>
    <mergeCell ref="C754:F754"/>
    <mergeCell ref="C755:F755"/>
    <mergeCell ref="C722:F722"/>
    <mergeCell ref="A723:F723"/>
    <mergeCell ref="C724:F724"/>
    <mergeCell ref="A725:F725"/>
    <mergeCell ref="C726:F726"/>
    <mergeCell ref="C727:F727"/>
    <mergeCell ref="A728:F728"/>
    <mergeCell ref="C729:F729"/>
    <mergeCell ref="A730:F730"/>
    <mergeCell ref="C731:F731"/>
    <mergeCell ref="C732:F732"/>
    <mergeCell ref="A733:F733"/>
    <mergeCell ref="C734:F734"/>
    <mergeCell ref="A735:F735"/>
    <mergeCell ref="C736:F736"/>
    <mergeCell ref="A737:F737"/>
    <mergeCell ref="C738:F738"/>
    <mergeCell ref="A705:F705"/>
    <mergeCell ref="C706:F706"/>
    <mergeCell ref="C707:F707"/>
    <mergeCell ref="C708:F708"/>
    <mergeCell ref="C709:F709"/>
    <mergeCell ref="C710:F710"/>
    <mergeCell ref="A711:F711"/>
    <mergeCell ref="C712:F712"/>
    <mergeCell ref="C713:F713"/>
    <mergeCell ref="C714:F714"/>
    <mergeCell ref="C715:F715"/>
    <mergeCell ref="A716:F716"/>
    <mergeCell ref="C717:F717"/>
    <mergeCell ref="C718:F718"/>
    <mergeCell ref="C719:F719"/>
    <mergeCell ref="C720:F720"/>
    <mergeCell ref="C721:F721"/>
    <mergeCell ref="A688:F688"/>
    <mergeCell ref="C689:F689"/>
    <mergeCell ref="C690:F690"/>
    <mergeCell ref="C691:F691"/>
    <mergeCell ref="C692:F692"/>
    <mergeCell ref="C693:F693"/>
    <mergeCell ref="C694:F694"/>
    <mergeCell ref="C695:F695"/>
    <mergeCell ref="C696:F696"/>
    <mergeCell ref="C697:F697"/>
    <mergeCell ref="C698:F698"/>
    <mergeCell ref="C699:F699"/>
    <mergeCell ref="C700:F700"/>
    <mergeCell ref="C701:F701"/>
    <mergeCell ref="C702:F702"/>
    <mergeCell ref="C703:F703"/>
    <mergeCell ref="C704:F704"/>
    <mergeCell ref="C671:F671"/>
    <mergeCell ref="A672:F672"/>
    <mergeCell ref="C673:F673"/>
    <mergeCell ref="C674:F674"/>
    <mergeCell ref="C675:F675"/>
    <mergeCell ref="A676:F676"/>
    <mergeCell ref="C677:F677"/>
    <mergeCell ref="C678:F678"/>
    <mergeCell ref="C679:F679"/>
    <mergeCell ref="C680:F680"/>
    <mergeCell ref="A681:F681"/>
    <mergeCell ref="C682:F682"/>
    <mergeCell ref="C683:F683"/>
    <mergeCell ref="C684:F684"/>
    <mergeCell ref="C685:F685"/>
    <mergeCell ref="C686:F686"/>
    <mergeCell ref="C687:F687"/>
    <mergeCell ref="C654:F654"/>
    <mergeCell ref="A655:F655"/>
    <mergeCell ref="C656:F656"/>
    <mergeCell ref="A657:F657"/>
    <mergeCell ref="C658:F658"/>
    <mergeCell ref="C659:F659"/>
    <mergeCell ref="C660:F660"/>
    <mergeCell ref="C661:F661"/>
    <mergeCell ref="A662:F662"/>
    <mergeCell ref="C663:F663"/>
    <mergeCell ref="C664:F664"/>
    <mergeCell ref="C665:F665"/>
    <mergeCell ref="C666:F666"/>
    <mergeCell ref="A667:F667"/>
    <mergeCell ref="C668:F668"/>
    <mergeCell ref="C669:F669"/>
    <mergeCell ref="C670:F670"/>
    <mergeCell ref="C637:F637"/>
    <mergeCell ref="C638:F638"/>
    <mergeCell ref="C639:F639"/>
    <mergeCell ref="A640:F640"/>
    <mergeCell ref="C641:F641"/>
    <mergeCell ref="C642:F642"/>
    <mergeCell ref="C643:F643"/>
    <mergeCell ref="A644:F644"/>
    <mergeCell ref="C645:F645"/>
    <mergeCell ref="C646:F646"/>
    <mergeCell ref="A647:F647"/>
    <mergeCell ref="C648:F648"/>
    <mergeCell ref="C649:F649"/>
    <mergeCell ref="C650:F650"/>
    <mergeCell ref="A651:F651"/>
    <mergeCell ref="C652:F652"/>
    <mergeCell ref="C653:F653"/>
    <mergeCell ref="C620:F620"/>
    <mergeCell ref="A621:F621"/>
    <mergeCell ref="C622:F622"/>
    <mergeCell ref="C623:F623"/>
    <mergeCell ref="C624:F624"/>
    <mergeCell ref="A625:F625"/>
    <mergeCell ref="C626:F626"/>
    <mergeCell ref="C627:F627"/>
    <mergeCell ref="C628:F628"/>
    <mergeCell ref="C629:F629"/>
    <mergeCell ref="C630:F630"/>
    <mergeCell ref="C631:F631"/>
    <mergeCell ref="C632:F632"/>
    <mergeCell ref="C633:F633"/>
    <mergeCell ref="C634:F634"/>
    <mergeCell ref="C635:F635"/>
    <mergeCell ref="C636:F636"/>
    <mergeCell ref="C603:F603"/>
    <mergeCell ref="C604:F604"/>
    <mergeCell ref="C605:F605"/>
    <mergeCell ref="C606:F606"/>
    <mergeCell ref="C607:F607"/>
    <mergeCell ref="C608:F608"/>
    <mergeCell ref="C609:F609"/>
    <mergeCell ref="A610:F610"/>
    <mergeCell ref="C611:F611"/>
    <mergeCell ref="A612:F612"/>
    <mergeCell ref="A613:F613"/>
    <mergeCell ref="C614:F614"/>
    <mergeCell ref="C615:F615"/>
    <mergeCell ref="C616:F616"/>
    <mergeCell ref="C617:F617"/>
    <mergeCell ref="C618:F618"/>
    <mergeCell ref="A619:F619"/>
    <mergeCell ref="C586:F586"/>
    <mergeCell ref="C587:F587"/>
    <mergeCell ref="A588:F588"/>
    <mergeCell ref="C589:F589"/>
    <mergeCell ref="C590:F590"/>
    <mergeCell ref="A591:F591"/>
    <mergeCell ref="C592:F592"/>
    <mergeCell ref="C593:F593"/>
    <mergeCell ref="C594:F594"/>
    <mergeCell ref="C595:F595"/>
    <mergeCell ref="C596:F596"/>
    <mergeCell ref="C597:F597"/>
    <mergeCell ref="C598:F598"/>
    <mergeCell ref="C599:F599"/>
    <mergeCell ref="C600:F600"/>
    <mergeCell ref="A601:F601"/>
    <mergeCell ref="C602:F602"/>
    <mergeCell ref="C569:F569"/>
    <mergeCell ref="C570:F570"/>
    <mergeCell ref="C571:F571"/>
    <mergeCell ref="A572:F572"/>
    <mergeCell ref="C573:F573"/>
    <mergeCell ref="C574:F574"/>
    <mergeCell ref="A575:F575"/>
    <mergeCell ref="C576:F576"/>
    <mergeCell ref="C577:F577"/>
    <mergeCell ref="A578:F578"/>
    <mergeCell ref="C579:F579"/>
    <mergeCell ref="A580:F580"/>
    <mergeCell ref="C581:F581"/>
    <mergeCell ref="C582:F582"/>
    <mergeCell ref="C583:F583"/>
    <mergeCell ref="A584:F584"/>
    <mergeCell ref="C585:F585"/>
    <mergeCell ref="C552:F552"/>
    <mergeCell ref="A553:F553"/>
    <mergeCell ref="C554:F554"/>
    <mergeCell ref="C555:F555"/>
    <mergeCell ref="C556:F556"/>
    <mergeCell ref="C557:F557"/>
    <mergeCell ref="C558:F558"/>
    <mergeCell ref="C559:F559"/>
    <mergeCell ref="C560:F560"/>
    <mergeCell ref="C561:F561"/>
    <mergeCell ref="C562:F562"/>
    <mergeCell ref="C563:F563"/>
    <mergeCell ref="C564:F564"/>
    <mergeCell ref="A565:F565"/>
    <mergeCell ref="C566:F566"/>
    <mergeCell ref="C567:F567"/>
    <mergeCell ref="C568:F568"/>
    <mergeCell ref="C535:F535"/>
    <mergeCell ref="C536:F536"/>
    <mergeCell ref="C537:F537"/>
    <mergeCell ref="C538:F538"/>
    <mergeCell ref="C539:F539"/>
    <mergeCell ref="C540:F540"/>
    <mergeCell ref="C541:F541"/>
    <mergeCell ref="C542:F542"/>
    <mergeCell ref="A543:F543"/>
    <mergeCell ref="C544:F544"/>
    <mergeCell ref="C545:F545"/>
    <mergeCell ref="C546:F546"/>
    <mergeCell ref="C547:F547"/>
    <mergeCell ref="C548:F548"/>
    <mergeCell ref="C549:F549"/>
    <mergeCell ref="C550:F550"/>
    <mergeCell ref="C551:F551"/>
    <mergeCell ref="C518:F518"/>
    <mergeCell ref="C519:F519"/>
    <mergeCell ref="C520:F520"/>
    <mergeCell ref="C521:F521"/>
    <mergeCell ref="C522:F522"/>
    <mergeCell ref="C523:F523"/>
    <mergeCell ref="C524:F524"/>
    <mergeCell ref="C525:F525"/>
    <mergeCell ref="C526:F526"/>
    <mergeCell ref="C527:F527"/>
    <mergeCell ref="A528:F528"/>
    <mergeCell ref="C529:F529"/>
    <mergeCell ref="C530:F530"/>
    <mergeCell ref="A531:F531"/>
    <mergeCell ref="C532:F532"/>
    <mergeCell ref="C533:F533"/>
    <mergeCell ref="C534:F534"/>
    <mergeCell ref="A501:F501"/>
    <mergeCell ref="C502:F502"/>
    <mergeCell ref="A503:F503"/>
    <mergeCell ref="C504:F504"/>
    <mergeCell ref="C505:F505"/>
    <mergeCell ref="C506:F506"/>
    <mergeCell ref="A507:F507"/>
    <mergeCell ref="C508:F508"/>
    <mergeCell ref="C509:F509"/>
    <mergeCell ref="C510:F510"/>
    <mergeCell ref="A511:F511"/>
    <mergeCell ref="C512:F512"/>
    <mergeCell ref="C513:F513"/>
    <mergeCell ref="C514:F514"/>
    <mergeCell ref="C515:F515"/>
    <mergeCell ref="A516:F516"/>
    <mergeCell ref="C517:F517"/>
    <mergeCell ref="C484:F484"/>
    <mergeCell ref="A485:F485"/>
    <mergeCell ref="C486:F486"/>
    <mergeCell ref="A487:F487"/>
    <mergeCell ref="C488:F488"/>
    <mergeCell ref="C489:F489"/>
    <mergeCell ref="C490:F490"/>
    <mergeCell ref="C491:F491"/>
    <mergeCell ref="C492:F492"/>
    <mergeCell ref="C493:F493"/>
    <mergeCell ref="C494:F494"/>
    <mergeCell ref="C495:F495"/>
    <mergeCell ref="C496:F496"/>
    <mergeCell ref="C497:F497"/>
    <mergeCell ref="C498:F498"/>
    <mergeCell ref="C499:F499"/>
    <mergeCell ref="C500:F500"/>
    <mergeCell ref="C467:F467"/>
    <mergeCell ref="A468:F468"/>
    <mergeCell ref="C469:F469"/>
    <mergeCell ref="C470:F470"/>
    <mergeCell ref="C471:F471"/>
    <mergeCell ref="A472:F472"/>
    <mergeCell ref="C473:F473"/>
    <mergeCell ref="A474:F474"/>
    <mergeCell ref="C475:F475"/>
    <mergeCell ref="C476:F476"/>
    <mergeCell ref="A477:F477"/>
    <mergeCell ref="C478:F478"/>
    <mergeCell ref="C479:F479"/>
    <mergeCell ref="A480:F480"/>
    <mergeCell ref="C481:F481"/>
    <mergeCell ref="C482:F482"/>
    <mergeCell ref="A483:F483"/>
    <mergeCell ref="C450:F450"/>
    <mergeCell ref="C451:F451"/>
    <mergeCell ref="C452:F452"/>
    <mergeCell ref="C453:F453"/>
    <mergeCell ref="A454:F454"/>
    <mergeCell ref="A455:F455"/>
    <mergeCell ref="C456:F456"/>
    <mergeCell ref="C457:F457"/>
    <mergeCell ref="A458:F458"/>
    <mergeCell ref="A459:F459"/>
    <mergeCell ref="A460:F460"/>
    <mergeCell ref="C461:F461"/>
    <mergeCell ref="C462:F462"/>
    <mergeCell ref="C463:F463"/>
    <mergeCell ref="A464:F464"/>
    <mergeCell ref="C465:F465"/>
    <mergeCell ref="C466:F466"/>
    <mergeCell ref="C433:F433"/>
    <mergeCell ref="C434:F434"/>
    <mergeCell ref="C435:F435"/>
    <mergeCell ref="C436:F436"/>
    <mergeCell ref="A437:F437"/>
    <mergeCell ref="C438:F438"/>
    <mergeCell ref="C439:F439"/>
    <mergeCell ref="C440:F440"/>
    <mergeCell ref="A441:F441"/>
    <mergeCell ref="C442:F442"/>
    <mergeCell ref="C443:F443"/>
    <mergeCell ref="C444:F444"/>
    <mergeCell ref="A445:F445"/>
    <mergeCell ref="C446:F446"/>
    <mergeCell ref="A447:F447"/>
    <mergeCell ref="C448:F448"/>
    <mergeCell ref="A449:F449"/>
    <mergeCell ref="C416:F416"/>
    <mergeCell ref="C417:F417"/>
    <mergeCell ref="C418:F418"/>
    <mergeCell ref="A419:F419"/>
    <mergeCell ref="A420:F420"/>
    <mergeCell ref="C421:F421"/>
    <mergeCell ref="A422:F422"/>
    <mergeCell ref="C423:F423"/>
    <mergeCell ref="C424:F424"/>
    <mergeCell ref="C425:F425"/>
    <mergeCell ref="C426:F426"/>
    <mergeCell ref="A427:F427"/>
    <mergeCell ref="C428:F428"/>
    <mergeCell ref="C429:F429"/>
    <mergeCell ref="C430:F430"/>
    <mergeCell ref="C431:F431"/>
    <mergeCell ref="A432:F432"/>
    <mergeCell ref="C399:F399"/>
    <mergeCell ref="C400:F400"/>
    <mergeCell ref="A401:F401"/>
    <mergeCell ref="C402:F402"/>
    <mergeCell ref="C403:F403"/>
    <mergeCell ref="C404:F404"/>
    <mergeCell ref="A405:F405"/>
    <mergeCell ref="C406:F406"/>
    <mergeCell ref="C407:F407"/>
    <mergeCell ref="C408:F408"/>
    <mergeCell ref="C409:F409"/>
    <mergeCell ref="A410:F410"/>
    <mergeCell ref="C411:F411"/>
    <mergeCell ref="C412:F412"/>
    <mergeCell ref="C413:F413"/>
    <mergeCell ref="C414:F414"/>
    <mergeCell ref="A415:F415"/>
    <mergeCell ref="C382:F382"/>
    <mergeCell ref="C383:F383"/>
    <mergeCell ref="C384:F384"/>
    <mergeCell ref="A385:F385"/>
    <mergeCell ref="C386:F386"/>
    <mergeCell ref="C387:F387"/>
    <mergeCell ref="C388:F388"/>
    <mergeCell ref="C389:F389"/>
    <mergeCell ref="A390:F390"/>
    <mergeCell ref="C391:F391"/>
    <mergeCell ref="A392:F392"/>
    <mergeCell ref="C393:F393"/>
    <mergeCell ref="C394:F394"/>
    <mergeCell ref="C395:F395"/>
    <mergeCell ref="C396:F396"/>
    <mergeCell ref="A397:F397"/>
    <mergeCell ref="C398:F398"/>
    <mergeCell ref="C365:F365"/>
    <mergeCell ref="A366:F366"/>
    <mergeCell ref="C367:F367"/>
    <mergeCell ref="C368:F368"/>
    <mergeCell ref="C369:F369"/>
    <mergeCell ref="C370:F370"/>
    <mergeCell ref="A371:F371"/>
    <mergeCell ref="C372:F372"/>
    <mergeCell ref="C373:F373"/>
    <mergeCell ref="C374:F374"/>
    <mergeCell ref="A375:F375"/>
    <mergeCell ref="C376:F376"/>
    <mergeCell ref="C377:F377"/>
    <mergeCell ref="C378:F378"/>
    <mergeCell ref="C379:F379"/>
    <mergeCell ref="A380:F380"/>
    <mergeCell ref="C381:F381"/>
    <mergeCell ref="A348:F348"/>
    <mergeCell ref="C349:F349"/>
    <mergeCell ref="C350:F350"/>
    <mergeCell ref="A351:F351"/>
    <mergeCell ref="C352:F352"/>
    <mergeCell ref="C353:F353"/>
    <mergeCell ref="C354:F354"/>
    <mergeCell ref="C355:F355"/>
    <mergeCell ref="A356:F356"/>
    <mergeCell ref="C357:F357"/>
    <mergeCell ref="C358:F358"/>
    <mergeCell ref="C359:F359"/>
    <mergeCell ref="C360:F360"/>
    <mergeCell ref="A361:F361"/>
    <mergeCell ref="C362:F362"/>
    <mergeCell ref="C363:F363"/>
    <mergeCell ref="C364:F364"/>
    <mergeCell ref="C331:F331"/>
    <mergeCell ref="C332:F332"/>
    <mergeCell ref="C333:F333"/>
    <mergeCell ref="C334:F334"/>
    <mergeCell ref="A335:F335"/>
    <mergeCell ref="C336:F336"/>
    <mergeCell ref="A337:F337"/>
    <mergeCell ref="C338:F338"/>
    <mergeCell ref="A339:F339"/>
    <mergeCell ref="C340:F340"/>
    <mergeCell ref="C341:F341"/>
    <mergeCell ref="A342:F342"/>
    <mergeCell ref="A343:F343"/>
    <mergeCell ref="C344:F344"/>
    <mergeCell ref="C345:F345"/>
    <mergeCell ref="C346:F346"/>
    <mergeCell ref="C347:F347"/>
    <mergeCell ref="C314:F314"/>
    <mergeCell ref="A315:F315"/>
    <mergeCell ref="C316:F316"/>
    <mergeCell ref="C317:F317"/>
    <mergeCell ref="A318:F318"/>
    <mergeCell ref="C319:F319"/>
    <mergeCell ref="A320:F320"/>
    <mergeCell ref="A321:F321"/>
    <mergeCell ref="A322:F322"/>
    <mergeCell ref="A323:F323"/>
    <mergeCell ref="C324:F324"/>
    <mergeCell ref="C325:F325"/>
    <mergeCell ref="A326:F326"/>
    <mergeCell ref="C327:F327"/>
    <mergeCell ref="A328:F328"/>
    <mergeCell ref="C329:F329"/>
    <mergeCell ref="A330:F330"/>
    <mergeCell ref="C297:F297"/>
    <mergeCell ref="C298:F298"/>
    <mergeCell ref="C299:F299"/>
    <mergeCell ref="A300:F300"/>
    <mergeCell ref="C301:F301"/>
    <mergeCell ref="C302:F302"/>
    <mergeCell ref="C303:F303"/>
    <mergeCell ref="C304:F304"/>
    <mergeCell ref="A305:F305"/>
    <mergeCell ref="C306:F306"/>
    <mergeCell ref="C307:F307"/>
    <mergeCell ref="C308:F308"/>
    <mergeCell ref="C309:F309"/>
    <mergeCell ref="A310:F310"/>
    <mergeCell ref="C311:F311"/>
    <mergeCell ref="A312:F312"/>
    <mergeCell ref="C313:F313"/>
    <mergeCell ref="A280:F280"/>
    <mergeCell ref="C281:F281"/>
    <mergeCell ref="C282:F282"/>
    <mergeCell ref="C283:F283"/>
    <mergeCell ref="C284:F284"/>
    <mergeCell ref="A285:F285"/>
    <mergeCell ref="A286:F286"/>
    <mergeCell ref="A287:F287"/>
    <mergeCell ref="C288:F288"/>
    <mergeCell ref="C289:F289"/>
    <mergeCell ref="C290:F290"/>
    <mergeCell ref="C291:F291"/>
    <mergeCell ref="C292:F292"/>
    <mergeCell ref="A293:F293"/>
    <mergeCell ref="C294:F294"/>
    <mergeCell ref="A295:F295"/>
    <mergeCell ref="C296:F296"/>
    <mergeCell ref="C263:F263"/>
    <mergeCell ref="C264:F264"/>
    <mergeCell ref="A265:F265"/>
    <mergeCell ref="A266:F266"/>
    <mergeCell ref="C267:F267"/>
    <mergeCell ref="C268:F268"/>
    <mergeCell ref="C269:F269"/>
    <mergeCell ref="C270:F270"/>
    <mergeCell ref="A271:F271"/>
    <mergeCell ref="A272:F272"/>
    <mergeCell ref="C273:F273"/>
    <mergeCell ref="C274:F274"/>
    <mergeCell ref="C275:F275"/>
    <mergeCell ref="C276:F276"/>
    <mergeCell ref="C277:F277"/>
    <mergeCell ref="A278:F278"/>
    <mergeCell ref="C279:F279"/>
    <mergeCell ref="A246:F246"/>
    <mergeCell ref="C247:F247"/>
    <mergeCell ref="C248:F248"/>
    <mergeCell ref="C249:F249"/>
    <mergeCell ref="A250:F250"/>
    <mergeCell ref="C251:F251"/>
    <mergeCell ref="C252:F252"/>
    <mergeCell ref="C253:F253"/>
    <mergeCell ref="A254:F254"/>
    <mergeCell ref="A255:F255"/>
    <mergeCell ref="C256:F256"/>
    <mergeCell ref="C257:F257"/>
    <mergeCell ref="A258:F258"/>
    <mergeCell ref="C259:F259"/>
    <mergeCell ref="C260:F260"/>
    <mergeCell ref="A261:F261"/>
    <mergeCell ref="C262:F262"/>
    <mergeCell ref="C229:F229"/>
    <mergeCell ref="A230:F230"/>
    <mergeCell ref="C231:F231"/>
    <mergeCell ref="A232:F232"/>
    <mergeCell ref="C233:F233"/>
    <mergeCell ref="C234:F234"/>
    <mergeCell ref="C235:F235"/>
    <mergeCell ref="C236:F236"/>
    <mergeCell ref="C237:F237"/>
    <mergeCell ref="C238:F238"/>
    <mergeCell ref="A239:F239"/>
    <mergeCell ref="A240:F240"/>
    <mergeCell ref="A241:F241"/>
    <mergeCell ref="C242:F242"/>
    <mergeCell ref="C243:F243"/>
    <mergeCell ref="C244:F244"/>
    <mergeCell ref="C245:F245"/>
    <mergeCell ref="C212:F212"/>
    <mergeCell ref="C213:F213"/>
    <mergeCell ref="C214:F214"/>
    <mergeCell ref="C215:F215"/>
    <mergeCell ref="C216:F216"/>
    <mergeCell ref="A217:F217"/>
    <mergeCell ref="C218:F218"/>
    <mergeCell ref="C219:F219"/>
    <mergeCell ref="C220:F220"/>
    <mergeCell ref="C221:F221"/>
    <mergeCell ref="C222:F222"/>
    <mergeCell ref="A223:F223"/>
    <mergeCell ref="C224:F224"/>
    <mergeCell ref="C225:F225"/>
    <mergeCell ref="C226:F226"/>
    <mergeCell ref="C227:F227"/>
    <mergeCell ref="C228:F228"/>
    <mergeCell ref="C195:F195"/>
    <mergeCell ref="C196:F196"/>
    <mergeCell ref="C197:F197"/>
    <mergeCell ref="C198:F198"/>
    <mergeCell ref="A199:F199"/>
    <mergeCell ref="C200:F200"/>
    <mergeCell ref="C201:F201"/>
    <mergeCell ref="C202:F202"/>
    <mergeCell ref="C203:F203"/>
    <mergeCell ref="C204:F204"/>
    <mergeCell ref="A205:F205"/>
    <mergeCell ref="C206:F206"/>
    <mergeCell ref="A207:F207"/>
    <mergeCell ref="C208:F208"/>
    <mergeCell ref="A209:F209"/>
    <mergeCell ref="A210:F210"/>
    <mergeCell ref="C211:F211"/>
    <mergeCell ref="A178:F178"/>
    <mergeCell ref="C179:F179"/>
    <mergeCell ref="C180:F180"/>
    <mergeCell ref="C181:F181"/>
    <mergeCell ref="C182:F182"/>
    <mergeCell ref="C183:F183"/>
    <mergeCell ref="C184:F184"/>
    <mergeCell ref="A185:F185"/>
    <mergeCell ref="C186:F186"/>
    <mergeCell ref="C187:F187"/>
    <mergeCell ref="A188:F188"/>
    <mergeCell ref="A189:F189"/>
    <mergeCell ref="C190:F190"/>
    <mergeCell ref="C191:F191"/>
    <mergeCell ref="C192:F192"/>
    <mergeCell ref="A193:F193"/>
    <mergeCell ref="A194:F194"/>
    <mergeCell ref="C161:F161"/>
    <mergeCell ref="C162:F162"/>
    <mergeCell ref="A163:F163"/>
    <mergeCell ref="C164:F164"/>
    <mergeCell ref="A165:F165"/>
    <mergeCell ref="A166:F166"/>
    <mergeCell ref="C167:F167"/>
    <mergeCell ref="C168:F168"/>
    <mergeCell ref="C169:F169"/>
    <mergeCell ref="C170:F170"/>
    <mergeCell ref="C171:F171"/>
    <mergeCell ref="C172:F172"/>
    <mergeCell ref="A173:F173"/>
    <mergeCell ref="C174:F174"/>
    <mergeCell ref="C175:F175"/>
    <mergeCell ref="C176:F176"/>
    <mergeCell ref="C177:F177"/>
    <mergeCell ref="C144:F144"/>
    <mergeCell ref="A145:F145"/>
    <mergeCell ref="C146:F146"/>
    <mergeCell ref="C147:F147"/>
    <mergeCell ref="A148:F148"/>
    <mergeCell ref="C149:F149"/>
    <mergeCell ref="C150:F150"/>
    <mergeCell ref="C151:F151"/>
    <mergeCell ref="C152:F152"/>
    <mergeCell ref="A153:F153"/>
    <mergeCell ref="C154:F154"/>
    <mergeCell ref="C155:F155"/>
    <mergeCell ref="C156:F156"/>
    <mergeCell ref="A157:F157"/>
    <mergeCell ref="C158:F158"/>
    <mergeCell ref="C159:F159"/>
    <mergeCell ref="A160:F160"/>
    <mergeCell ref="A127:F127"/>
    <mergeCell ref="C128:F128"/>
    <mergeCell ref="A129:F129"/>
    <mergeCell ref="C130:F130"/>
    <mergeCell ref="A131:F131"/>
    <mergeCell ref="C132:F132"/>
    <mergeCell ref="C133:F133"/>
    <mergeCell ref="C134:F134"/>
    <mergeCell ref="A135:F135"/>
    <mergeCell ref="C136:F136"/>
    <mergeCell ref="C137:F137"/>
    <mergeCell ref="C138:F138"/>
    <mergeCell ref="C139:F139"/>
    <mergeCell ref="A140:F140"/>
    <mergeCell ref="C141:F141"/>
    <mergeCell ref="C142:F142"/>
    <mergeCell ref="C143:F143"/>
    <mergeCell ref="C110:F110"/>
    <mergeCell ref="A111:F111"/>
    <mergeCell ref="C112:F112"/>
    <mergeCell ref="A113:F113"/>
    <mergeCell ref="C114:F114"/>
    <mergeCell ref="C115:F115"/>
    <mergeCell ref="A116:F116"/>
    <mergeCell ref="C117:F117"/>
    <mergeCell ref="A118:F118"/>
    <mergeCell ref="C119:F119"/>
    <mergeCell ref="A120:F120"/>
    <mergeCell ref="C121:F121"/>
    <mergeCell ref="A122:F122"/>
    <mergeCell ref="C123:F123"/>
    <mergeCell ref="C124:F124"/>
    <mergeCell ref="C125:F125"/>
    <mergeCell ref="C126:F126"/>
    <mergeCell ref="C93:F93"/>
    <mergeCell ref="C94:F94"/>
    <mergeCell ref="C95:F95"/>
    <mergeCell ref="A96:F96"/>
    <mergeCell ref="C97:F97"/>
    <mergeCell ref="C98:F98"/>
    <mergeCell ref="C99:F99"/>
    <mergeCell ref="C100:F100"/>
    <mergeCell ref="A101:F101"/>
    <mergeCell ref="C102:F102"/>
    <mergeCell ref="C103:F103"/>
    <mergeCell ref="A104:F104"/>
    <mergeCell ref="C105:F105"/>
    <mergeCell ref="C106:F106"/>
    <mergeCell ref="C107:F107"/>
    <mergeCell ref="C108:F108"/>
    <mergeCell ref="A109:F109"/>
    <mergeCell ref="A76:F76"/>
    <mergeCell ref="C77:F77"/>
    <mergeCell ref="C78:F78"/>
    <mergeCell ref="C79:F79"/>
    <mergeCell ref="C80:F80"/>
    <mergeCell ref="C81:F81"/>
    <mergeCell ref="C82:F82"/>
    <mergeCell ref="C83:F83"/>
    <mergeCell ref="A84:F84"/>
    <mergeCell ref="C85:F85"/>
    <mergeCell ref="C86:F86"/>
    <mergeCell ref="C87:F87"/>
    <mergeCell ref="C88:F88"/>
    <mergeCell ref="A89:F89"/>
    <mergeCell ref="C90:F90"/>
    <mergeCell ref="C91:F91"/>
    <mergeCell ref="C92:F92"/>
    <mergeCell ref="C59:F59"/>
    <mergeCell ref="C60:F60"/>
    <mergeCell ref="C61:F61"/>
    <mergeCell ref="A62:F62"/>
    <mergeCell ref="C63:F63"/>
    <mergeCell ref="C64:F64"/>
    <mergeCell ref="C65:F65"/>
    <mergeCell ref="C66:F66"/>
    <mergeCell ref="C67:F67"/>
    <mergeCell ref="C68:F68"/>
    <mergeCell ref="C69:F69"/>
    <mergeCell ref="C70:F70"/>
    <mergeCell ref="C71:F71"/>
    <mergeCell ref="C72:F72"/>
    <mergeCell ref="C73:F73"/>
    <mergeCell ref="C74:F74"/>
    <mergeCell ref="C75:F75"/>
    <mergeCell ref="C42:F42"/>
    <mergeCell ref="C43:F43"/>
    <mergeCell ref="C44:F44"/>
    <mergeCell ref="C45:F45"/>
    <mergeCell ref="C46:F46"/>
    <mergeCell ref="C47:F47"/>
    <mergeCell ref="C48:F48"/>
    <mergeCell ref="A49:F49"/>
    <mergeCell ref="C50:F50"/>
    <mergeCell ref="C51:F51"/>
    <mergeCell ref="C52:F52"/>
    <mergeCell ref="C53:F53"/>
    <mergeCell ref="A54:F54"/>
    <mergeCell ref="C55:F55"/>
    <mergeCell ref="C56:F56"/>
    <mergeCell ref="C57:F57"/>
    <mergeCell ref="C58:F58"/>
    <mergeCell ref="C25:F25"/>
    <mergeCell ref="C26:F26"/>
    <mergeCell ref="C27:F27"/>
    <mergeCell ref="C28:F28"/>
    <mergeCell ref="C29:F29"/>
    <mergeCell ref="A30:F30"/>
    <mergeCell ref="C31:F31"/>
    <mergeCell ref="C32:F32"/>
    <mergeCell ref="A33:F33"/>
    <mergeCell ref="C34:F34"/>
    <mergeCell ref="A35:F35"/>
    <mergeCell ref="C36:F36"/>
    <mergeCell ref="A37:F37"/>
    <mergeCell ref="C38:F38"/>
    <mergeCell ref="A39:F39"/>
    <mergeCell ref="A40:F40"/>
    <mergeCell ref="C41:F41"/>
    <mergeCell ref="A10:F10"/>
    <mergeCell ref="C11:F11"/>
    <mergeCell ref="A5:A6"/>
    <mergeCell ref="B5:B6"/>
    <mergeCell ref="C12:F12"/>
    <mergeCell ref="C13:F13"/>
    <mergeCell ref="C14:F14"/>
    <mergeCell ref="C15:F15"/>
    <mergeCell ref="C16:F16"/>
    <mergeCell ref="C17:F17"/>
    <mergeCell ref="C18:F18"/>
    <mergeCell ref="C19:F19"/>
    <mergeCell ref="C20:F20"/>
    <mergeCell ref="A21:F21"/>
    <mergeCell ref="C22:F22"/>
    <mergeCell ref="A23:F23"/>
    <mergeCell ref="C24:F24"/>
    <mergeCell ref="A3:B3"/>
    <mergeCell ref="C3:F3"/>
    <mergeCell ref="Q3:R3"/>
    <mergeCell ref="B4:F4"/>
    <mergeCell ref="A7:F7"/>
    <mergeCell ref="A8:F8"/>
    <mergeCell ref="A9:F9"/>
    <mergeCell ref="J5:J6"/>
    <mergeCell ref="K5:K6"/>
    <mergeCell ref="L5:L6"/>
  </mergeCells>
  <dataValidations count="32">
    <dataValidation type="decimal" operator="equal" allowBlank="1" showErrorMessage="1" errorTitle="Не нужно менять минимальное количество для заказа:" error="минимальное количество для заказа = 4" sqref="O90 O91 O92 O93 O94 O95 O102 O103 O110 O112 O146 O147 O158 O159 O174 O175 O176 O177 O179 O180 O181 O182 O183 O184 O398 O399 O400 O456 O457 O473 O475 O476 O689 O690 O691 O692 O693 O694 O695 O696 O697 O698 O699 O700 O701 O702 O703 O704 O761 O762 O763 O773 O774 O775 O776 O778 O843 O844 O845 O846 O884 O885 O886 O887 O916 O917 O941 O943 O1006 O1007 O1008 O1009 O1010 O1013 O1014 O1015 O1016 O1017 O1018 O1019 O1020 O1046 O1047 O1112 O1113 O1230 O1231 O1232 O1337 O1338 O1372 O1374 O1383 O1384 O1385 O1386 O1387 O1388 O1389 O1390 O1391 O1392 O1393 O1394 O1432 O1433 O1582 O1584 O1585 O1586 O1587 O1588 O1589 O1590 O1591 O1592 O1593 O1595 O1598 O1599 O1600 O1601 O1602 O1603 O1626 O1627 O1628 O1629 O1636 O1637 O1638 O1639 O1640 O1641 O1680 O1681 O1682 O1683 O1684 O1685 O1686 O1687 O1688 O1689 O1691 O1698 O1699 O1703 O1704 O1708 O1709 O1710 O1711 O1748 O1835 O1836 O1868 O1869 O1894 O1895 O1896 O1897 O1973 O1974 O1975 O1976 O1977 O1978 O1979 O1980 O2261 O2262 O2264 O2265 O2266 O2267 O2311 O2312 O2313 O2323 O2415 O2416 O2418 O2419 O2421 O2422 O2425 O2426 O2427 O2429 O2430 O2431 O2434 O2437 O2438 O2447 O2450 O2531 O2532 O2533 O2534 O2535 O2536 O2537 O2538 O2539 O2554 O2607 O2937 O2938 O2943">
      <formula1>4</formula1>
    </dataValidation>
    <dataValidation type="decimal" operator="equal" allowBlank="1" showErrorMessage="1" errorTitle="Не нужно менять минимальное количество для заказа:" error="минимальное количество для заказа = 15" sqref="O105 O106 O107 O108 O141 O142 O143 O144 O907 O908 O1072 O1073 O1074 O1075 O1305 O1306 O1307 O1308 O1309 O1310 O1495 O1496 O1497 O1498 O1499 O1500 O1501 O1502 O1504 O1505 O1506 O1507 O1508 O1509 O1510 O1511 O1512 O1513 O1514 O1515 O1516 O1517 O1518 O1519 O1520 O1521 O1522 O1523 O1524 O1525 O1526 O1527 O1528 O1529 O1530 O1531 O1532 O1533 O1534 O1535 O1536">
      <formula1>15</formula1>
    </dataValidation>
    <dataValidation type="decimal" operator="equal" allowBlank="1" showErrorMessage="1" errorTitle="Не нужно менять минимальное количество для заказа:" error="минимальное количество для заказа = 2" sqref="O11 O12 O13 O14 O15 O16 O17 O18 O19 O20 O24 O25 O26 O27 O28 O29 O31 O32 O36 O38 O114 O115 O136 O137 O138 O139 O167 O168 O169 O170 O171 O172 O208 O211 O212 O213 O214 O215 O216 O218 O219 O220 O221 O222 O231 O233 O234 O235 O236 O237 O238 O251 O262 O263 O264 O267 O268 O269 O270 O279 O288 O289 O290 O291 O292 O294 O324 O325 O336 O344 O345 O346 O347 O469 O470 O471 O478 O479 O576 O577 O592 O593 O594 O595 O596 O597 O598 O599 O600 O658 O659 O660 O661 O668 O669 O670 O671 O677 O678 O679 O680 O682 O683 O684 O685 O686 O687 O742 O743 O744 O746 O769 O770 O771 O789 O791 O792 O793 O823 O824 O825 O826 O848 O849 O850 O851 O857 O858 O859 O861 O862 O863 O864 O865 O868 O869 O870 O871 O873 O875 O876 O879 O880 O881 O882 O893 O894 O895 O896 O897 O898 O899 O1038 O1040 O1041 O1049 O1050 O1051 O1098 O1099 O1100 O1101 O1180 O1181 O1182 O1316 O1322 O1323 O1344 O1345 O1346 O1347 O1368 O1424 O1425 O1426 O1427 O1429 O1430 O1580 O1618 O1619 O1652 O1653 O1654 O1655 O1731 O1732 O1734 O1735 O1830 O1831 O1832 O1833 O1854 O1855 O1856 O1857 O1906 O1907 O1908 O1909 O1939 O1940 O1941 O1942 O1998 O1999 O2007 O2008 O2012 O2014 O2019 O2020 O2023 O2025 O2026 O2027 O2031 O2032 O2034 O2035 O2037 O2039 O2040 O2042 O2043 O2052 O2054 O2055 O2056 O2057 O2058 O2059 O2061 O2065 O2066 O2067 O2068 O2069 O2070 O2071 O2072 O2073 O2074 O2075 O2076 O2077 O2079 O2081 O2082 O2084 O2087 O2088 O2096 O2097 O2098 O2099 O2100 O2101 O2102 O2103 O2105 O2114 O2115 O2117 O2118 O2119 O2120 O2121 O2122 O2123 O2124 O2127 O2129 O2130 O2132 O2133 O2134 O2136 O2137 O2138 O2139 O2140 O2141 O2142 O2143 O2144 O2145 O2146 O2147 O2148 O2149 O2150 O2164 O2182 O2183 O2185 O2186 O2187 O2188 O2189 O2223 O2224 O2225 O2226 O2227 O2228 O2229 O2231 O2232 O2233 O2234 O2235 O2296 O2298 O2300 O2301 O2302 O2303 O2304 O2305 O2306 O2307 O2308 O2309 O2315 O2316 O2317 O2318 O2319 O2320 O2321 O2333 O2334 O2335 O2336 O2339 O2340 O2341 O2342 O2344 O2345 O2346 O2370 O2371 O2372 O2373 O2374 O2375 O2376 O2377 O2378 O2379 O2380 O2381 O2383 O2385 O2386 O2387 O2388 O2389 O2390 O2392 O2393 O2394 O2395 O2396 O2399 O2402 O2403 O2405 O2406 O2407 O2408 O2410 O2411 O2412 O2413 O2428 O2439 O2440 O2451 O2457 O2458 O2459 O2460 O2461 O2462 O2463 O2490 O2491 O2493 O2494 O2495 O2496 O2497 O2498 O2499 O2505 O2506 O2507 O2508 O2509 O2510 O2511 O2512 O2513 O2514 O2515 O2516 O2517 O2528 O2529 O2556 O2563 O2564 O2565 O2566 O2567 O2568 O2569 O2572 O2573 O2574 O2575 O2577 O2578 O2610 O2611 O2612 O2613 O2614 O2615 O2616 O2617 O2618 O2619 O2621 O2623 O2624 O2625 O2626 O2889 O2890 O2891 O2892 O2932 O2933">
      <formula1>2</formula1>
    </dataValidation>
    <dataValidation type="decimal" operator="equal" allowBlank="1" showErrorMessage="1" errorTitle="Не нужно менять минимальное количество для заказа:" error="минимальное количество для заказа = 3" sqref="O85 O86 O87 O88 O123 O124 O125 O126 O130 O154 O155 O156 O161 O162 O186 O187 O195 O196 O197 O198 O252 O253 O311 O313 O314 O319 O340 O341 O362 O363 O364 O365 O372 O373 O374 O402 O403 O404 O421 O433 O434 O435 O436 O465 O466 O467 O481 O482 O486 O502 O504 O505 O506 O508 O509 O510 O544 O545 O546 O547 O548 O549 O550 O551 O552 O554 O555 O556 O557 O558 O559 O560 O561 O562 O563 O564 O573 O574 O579 O581 O582 O583 O585 O586 O587 O589 O590 O622 O623 O624 O626 O627 O628 O629 O630 O631 O632 O633 O634 O635 O636 O637 O638 O639 O641 O642 O643 O645 O646 O648 O649 O650 O656 O712 O713 O714 O715 O724 O734 O738 O739 O765 O766 O767 O780 O781 O782 O783 O786 O787 O795 O828 O829 O830 O832 O833 O834 O835 O837 O838 O840 O841 O853 O854 O855 O901 O902 O903 O904 O905 O922 O923 O924 O925 O946 O947 O948 O949 O950 O951 O952 O953 O954 O955 O956 O957 O958 O959 O960 O961 O962 O963 O964 O965 O966 O967 O968 O969 O970 O971 O972 O973 O974 O975 O976 O977 O978 O979 O980 O981 O982 O983 O984 O985 O986 O987 O988 O989 O990 O991 O992 O993 O994 O995 O996 O997 O998 O999 O1000 O1001 O1002 O1003 O1004 O1032 O1033 O1058 O1059 O1103 O1104 O1127 O1128 O1129 O1130 O1175 O1176 O1177 O1178 O1198 O1199 O1200 O1201 O1202 O1203 O1205 O1206 O1208 O1209 O1210 O1211 O1221 O1222 O1223 O1224 O1225 O1226 O1227 O1228 O1325 O1326 O1327 O1328 O1330 O1331 O1332 O1333 O1334 O1335 O1340 O1342 O1356 O1357 O1358 O1359 O1366 O1401 O1402 O1403 O1404 O1405 O1406 O1407 O1408 O1409 O1410 O1411 O1487 O1488 O1489 O1490 O1614 O1615 O1616 O1631 O1632 O1633 O1634 O1643 O1644 O1645 O1647 O1648 O1649 O1650 O1657 O1658 O1659 O1660 O1661 O1662 O1663 O1664 O1665 O1666 O1667 O1668 O1669 O1677 O1678 O1693 O1694 O1695 O1696 O1755 O1756 O1757 O1758 O1759 O1760 O1761 O1762 O1772 O1773 O1774 O1775 O1776 O1777 O1778 O1862 O1863 O1865 O1866 O1871 O1872 O1873 O1874 O1934 O1935 O1936 O1937 O1944 O1945 O1962 O1963 O1964 O1966 O1967 O1968 O1969 O1994 O1995 O1996 O2041 O2044 O2062 O2063 O2152 O2153 O2154 O2155 O2237 O2238 O2239 O2240 O2241 O2242 O2243 O2244 O2245 O2246 O2247 O2248 O2258 O2259 O2260 O2263 O2270 O2271 O2272 O2273 O2275 O2276 O2277 O2278 O2324 O2326 O2327 O2328 O2329 O2330 O2331 O2348 O2349 O2350 O2351 O2352 O2353 O2354 O2355 O2356 O2417 O2420 O2423 O2424 O2432 O2435 O2436 O2441 O2442 O2443 O2444 O2445 O2446 O2448 O2449 O2452 O2465 O2466 O2467 O2468 O2471 O2472 O2473 O2474 O2475 O2476 O2477 O2478 O2501 O2502 O2503 O2519 O2520 O2521 O2522 O2523 O2524 O2525 O2526 O2547 O2548 O2549 O2550 O2581 O2582 O2583 O2584 O2585 O2725 O2726 O2727 O2728 O2922 O2923 O2924 O2925">
      <formula1>3</formula1>
    </dataValidation>
    <dataValidation type="decimal" operator="equal" allowBlank="1" showErrorMessage="1" errorTitle="Не нужно менять минимальное количество для заказа:" error="минимальное количество для заказа = 5" sqref="O41 O42 O43 O44 O45 O46 O47 O48 O50 O51 O52 O53 O55 O56 O57 O58 O59 O60 O61 O128 O132 O133 O134 O316 O317 O329 O349 O350 O428 O429 O430 O431 O488 O489 O490 O491 O492 O493 O494 O495 O496 O497 O498 O499 O500 O512 O513 O514 O515 O529 O530 O611 O620 O706 O707 O708 O709 O710 O717 O718 O719 O720 O721 O722 O729 O736 O754 O755 O797 O809 O810 O811 O812 O813 O919 O920 O939 O1022 O1023 O1024 O1026 O1027 O1028 O1029 O1030 O1079 O1083 O1084 O1085 O1086 O1090 O1091 O1144 O1145 O1146 O1165 O1166 O1167 O1168 O1170 O1171 O1172 O1173 O1189 O1191 O1192 O1193 O1194 O1195 O1196 O1274 O1275 O1276 O1277 O1284 O1349 O1370 O1418 O1419 O1421 O1422 O1435 O1436 O1438 O1445 O1446 O1447 O1448 O1701 O1706 O1718 O1719 O1720 O1721 O1780 O1781 O1782 O1783 O1790 O1791 O1792 O1793 O1795 O1796 O1797 O1798 O1799 O1800 O1804 O1805 O1859 O1860 O1911 O1912 O1913 O1914 O1915 O1916 O1917 O1918 O1927 O1928 O1929 O1930 O1949 O1950 O1951 O1952 O1982 O1983 O1984 O1985 O1986 O1987 O1988 O1990 O1991 O2250 O2251 O2252 O2543 O2544 O2545 O2552 O2561 O2635 O2636 O2637 O2638 O2639 O2640 O2641 O2642 O2643 O2644 O2645 O2646 O2647 O2648 O2649 O2650 O2651 O2652 O2653 O2654 O2655 O2656 O2657 O2658 O2659 O2660 O2661 O2662 O2663 O2664 O2665 O2666 O2667 O2668 O2669 O2670 O2671 O2719 O2720 O2721 O2722 O2730 O2731 O2732 O2733 O2734 O2735 O2736 O2737 O2738 O2739 O2740 O2741 O2742 O2743 O2744 O2745 O2746 O2747 O2748 O2749 O2750 O2751 O2752 O2753 O2754 O2755 O2756 O2757 O2758 O2759 O2760 O2761 O2762 O2763 O2764 O2765 O2766 O2767 O2768 O2769 O2770 O2771 O2772 O2773 O2774 O2775 O2776 O2777 O2778 O2779 O2780 O2781 O2782 O2783 O2784 O2785 O2786 O2787 O2788 O2789 O2790 O2791 O2792 O2793 O2794 O2795 O2796 O2797 O2798 O2799 O2800 O2801 O2802 O2803 O2804 O2805 O2806 O2807 O2808 O2809 O2810 O2811 O2812 O2813 O2814 O2815 O2816 O2817 O2818 O2819 O2820 O2821 O2894 O2895 O2896 O2897 O2899 O2900 O2901 O2902 O2927 O2928 O2929 O2930">
      <formula1>5</formula1>
    </dataValidation>
    <dataValidation type="decimal" operator="equal" allowBlank="1" showErrorMessage="1" errorTitle="Не нужно менять минимальное количество для заказа:" error="минимальное количество для заказа = 10" sqref="O190 O191 O192 O256 O257 O331 O332 O333 O334 O338 O376 O377 O378 O379 O450 O451 O452 O453 O889 O890 O891 O1066 O1067 O1068 O1069 O1125 O1162 O1163 O1216 O1217 O1234 O1235 O1236 O1248 O1249 O1250 O1251 O1252 O1253 O1254 O1255 O1262 O1263 O1265 O1267 O1268 O1286 O1287 O1295 O1296 O1303 O1361 O1362 O1363 O1364 O1376 O1377 O1378 O1413 O1414 O1415 O1416 O1450 O1451 O1605 O1606 O1607 O1608 O1609 O1610 O1611 O1612 O1714 O1715 O1716 O1723 O1724 O1737 O1738 O1739 O1740 O1741 O1742 O1743 O1744 O1745 O1746 O1785 O1786 O1787 O1788 O1807 O1809 O1811 O1812 O1813 O1814 O1816 O1817 O1818 O1819 O1820 O1821 O1822 O1823 O1825 O1826 O1827 O1828 O1899 O1947 O1954 O1955 O1956 O1957 O1958 O1959 O1960 O1971 O2904 O2905 O2906 O2907 O2908 O2909 O2910 O2911 O2912 O2913 O2914 O2915">
      <formula1>10</formula1>
    </dataValidation>
    <dataValidation type="decimal" operator="greaterThanOrEqual" allowBlank="1" showErrorMessage="1" errorTitle="Нельзя заказать меньше чем :" error="минимальное количество для заказа = 15" sqref="Q105 Q106 Q107 Q108 Q141 Q142 Q143 Q144 Q907 Q908 Q1072 Q1073 Q1074 Q1075 Q1305 Q1306 Q1307 Q1308 Q1309 Q1310 Q1495 Q1496 Q1497 Q1498 Q1499 Q1500 Q1501 Q1502 Q1504 Q1505 Q1506 Q1507 Q1508 Q1509 Q1510 Q1511 Q1512 Q1513 Q1514 Q1515 Q1516 Q1517 Q1518 Q1519 Q1520 Q1521 Q1522 Q1523 Q1524 Q1525 Q1526 Q1527 Q1528 Q1529 Q1530 Q1531 Q1532 Q1533 Q1534 Q1535 Q1536">
      <formula1>15</formula1>
    </dataValidation>
    <dataValidation type="decimal" operator="greaterThanOrEqual" allowBlank="1" showErrorMessage="1" errorTitle="Нельзя заказать меньше чем :" error="минимальное количество для заказа = 2" sqref="Q11 Q12 Q13 Q14 Q15 Q16 Q17 Q18 Q19 Q20 Q24 Q25 Q26 Q27 Q28 Q29 Q31 Q32 Q36 Q38 Q114 Q115 Q136 Q137 Q138 Q139 Q167 Q168 Q169 Q170 Q171 Q172 Q208 Q211 Q212 Q213 Q214 Q215 Q216 Q218 Q219 Q220 Q221 Q222 Q231 Q233 Q234 Q235 Q236 Q237 Q238 Q251 Q262 Q263 Q264 Q267 Q268 Q269 Q270 Q279 Q288 Q289 Q290 Q291 Q292 Q294 Q324 Q325 Q336 Q344 Q345 Q346 Q347 Q469 Q470 Q471 Q478 Q479 Q576 Q577 Q592 Q593 Q594 Q595 Q596 Q597 Q598 Q599 Q600 Q658 Q659 Q660 Q661 Q668 Q669 Q670 Q671 Q677 Q678 Q679 Q680 Q682 Q683 Q684 Q685 Q686 Q687 Q742 Q743 Q744 Q746 Q769 Q770 Q771 Q789 Q791 Q792 Q793 Q823 Q824 Q825 Q826 Q848 Q849 Q850 Q851 Q857 Q858 Q859 Q861 Q862 Q863 Q864 Q865 Q868 Q869 Q870 Q871 Q873 Q875 Q876 Q879 Q880 Q881 Q882 Q893 Q894 Q895 Q896 Q897 Q898 Q899 Q1038 Q1040 Q1041 Q1049 Q1050 Q1051 Q1098 Q1099 Q1100 Q1101 Q1180 Q1181 Q1182 Q1316 Q1322 Q1323 Q1344 Q1345 Q1346 Q1347 Q1368 Q1424 Q1425 Q1426 Q1427 Q1429 Q1430 Q1580 Q1618 Q1619 Q1652 Q1653 Q1654 Q1655 Q1731 Q1732 Q1734 Q1735 Q1830 Q1831 Q1832 Q1833 Q1854 Q1855 Q1856 Q1857 Q1906 Q1907 Q1908 Q1909 Q1939 Q1940 Q1941 Q1942 Q1998 Q1999 Q2007 Q2008 Q2012 Q2014 Q2019 Q2020 Q2023 Q2025 Q2026 Q2027 Q2031 Q2032 Q2034 Q2035 Q2037 Q2039 Q2040 Q2042 Q2043 Q2052 Q2054 Q2055 Q2056 Q2057 Q2058 Q2059 Q2061 Q2065 Q2066 Q2067 Q2068 Q2069 Q2070 Q2071 Q2072 Q2073 Q2074 Q2075 Q2076 Q2077 Q2079 Q2081 Q2082 Q2084 Q2087 Q2088 Q2096 Q2097 Q2098 Q2099 Q2100 Q2101 Q2102 Q2103 Q2105 Q2114 Q2115 Q2117 Q2118 Q2119 Q2120 Q2121 Q2122 Q2123 Q2124 Q2127 Q2129 Q2130 Q2132 Q2133 Q2134 Q2136 Q2137 Q2138 Q2139 Q2140 Q2141 Q2142 Q2143 Q2144 Q2145 Q2146 Q2147 Q2148 Q2149 Q2150 Q2164 Q2182 Q2183 Q2185 Q2186 Q2187 Q2188 Q2189 Q2223 Q2224 Q2225 Q2226 Q2227 Q2228 Q2229 Q2231 Q2232 Q2233 Q2234 Q2235 Q2296 Q2298 Q2300 Q2301 Q2302 Q2303 Q2304 Q2305 Q2306 Q2307 Q2308 Q2309 Q2315 Q2316 Q2317 Q2318 Q2319 Q2320 Q2321 Q2333 Q2334 Q2335 Q2336 Q2339 Q2340 Q2341 Q2342 Q2344 Q2345 Q2346 Q2370 Q2371 Q2372 Q2373 Q2374 Q2375 Q2376 Q2377 Q2378 Q2379 Q2380 Q2381 Q2383 Q2385 Q2386 Q2387 Q2388 Q2389 Q2390 Q2392 Q2393 Q2394 Q2395 Q2396 Q2399 Q2402 Q2403 Q2405 Q2406 Q2407 Q2408 Q2410 Q2411 Q2412 Q2413 Q2428 Q2439 Q2440 Q2451 Q2457 Q2458 Q2459 Q2460 Q2461 Q2462 Q2463 Q2490 Q2491 Q2493 Q2494 Q2495 Q2496 Q2497 Q2498 Q2499 Q2505 Q2506 Q2507 Q2508 Q2509 Q2510 Q2511 Q2512 Q2513 Q2514 Q2515 Q2516 Q2517 Q2528 Q2529 Q2556 Q2563 Q2564 Q2565 Q2566 Q2567 Q2568 Q2569 Q2572 Q2573 Q2574 Q2575 Q2577 Q2578 Q2610 Q2611 Q2612 Q2613 Q2614 Q2615 Q2616 Q2617 Q2618 Q2619 Q2621 Q2623 Q2624 Q2625 Q2626 Q2889 Q2890 Q2891 Q2892 Q2932 Q2933">
      <formula1>2</formula1>
    </dataValidation>
    <dataValidation type="decimal" operator="greaterThanOrEqual" allowBlank="1" showErrorMessage="1" errorTitle="Нельзя заказать меньше чем :" error="минимальное количество для заказа = 3" sqref="Q85 Q86 Q87 Q88 Q123 Q124 Q125 Q126 Q130 Q154 Q155 Q156 Q161 Q162 Q186 Q187 Q195 Q196 Q197 Q198 Q252 Q253 Q311 Q313 Q314 Q319 Q340 Q341 Q362 Q363 Q364 Q365 Q372 Q373 Q374 Q402 Q403 Q404 Q421 Q433 Q434 Q435 Q436 Q465 Q466 Q467 Q481 Q482 Q486 Q502 Q504 Q505 Q506 Q508 Q509 Q510 Q544 Q545 Q546 Q547 Q548 Q549 Q550 Q551 Q552 Q554 Q555 Q556 Q557 Q558 Q559 Q560 Q561 Q562 Q563 Q564 Q573 Q574 Q579 Q581 Q582 Q583 Q585 Q586 Q587 Q589 Q590 Q622 Q623 Q624 Q626 Q627 Q628 Q629 Q630 Q631 Q632 Q633 Q634 Q635 Q636 Q637 Q638 Q639 Q641 Q642 Q643 Q645 Q646 Q648 Q649 Q650 Q656 Q712 Q713 Q714 Q715 Q724 Q734 Q738 Q739 Q765 Q766 Q767 Q780 Q781 Q782 Q783 Q786 Q787 Q795 Q828 Q829 Q830 Q832 Q833 Q834 Q835 Q837 Q838 Q840 Q841 Q853 Q854 Q855 Q901 Q902 Q903 Q904 Q905 Q922 Q923 Q924 Q925 Q946 Q947 Q948 Q949 Q950 Q951 Q952 Q953 Q954 Q955 Q956 Q957 Q958 Q959 Q960 Q961 Q962 Q963 Q964 Q965 Q966 Q967 Q968 Q969 Q970 Q971 Q972 Q973 Q974 Q975 Q976 Q977 Q978 Q979 Q980 Q981 Q982 Q983 Q984 Q985 Q986 Q987 Q988 Q989 Q990 Q991 Q992 Q993 Q994 Q995 Q996 Q997 Q998 Q999 Q1000 Q1001 Q1002 Q1003 Q1004 Q1032 Q1033 Q1058 Q1059 Q1103 Q1104 Q1127 Q1128 Q1129 Q1130 Q1175 Q1176 Q1177 Q1178 Q1198 Q1199 Q1200 Q1201 Q1202 Q1203 Q1205 Q1206 Q1208 Q1209 Q1210 Q1211 Q1221 Q1222 Q1223 Q1224 Q1225 Q1226 Q1227 Q1228 Q1325 Q1326 Q1327 Q1328 Q1330 Q1331 Q1332 Q1333 Q1334 Q1335 Q1340 Q1342 Q1356 Q1357 Q1358 Q1359 Q1366 Q1401 Q1402 Q1403 Q1404 Q1405 Q1406 Q1407 Q1408 Q1409 Q1410 Q1411 Q1487 Q1488 Q1489 Q1490 Q1614 Q1615 Q1616 Q1631 Q1632 Q1633 Q1634 Q1643 Q1644 Q1645 Q1647 Q1648 Q1649 Q1650 Q1657 Q1658 Q1659 Q1660 Q1661 Q1662 Q1663 Q1664 Q1665 Q1666 Q1667 Q1668 Q1669 Q1677 Q1678 Q1693 Q1694 Q1695 Q1696 Q1755 Q1756 Q1757 Q1758 Q1759 Q1760 Q1761 Q1762 Q1772 Q1773 Q1774 Q1775 Q1776 Q1777 Q1778 Q1862 Q1863 Q1865 Q1866 Q1871 Q1872 Q1873 Q1874 Q1934 Q1935 Q1936 Q1937 Q1944 Q1945 Q1962 Q1963 Q1964 Q1966 Q1967 Q1968 Q1969 Q1994 Q1995 Q1996 Q2041 Q2044 Q2062 Q2063 Q2152 Q2153 Q2154 Q2155 Q2237 Q2238 Q2239 Q2240 Q2241 Q2242 Q2243 Q2244 Q2245 Q2246 Q2247 Q2248 Q2258 Q2259 Q2260 Q2263 Q2270 Q2271 Q2272 Q2273 Q2275 Q2276 Q2277 Q2278 Q2324 Q2326 Q2327 Q2328 Q2329 Q2330 Q2331 Q2348 Q2349 Q2350 Q2351 Q2352 Q2353 Q2354 Q2355 Q2356 Q2417 Q2420 Q2423 Q2424 Q2432 Q2435 Q2436 Q2441 Q2442 Q2443 Q2444 Q2445 Q2446 Q2448 Q2449 Q2452 Q2465 Q2466 Q2467 Q2468 Q2471 Q2472 Q2473 Q2474 Q2475 Q2476 Q2477 Q2478 Q2501 Q2502 Q2503 Q2519 Q2520 Q2521 Q2522 Q2523 Q2524 Q2525 Q2526 Q2547 Q2548 Q2549 Q2550 Q2581 Q2582 Q2583 Q2584 Q2585 Q2725 Q2726 Q2727 Q2728 Q2922 Q2923 Q2924 Q2925">
      <formula1>3</formula1>
    </dataValidation>
    <dataValidation type="decimal" operator="greaterThanOrEqual" allowBlank="1" showErrorMessage="1" errorTitle="Нельзя заказать меньше чем :" error="минимальное количество для заказа = 5" sqref="Q41 Q42 Q43 Q44 Q45 Q46 Q47 Q48 Q50 Q51 Q52 Q53 Q55 Q56 Q57 Q58 Q59 Q60 Q61 Q128 Q132 Q133 Q134 Q316 Q317 Q329 Q349 Q350 Q428 Q429 Q430 Q431 Q488 Q489 Q490 Q491 Q492 Q493 Q494 Q495 Q496 Q497 Q498 Q499 Q500 Q512 Q513 Q514 Q515 Q529 Q530 Q611 Q620 Q706 Q707 Q708 Q709 Q710 Q717 Q718 Q719 Q720 Q721 Q722 Q729 Q736 Q754 Q755 Q797 Q809 Q810 Q811 Q812 Q813 Q919 Q920 Q939 Q1022 Q1023 Q1024 Q1026 Q1027 Q1028 Q1029 Q1030 Q1079 Q1083 Q1084 Q1085 Q1086 Q1090 Q1091 Q1144 Q1145 Q1146 Q1165 Q1166 Q1167 Q1168 Q1170 Q1171 Q1172 Q1173 Q1189 Q1191 Q1192 Q1193 Q1194 Q1195 Q1196 Q1274 Q1275 Q1276 Q1277 Q1284 Q1349 Q1370 Q1418 Q1419 Q1421 Q1422 Q1435 Q1436 Q1438 Q1445 Q1446 Q1447 Q1448 Q1701 Q1706 Q1718 Q1719 Q1720 Q1721 Q1780 Q1781 Q1782 Q1783 Q1790 Q1791 Q1792 Q1793 Q1795 Q1796 Q1797 Q1798 Q1799 Q1800 Q1804 Q1805 Q1859 Q1860 Q1911 Q1912 Q1913 Q1914 Q1915 Q1916 Q1917 Q1918 Q1927 Q1928 Q1929 Q1930 Q1949 Q1950 Q1951 Q1952 Q1982 Q1983 Q1984 Q1985 Q1986 Q1987 Q1988 Q1990 Q1991 Q2250 Q2251 Q2252 Q2543 Q2544 Q2545 Q2552 Q2561 Q2635 Q2636 Q2637 Q2638 Q2639 Q2640 Q2641 Q2642 Q2643 Q2644 Q2645 Q2646 Q2647 Q2648 Q2649 Q2650 Q2651 Q2652 Q2653 Q2654 Q2655 Q2656 Q2657 Q2658 Q2659 Q2660 Q2661 Q2662 Q2663 Q2664 Q2665 Q2666 Q2667 Q2668 Q2669 Q2670 Q2671 Q2719 Q2720 Q2721 Q2722 Q2730 Q2731 Q2732 Q2733 Q2734 Q2735 Q2736 Q2737 Q2738 Q2739 Q2740 Q2741 Q2742 Q2743 Q2744 Q2745 Q2746 Q2747 Q2748 Q2749 Q2750 Q2751 Q2752 Q2753 Q2754 Q2755 Q2756 Q2757 Q2758 Q2759 Q2760 Q2761 Q2762 Q2763 Q2764 Q2765 Q2766 Q2767 Q2768 Q2769 Q2770 Q2771 Q2772 Q2773 Q2774 Q2775 Q2776 Q2777 Q2778 Q2779 Q2780 Q2781 Q2782 Q2783 Q2784 Q2785 Q2786 Q2787 Q2788 Q2789 Q2790 Q2791 Q2792 Q2793 Q2794 Q2795 Q2796 Q2797 Q2798 Q2799 Q2800 Q2801 Q2802 Q2803 Q2804 Q2805 Q2806 Q2807 Q2808 Q2809 Q2810 Q2811 Q2812 Q2813 Q2814 Q2815 Q2816 Q2817 Q2818 Q2819 Q2820 Q2821 Q2894 Q2895 Q2896 Q2897 Q2899 Q2900 Q2901 Q2902 Q2927 Q2928 Q2929 Q2930">
      <formula1>5</formula1>
    </dataValidation>
    <dataValidation type="decimal" operator="equal" allowBlank="1" showErrorMessage="1" errorTitle="Не нужно менять минимальное количество для заказа:" error="минимальное количество для заказа = 1" sqref="O22 O34 O63 O64 O65 O66 O67 O68 O69 O70 O71 O72 O73 O74 O75 O77 O78 O79 O80 O81 O82 O83 O97 O98 O99 O100 O149 O150 O151 O152 O200 O201 O202 O203 O204 O206 O224 O225 O226 O227 O228 O229 O273 O274 O275 O276 O277 O281 O282 O283 O284 O327 O393 O394 O395 O396 O406 O407 O408 O409 O461 O462 O463 O532 O533 O534 O535 O536 O537 O538 O539 O540 O541 O542 O566 O567 O568 O569 O570 O571 O652 O653 O654 O726 O727 O747 O749 O750 O752 O757 O758 O800 O801 O802 O1035 O1036 O1043 O1044 O1081 O1464 O1465 O1467 O1469 O1470 O1471 O1472 O1473 O1474 O1475 O1476 O1478 O1479 O1480 O1481 O1482 O1483 O1484 O1485 O1769 O1770 O2001 O2002 O2003 O2004 O2005 O2011 O2013 O2015 O2016 O2017 O2018 O2021 O2022 O2024 O2029 O2030 O2033 O2036 O2038 O2047 O2048 O2050 O2080 O2083 O2085 O2086 O2090 O2091 O2092 O2094 O2107 O2108 O2109 O2112 O2126 O2128 O2158 O2159 O2161 O2162 O2163 O2165 O2166 O2167 O2168 O2169 O2170 O2171 O2174 O2175 O2176 O2177 O2178 O2179 O2180 O2191 O2192 O2193 O2194 O2196 O2197 O2200 O2201 O2203 O2204 O2206 O2207 O2208 O2209 O2210 O2211 O2212 O2213 O2214 O2215 O2216 O2217 O2219 O2221 O2254 O2255 O2256 O2280 O2281 O2282 O2283 O2284 O2285 O2286 O2287 O2288 O2290 O2291 O2292 O2293 O2294 O2359 O2360 O2362 O2364 O2365 O2368 O2384 O2391 O2397 O2398 O2400 O2433 O2454 O2455 O2480 O2481 O2482 O2483 O2485 O2486 O2487 O2488 O2601 O2602 O2603 O2604 O2605 O2622 O2628 O2629 O2630 O2631 O2632 O2917 O2918 O2919 O2920 O2935 O2945">
      <formula1>1</formula1>
    </dataValidation>
    <dataValidation type="decimal" operator="greaterThanOrEqual" allowBlank="1" showErrorMessage="1" errorTitle="Нельзя заказать меньше чем :" error="минимальное количество для заказа = 1" sqref="Q22 Q34 Q63 Q64 Q65 Q66 Q67 Q68 Q69 Q70 Q71 Q72 Q73 Q74 Q75 Q77 Q78 Q79 Q80 Q81 Q82 Q83 Q97 Q98 Q99 Q100 Q149 Q150 Q151 Q152 Q200 Q201 Q202 Q203 Q204 Q206 Q224 Q225 Q226 Q227 Q228 Q229 Q273 Q274 Q275 Q276 Q277 Q281 Q282 Q283 Q284 Q327 Q393 Q394 Q395 Q396 Q406 Q407 Q408 Q409 Q461 Q462 Q463 Q532 Q533 Q534 Q535 Q536 Q537 Q538 Q539 Q540 Q541 Q542 Q566 Q567 Q568 Q569 Q570 Q571 Q652 Q653 Q654 Q726 Q727 Q747 Q749 Q750 Q752 Q757 Q758 Q800 Q801 Q802 Q1035 Q1036 Q1043 Q1044 Q1081 Q1464 Q1465 Q1467 Q1469 Q1470 Q1471 Q1472 Q1473 Q1474 Q1475 Q1476 Q1478 Q1479 Q1480 Q1481 Q1482 Q1483 Q1484 Q1485 Q1769 Q1770 Q2001 Q2002 Q2003 Q2004 Q2005 Q2011 Q2013 Q2015 Q2016 Q2017 Q2018 Q2021 Q2022 Q2024 Q2029 Q2030 Q2033 Q2036 Q2038 Q2047 Q2048 Q2050 Q2080 Q2083 Q2085 Q2086 Q2090 Q2091 Q2092 Q2094 Q2107 Q2108 Q2109 Q2112 Q2126 Q2128 Q2158 Q2159 Q2161 Q2162 Q2163 Q2165 Q2166 Q2167 Q2168 Q2169 Q2170 Q2171 Q2174 Q2175 Q2176 Q2177 Q2178 Q2179 Q2180 Q2191 Q2192 Q2193 Q2194 Q2196 Q2197 Q2200 Q2201 Q2203 Q2204 Q2206 Q2207 Q2208 Q2209 Q2210 Q2211 Q2212 Q2213 Q2214 Q2215 Q2216 Q2217 Q2219 Q2221 Q2254 Q2255 Q2256 Q2280 Q2281 Q2282 Q2283 Q2284 Q2285 Q2286 Q2287 Q2288 Q2290 Q2291 Q2292 Q2293 Q2294 Q2359 Q2360 Q2362 Q2364 Q2365 Q2368 Q2384 Q2391 Q2397 Q2398 Q2400 Q2433 Q2454 Q2455 Q2480 Q2481 Q2482 Q2483 Q2485 Q2486 Q2487 Q2488 Q2601 Q2602 Q2603 Q2604 Q2605 Q2622 Q2628 Q2629 Q2630 Q2631 Q2632 Q2917 Q2918 Q2919 Q2920 Q2935 Q2945">
      <formula1>1</formula1>
    </dataValidation>
    <dataValidation type="decimal" operator="greaterThanOrEqual" allowBlank="1" showErrorMessage="1" errorTitle="Нельзя заказать меньше чем :" error="минимальное количество для заказа = 4" sqref="Q90 Q91 Q92 Q93 Q94 Q95 Q102 Q103 Q110 Q112 Q146 Q147 Q158 Q159 Q174 Q175 Q176 Q177 Q179 Q180 Q181 Q182 Q183 Q184 Q398 Q399 Q400 Q456 Q457 Q473 Q475 Q476 Q689 Q690 Q691 Q692 Q693 Q694 Q695 Q696 Q697 Q698 Q699 Q700 Q701 Q702 Q703 Q704 Q761 Q762 Q763 Q773 Q774 Q775 Q776 Q778 Q843 Q844 Q845 Q846 Q884 Q885 Q886 Q887 Q916 Q917 Q941 Q943 Q1006 Q1007 Q1008 Q1009 Q1010 Q1013 Q1014 Q1015 Q1016 Q1017 Q1018 Q1019 Q1020 Q1046 Q1047 Q1112 Q1113 Q1230 Q1231 Q1232 Q1337 Q1338 Q1372 Q1374 Q1383 Q1384 Q1385 Q1386 Q1387 Q1388 Q1389 Q1390 Q1391 Q1392 Q1393 Q1394 Q1432 Q1433 Q1582 Q1584 Q1585 Q1586 Q1587 Q1588 Q1589 Q1590 Q1591 Q1592 Q1593 Q1595 Q1598 Q1599 Q1600 Q1601 Q1602 Q1603 Q1626 Q1627 Q1628 Q1629 Q1636 Q1637 Q1638 Q1639 Q1640 Q1641 Q1680 Q1681 Q1682 Q1683 Q1684 Q1685 Q1686 Q1687 Q1688 Q1689 Q1691 Q1698 Q1699 Q1703 Q1704 Q1708 Q1709 Q1710 Q1711 Q1748 Q1835 Q1836 Q1868 Q1869 Q1894 Q1895 Q1896 Q1897 Q1973 Q1974 Q1975 Q1976 Q1977 Q1978 Q1979 Q1980 Q2261 Q2262 Q2264 Q2265 Q2266 Q2267 Q2311 Q2312 Q2313 Q2323 Q2415 Q2416 Q2418 Q2419 Q2421 Q2422 Q2425 Q2426 Q2427 Q2429 Q2430 Q2431 Q2434 Q2437 Q2438 Q2447 Q2450 Q2531 Q2532 Q2533 Q2534 Q2535 Q2536 Q2537 Q2538 Q2539 Q2554 Q2607 Q2937 Q2938 Q2943">
      <formula1>4</formula1>
    </dataValidation>
    <dataValidation type="decimal" operator="greaterThanOrEqual" allowBlank="1" showErrorMessage="1" errorTitle="Нельзя заказать меньше чем :" error="минимальное количество для заказа = 7" sqref="Q242 Q243 Q244 Q245 Q296 Q297 Q298 Q299 Q352 Q353 Q354 Q355 Q357 Q358 Q359 Q360 Q367 Q368 Q369 Q370 Q381 Q382 Q383 Q384 Q386 Q387 Q388 Q389 Q391 Q416 Q417 Q418 Q423 Q424 Q425 Q426 Q438 Q439 Q440 Q442 Q443 Q444 Q446 Q448 Q484 Q602 Q603 Q604 Q605 Q606 Q607 Q608 Q609 Q614 Q615 Q616 Q617 Q618 Q663 Q664 Q665 Q666 Q731 Q732 Q804 Q805 Q806 Q807 Q815 Q910 Q911 Q912 Q913 Q1088 Q1093 Q1094 Q1095 Q1096 Q1106 Q1107 Q1138 Q1148 Q1149 Q1150 Q1151 Q1213 Q1279 Q1280 Q1281 Q1282 Q1298 Q1299 Q1300 Q1301 Q1318 Q1319 Q1320 Q1440 Q1441 Q1442 Q1443 Q1453 Q1454 Q1455 Q1457 Q1672 Q1673 Q1674 Q1675 Q1845 Q1846 Q1847 Q1848 Q1849 Q1850 Q1851 Q1852 Q1901 Q1902 Q1903 Q1904 Q2558 Q2941">
      <formula1>7</formula1>
    </dataValidation>
    <dataValidation type="decimal" operator="equal" allowBlank="1" showErrorMessage="1" errorTitle="Не нужно менять минимальное количество для заказа:" error="минимальное количество для заказа = 8" sqref="O117 O119 O164 O247 O248 O249 O259 O260 O411 O412 O413 O414 O517 O518 O519 O520 O521 O522 O523 O524 O525 O526 O527 O816 O1061 O1062 O1063 O1064 O1109 O1110 O1140 O1153 O1154 O1155 O1156 O1157 O1158 O1159 O1160 O1184 O1185 O1186 O1187 O1380 O1381 O1493 O1726 O1727 O1728 O1729 O1750 O1751 O1752 O1753 O1876 O1877 O1878 O1879 O1880 O1881 O1882 O1883 O1884 O1885 O1886 O1887 O1920 O1921 O1922 O1923 O1924 O1925 O2673 O2674 O2675 O2676 O2677 O2678 O2679 O2680 O2681 O2682 O2683 O2684 O2685 O2686 O2687 O2688 O2689 O2690 O2691 O2692 O2693 O2694 O2695 O2696 O2697 O2698 O2699 O2700 O2701 O2702 O2703 O2704 O2705 O2706 O2707 O2708 O2709 O2710 O2711 O2712 O2713 O2714 O2715 O2716 O2717 O2823 O2824 O2825 O2826 O2827 O2828 O2829 O2830 O2831 O2832 O2833 O2834 O2835 O2836 O2837 O2838 O2839 O2840 O2841 O2842 O2843 O2844 O2845 O2846 O2847 O2848 O2849 O2850 O2851 O2852 O2853 O2854 O2855 O2856 O2857 O2858 O2859 O2860 O2861 O2862 O2863 O2864 O2865 O2866 O2867 O2868 O2869 O2870 O2871 O2872 O2873 O2874 O2875 O2876 O2877 O2878 O2879 O2880 O2881 O2882 O2883 O2884 O2885 O2886 O2887">
      <formula1>8</formula1>
    </dataValidation>
    <dataValidation type="decimal" operator="greaterThanOrEqual" allowBlank="1" showErrorMessage="1" errorTitle="Нельзя заказать меньше чем :" error="минимальное количество для заказа = 8" sqref="Q117 Q119 Q164 Q247 Q248 Q249 Q259 Q260 Q411 Q412 Q413 Q414 Q517 Q518 Q519 Q520 Q521 Q522 Q523 Q524 Q525 Q526 Q527 Q816 Q1061 Q1062 Q1063 Q1064 Q1109 Q1110 Q1140 Q1153 Q1154 Q1155 Q1156 Q1157 Q1158 Q1159 Q1160 Q1184 Q1185 Q1186 Q1187 Q1380 Q1381 Q1493 Q1726 Q1727 Q1728 Q1729 Q1750 Q1751 Q1752 Q1753 Q1876 Q1877 Q1878 Q1879 Q1880 Q1881 Q1882 Q1883 Q1884 Q1885 Q1886 Q1887 Q1920 Q1921 Q1922 Q1923 Q1924 Q1925 Q2673 Q2674 Q2675 Q2676 Q2677 Q2678 Q2679 Q2680 Q2681 Q2682 Q2683 Q2684 Q2685 Q2686 Q2687 Q2688 Q2689 Q2690 Q2691 Q2692 Q2693 Q2694 Q2695 Q2696 Q2697 Q2698 Q2699 Q2700 Q2701 Q2702 Q2703 Q2704 Q2705 Q2706 Q2707 Q2708 Q2709 Q2710 Q2711 Q2712 Q2713 Q2714 Q2715 Q2716 Q2717 Q2823 Q2824 Q2825 Q2826 Q2827 Q2828 Q2829 Q2830 Q2831 Q2832 Q2833 Q2834 Q2835 Q2836 Q2837 Q2838 Q2839 Q2840 Q2841 Q2842 Q2843 Q2844 Q2845 Q2846 Q2847 Q2848 Q2849 Q2850 Q2851 Q2852 Q2853 Q2854 Q2855 Q2856 Q2857 Q2858 Q2859 Q2860 Q2861 Q2862 Q2863 Q2864 Q2865 Q2866 Q2867 Q2868 Q2869 Q2870 Q2871 Q2872 Q2873 Q2874 Q2875 Q2876 Q2877 Q2878 Q2879 Q2880 Q2881 Q2882 Q2883 Q2884 Q2885 Q2886 Q2887">
      <formula1>8</formula1>
    </dataValidation>
    <dataValidation type="decimal" operator="equal" allowBlank="1" showErrorMessage="1" errorTitle="Не нужно менять минимальное количество для заказа:" error="минимальное количество для заказа = 25" sqref="O1238 O1289 O1290 O1291 O1292 O1293 O1538 O1539 O1540 O1541 O1542 O1543 O1544 O1546 O1547 O1548 O1549">
      <formula1>25</formula1>
    </dataValidation>
    <dataValidation type="decimal" operator="equal" allowBlank="1" showErrorMessage="1" errorTitle="Не нужно менять минимальное количество для заказа:" error="минимальное количество для заказа = 30" sqref="O121 O1260 O1399">
      <formula1>30</formula1>
    </dataValidation>
    <dataValidation type="decimal" operator="greaterThanOrEqual" allowBlank="1" showErrorMessage="1" errorTitle="Нельзя заказать меньше чем :" error="минимальное количество для заказа = 25" sqref="Q1238 Q1289 Q1290 Q1291 Q1292 Q1293 Q1538 Q1539 Q1540 Q1541 Q1542 Q1543 Q1544 Q1546 Q1547 Q1548 Q1549">
      <formula1>25</formula1>
    </dataValidation>
    <dataValidation type="decimal" operator="greaterThanOrEqual" allowBlank="1" showErrorMessage="1" errorTitle="Нельзя заказать меньше чем :" error="минимальное количество для заказа = 30" sqref="Q121 Q1260 Q1399">
      <formula1>30</formula1>
    </dataValidation>
    <dataValidation type="decimal" operator="greaterThanOrEqual" allowBlank="1" showErrorMessage="1" errorTitle="Нельзя заказать меньше чем :" error="минимальное количество для заказа = 10" sqref="Q190 Q191 Q192 Q256 Q257 Q331 Q332 Q333 Q334 Q338 Q376 Q377 Q378 Q379 Q450 Q451 Q452 Q453 Q889 Q890 Q891 Q1066 Q1067 Q1068 Q1069 Q1125 Q1162 Q1163 Q1216 Q1217 Q1234 Q1235 Q1236 Q1248 Q1249 Q1250 Q1251 Q1252 Q1253 Q1254 Q1255 Q1262 Q1263 Q1265 Q1267 Q1268 Q1286 Q1287 Q1295 Q1296 Q1303 Q1361 Q1362 Q1363 Q1364 Q1376 Q1377 Q1378 Q1413 Q1414 Q1415 Q1416 Q1450 Q1451 Q1605 Q1606 Q1607 Q1608 Q1609 Q1610 Q1611 Q1612 Q1714 Q1715 Q1716 Q1723 Q1724 Q1737 Q1738 Q1739 Q1740 Q1741 Q1742 Q1743 Q1744 Q1745 Q1746 Q1785 Q1786 Q1787 Q1788 Q1807 Q1809 Q1811 Q1812 Q1813 Q1814 Q1816 Q1817 Q1818 Q1819 Q1820 Q1821 Q1822 Q1823 Q1825 Q1826 Q1827 Q1828 Q1899 Q1947 Q1954 Q1955 Q1956 Q1957 Q1958 Q1959 Q1960 Q1971 Q2904 Q2905 Q2906 Q2907 Q2908 Q2909 Q2910 Q2911 Q2912 Q2913 Q2914 Q2915">
      <formula1>10</formula1>
    </dataValidation>
    <dataValidation type="decimal" operator="greaterThanOrEqual" allowBlank="1" showErrorMessage="1" errorTitle="Нельзя заказать меньше чем :" error="минимальное количество для заказа = 20" sqref="Q927 Q928 Q929 Q931 Q932 Q933 Q935 Q936 Q937 Q1053 Q1054 Q1055 Q1056 Q1219 Q1240 Q1241 Q1242 Q1243 Q1244 Q1245 Q1246 Q1257 Q1258 Q1396 Q1397 Q1551 Q1552 Q1553 Q1554 Q1555 Q1556 Q1557 Q1558 Q1559 Q1560 Q1561 Q1562 Q1563 Q1564 Q1565 Q1567 Q1568 Q1569 Q1571 Q1572 Q1574 Q1575 Q1576 Q1577 Q1764 Q1765 Q1766 Q1767 Q1802">
      <formula1>20</formula1>
    </dataValidation>
    <dataValidation type="decimal" operator="equal" allowBlank="1" showErrorMessage="1" errorTitle="Не нужно менять минимальное количество для заказа:" error="минимальное количество для заказа = 7" sqref="O242 O243 O244 O245 O296 O297 O298 O299 O352 O353 O354 O355 O357 O358 O359 O360 O367 O368 O369 O370 O381 O382 O383 O384 O386 O387 O388 O389 O391 O416 O417 O418 O423 O424 O425 O426 O438 O439 O440 O442 O443 O444 O446 O448 O484 O602 O603 O604 O605 O606 O607 O608 O609 O614 O615 O616 O617 O618 O663 O664 O665 O666 O731 O732 O804 O805 O806 O807 O815 O910 O911 O912 O913 O1088 O1093 O1094 O1095 O1096 O1106 O1107 O1138 O1148 O1149 O1150 O1151 O1213 O1279 O1280 O1281 O1282 O1298 O1299 O1300 O1301 O1318 O1319 O1320 O1440 O1441 O1442 O1443 O1453 O1454 O1455 O1457 O1672 O1673 O1674 O1675 O1845 O1846 O1847 O1848 O1849 O1850 O1851 O1852 O1901 O1902 O1903 O1904 O2558 O2941">
      <formula1>7</formula1>
    </dataValidation>
    <dataValidation type="decimal" operator="equal" allowBlank="1" showErrorMessage="1" errorTitle="Не нужно менять минимальное количество для заказа:" error="минимальное количество для заказа = 6" sqref="O301 O302 O303 O304 O306 O307 O308 O309 O673 O674 O675 O1133 O1134 O1135 O1136 O1142 O1312 O1313 O1621 O1622 O1623 O1624 O2591 O2592 O2593 O2594 O2595 O2596 O2597 O2598">
      <formula1>6</formula1>
    </dataValidation>
    <dataValidation type="decimal" operator="greaterThanOrEqual" allowBlank="1" showErrorMessage="1" errorTitle="Нельзя заказать меньше чем :" error="минимальное количество для заказа = 6" sqref="Q301 Q302 Q303 Q304 Q306 Q307 Q308 Q309 Q673 Q674 Q675 Q1133 Q1134 Q1135 Q1136 Q1142 Q1312 Q1313 Q1621 Q1622 Q1623 Q1624 Q2591 Q2592 Q2593 Q2594 Q2595 Q2596 Q2597 Q2598">
      <formula1>6</formula1>
    </dataValidation>
    <dataValidation type="decimal" operator="equal" allowBlank="1" showErrorMessage="1" errorTitle="Не нужно менять минимальное количество для заказа:" error="минимальное количество для заказа = 14" sqref="O818 O819 O820 O1070">
      <formula1>14</formula1>
    </dataValidation>
    <dataValidation type="decimal" operator="greaterThanOrEqual" allowBlank="1" showErrorMessage="1" errorTitle="Нельзя заказать меньше чем :" error="минимальное количество для заказа = 14" sqref="Q818 Q819 Q820 Q1070">
      <formula1>14</formula1>
    </dataValidation>
    <dataValidation type="decimal" operator="equal" allowBlank="1" showErrorMessage="1" errorTitle="Не нужно менять минимальное количество для заказа:" error="минимальное количество для заказа = 20" sqref="O927 O928 O929 O931 O932 O933 O935 O936 O937 O1053 O1054 O1055 O1056 O1219 O1240 O1241 O1242 O1243 O1244 O1245 O1246 O1257 O1258 O1396 O1397 O1551 O1552 O1553 O1554 O1555 O1556 O1557 O1558 O1559 O1560 O1561 O1562 O1563 O1564 O1565 O1567 O1568 O1569 O1571 O1572 O1574 O1575 O1576 O1577 O1764 O1765 O1766 O1767 O1802">
      <formula1>20</formula1>
    </dataValidation>
    <dataValidation type="decimal" operator="equal" allowBlank="1" showErrorMessage="1" errorTitle="Не нужно менять минимальное количество для заказа:" error="минимальное количество для заказа = 12" sqref="O1116 O1117 O1118 O1119 O1120 O1121 O1122 O1123 O1270 O1271 O1272 O1351 O1352 O1353 O1354 O1838 O1839 O1840 O1841 O1842 O1843 O1889 O1890 O1891 O1892 O1932 O2589">
      <formula1>12</formula1>
    </dataValidation>
    <dataValidation type="decimal" operator="greaterThanOrEqual" allowBlank="1" showErrorMessage="1" errorTitle="Нельзя заказать меньше чем :" error="минимальное количество для заказа = 12" sqref="Q1116 Q1117 Q1118 Q1119 Q1120 Q1121 Q1122 Q1123 Q1270 Q1271 Q1272 Q1351 Q1352 Q1353 Q1354 Q1838 Q1839 Q1840 Q1841 Q1842 Q1843 Q1889 Q1890 Q1891 Q1892 Q1932 Q2589">
      <formula1>12</formula1>
    </dataValidation>
    <dataValidation type="decimal" operator="equal" allowBlank="1" showErrorMessage="1" errorTitle="Не нужно менять минимальное количество для заказа:" error="минимальное количество для заказа = 40" sqref="O1459 O1460 O2587">
      <formula1>40</formula1>
    </dataValidation>
    <dataValidation type="decimal" operator="greaterThanOrEqual" allowBlank="1" showErrorMessage="1" errorTitle="Нельзя заказать меньше чем :" error="минимальное количество для заказа = 40" sqref="Q1459 Q1460 Q2587">
      <formula1>40</formula1>
    </dataValidation>
  </dataValidations>
  <pageMargins left="0.39" right="0.39" top="0.39" bottom="0.39" header="0" footer="0"/>
  <pageSetup paperSize="0" fitToWidth="0" fitToHeight="0" pageOrder="overThenDown" orientation="portrait" horizontalDpi="0" verticalDpi="0" copies="0"/>
  <headerFooter scaleWithDoc="0"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Нагаева Марина Александровна</dc:creator>
  <cp:lastModifiedBy>shabanova</cp:lastModifiedBy>
  <cp:revision>1</cp:revision>
  <cp:lastPrinted>2026-10-06T07:49:57Z</cp:lastPrinted>
  <dcterms:created xsi:type="dcterms:W3CDTF">2026-10-06T07:49:57Z</dcterms:created>
  <dcterms:modified xsi:type="dcterms:W3CDTF">2026-10-06T12:25:31Z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1049-10.2.0.5845</vt:lpwstr>
  </property>
</Properties>
</file>